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ctrlProps/ctrlProp2.xml" ContentType="application/vnd.ms-excel.controlproperties+xml"/>
  <Override PartName="/xl/drawings/drawing3.xml" ContentType="application/vnd.openxmlformats-officedocument.drawing+xml"/>
  <Override PartName="/xl/ctrlProps/ctrlProp3.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4.xml" ContentType="application/vnd.ms-excel.controlproperties+xml"/>
  <Override PartName="/xl/comments2.xml" ContentType="application/vnd.openxmlformats-officedocument.spreadsheetml.comments+xml"/>
  <Override PartName="/xl/drawings/drawing5.xml" ContentType="application/vnd.openxmlformats-officedocument.drawing+xml"/>
  <Override PartName="/xl/ctrlProps/ctrlProp5.xml" ContentType="application/vnd.ms-excel.controlproperties+xml"/>
  <Override PartName="/xl/drawings/drawing6.xml" ContentType="application/vnd.openxmlformats-officedocument.drawing+xml"/>
  <Override PartName="/xl/ctrlProps/ctrlProp6.xml" ContentType="application/vnd.ms-excel.controlproperties+xml"/>
  <Override PartName="/xl/drawings/drawing7.xml" ContentType="application/vnd.openxmlformats-officedocument.drawing+xml"/>
  <Override PartName="/xl/ctrlProps/ctrlProp7.xml" ContentType="application/vnd.ms-excel.controlproperties+xml"/>
  <Override PartName="/xl/drawings/drawing8.xml" ContentType="application/vnd.openxmlformats-officedocument.drawing+xml"/>
  <Override PartName="/xl/ctrlProps/ctrlProp8.xml" ContentType="application/vnd.ms-excel.controlproperties+xml"/>
  <Override PartName="/xl/drawings/drawing9.xml" ContentType="application/vnd.openxmlformats-officedocument.drawing+xml"/>
  <Override PartName="/xl/ctrlProps/ctrlProp9.xml" ContentType="application/vnd.ms-excel.controlproperties+xml"/>
  <Override PartName="/xl/drawings/drawing10.xml" ContentType="application/vnd.openxmlformats-officedocument.drawing+xml"/>
  <Override PartName="/xl/ctrlProps/ctrlProp10.xml" ContentType="application/vnd.ms-excel.controlproperties+xml"/>
  <Override PartName="/xl/drawings/drawing11.xml" ContentType="application/vnd.openxmlformats-officedocument.drawing+xml"/>
  <Override PartName="/xl/ctrlProps/ctrlProp11.xml" ContentType="application/vnd.ms-excel.controlproperties+xml"/>
  <Override PartName="/xl/drawings/drawing12.xml" ContentType="application/vnd.openxmlformats-officedocument.drawing+xml"/>
  <Override PartName="/xl/ctrlProps/ctrlProp12.xml" ContentType="application/vnd.ms-excel.controlproperties+xml"/>
  <Override PartName="/xl/drawings/drawing13.xml" ContentType="application/vnd.openxmlformats-officedocument.drawing+xml"/>
  <Override PartName="/xl/ctrlProps/ctrlProp13.xml" ContentType="application/vnd.ms-excel.controlproperties+xml"/>
  <Override PartName="/xl/drawings/drawing14.xml" ContentType="application/vnd.openxmlformats-officedocument.drawing+xml"/>
  <Override PartName="/xl/ctrlProps/ctrlProp14.xml" ContentType="application/vnd.ms-excel.controlproperties+xml"/>
  <Override PartName="/xl/drawings/drawing15.xml" ContentType="application/vnd.openxmlformats-officedocument.drawing+xml"/>
  <Override PartName="/xl/ctrlProps/ctrlProp15.xml" ContentType="application/vnd.ms-excel.controlproperties+xml"/>
  <Override PartName="/xl/drawings/drawing16.xml" ContentType="application/vnd.openxmlformats-officedocument.drawing+xml"/>
  <Override PartName="/xl/ctrlProps/ctrlProp16.xml" ContentType="application/vnd.ms-excel.controlproperties+xml"/>
  <Override PartName="/xl/drawings/drawing17.xml" ContentType="application/vnd.openxmlformats-officedocument.drawing+xml"/>
  <Override PartName="/xl/ctrlProps/ctrlProp17.xml" ContentType="application/vnd.ms-excel.controlproperties+xml"/>
  <Override PartName="/xl/drawings/drawing18.xml" ContentType="application/vnd.openxmlformats-officedocument.drawing+xml"/>
  <Override PartName="/xl/ctrlProps/ctrlProp18.xml" ContentType="application/vnd.ms-excel.controlproperties+xml"/>
  <Override PartName="/xl/drawings/drawing19.xml" ContentType="application/vnd.openxmlformats-officedocument.drawing+xml"/>
  <Override PartName="/xl/ctrlProps/ctrlProp19.xml" ContentType="application/vnd.ms-excel.controlproperties+xml"/>
  <Override PartName="/xl/drawings/drawing20.xml" ContentType="application/vnd.openxmlformats-officedocument.drawing+xml"/>
  <Override PartName="/xl/ctrlProps/ctrlProp20.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kaart\Documents\CT-Works\test cases\"/>
    </mc:Choice>
  </mc:AlternateContent>
  <xr:revisionPtr revIDLastSave="0" documentId="13_ncr:1_{F8FB558E-5398-49F3-B168-5AEDE75ACD15}" xr6:coauthVersionLast="47" xr6:coauthVersionMax="47" xr10:uidLastSave="{00000000-0000-0000-0000-000000000000}"/>
  <bookViews>
    <workbookView xWindow="-108" yWindow="-108" windowWidth="23256" windowHeight="12456" tabRatio="867" firstSheet="5" activeTab="13" xr2:uid="{6EF1455B-5B6E-478E-8DB7-CC4394A13F78}"/>
  </bookViews>
  <sheets>
    <sheet name="Title" sheetId="1" state="hidden" r:id="rId1"/>
    <sheet name="INDEX" sheetId="2" state="hidden" r:id="rId2"/>
    <sheet name="Notes Or Assumptions" sheetId="3" state="hidden" r:id="rId3"/>
    <sheet name="CT-VT Data landscape" sheetId="11" state="hidden" r:id="rId4"/>
    <sheet name="CT ADEQUACY" sheetId="125" state="hidden" r:id="rId5"/>
    <sheet name="CT-VT Burdens" sheetId="4" r:id="rId6"/>
    <sheet name="Parameters &amp; Fault Cal. (4)" sheetId="13" r:id="rId7"/>
    <sheet name="BAY1" sheetId="12" state="hidden" r:id="rId8"/>
    <sheet name="BUP BCU" sheetId="79" state="hidden" r:id="rId9"/>
    <sheet name="BUP BCU(1)" sheetId="117" state="hidden" r:id="rId10"/>
    <sheet name="BBP P743(1)" sheetId="105" state="hidden" r:id="rId11"/>
    <sheet name="BBP FU1 - REB500" sheetId="38" state="hidden" r:id="rId12"/>
    <sheet name="IFP1-RED670" sheetId="91" r:id="rId13"/>
    <sheet name="BCU+OC-5P SEL751+7SJ85 (2)" sheetId="15" r:id="rId14"/>
    <sheet name="Tariff Check-0.2FS  (3)" sheetId="17" state="hidden" r:id="rId15"/>
    <sheet name="BAY2" sheetId="5" state="hidden" r:id="rId16"/>
    <sheet name="HVC1 - REF650" sheetId="113" state="hidden" r:id="rId17"/>
    <sheet name="MFAC+MVTP" sheetId="130" state="hidden" r:id="rId18"/>
    <sheet name="BUP BCU(2)" sheetId="116" state="hidden" r:id="rId19"/>
    <sheet name="BBP FU1 - REB500 (2)" sheetId="92" state="hidden" r:id="rId20"/>
    <sheet name="BBP 743(2)" sheetId="107" state="hidden" r:id="rId21"/>
    <sheet name="BAY3" sheetId="93" state="hidden" r:id="rId22"/>
    <sheet name="RED670_2.2C42-X (2)" sheetId="14" state="hidden" r:id="rId23"/>
    <sheet name="RET670_650-PX (HV) (2)" sheetId="6" state="hidden" r:id="rId24"/>
    <sheet name="SEL487E-X" sheetId="7" state="hidden" r:id="rId25"/>
    <sheet name="BCU+OC-5P SEL751+7SJ85" sheetId="8" state="hidden" r:id="rId26"/>
    <sheet name="Tariff Main-0.2FS " sheetId="9" state="hidden" r:id="rId27"/>
    <sheet name="Tariff Check-0.2FS  (2)" sheetId="10" state="hidden" r:id="rId28"/>
    <sheet name="7UT635-X" sheetId="89" state="hidden" r:id="rId29"/>
    <sheet name="OC+BCPU+FMS-X (2)" sheetId="80" state="hidden" r:id="rId30"/>
    <sheet name="Main Tariff Meter " sheetId="82" state="hidden" r:id="rId31"/>
    <sheet name="Check Tariff Meter + Ammeters" sheetId="81" state="hidden" r:id="rId32"/>
    <sheet name="5 (7)" sheetId="83" state="hidden" r:id="rId33"/>
    <sheet name="OC+BCPU+FMS-X (3)" sheetId="84" state="hidden" r:id="rId34"/>
    <sheet name="(Metering + Ammeter) (2)" sheetId="85" state="hidden" r:id="rId35"/>
    <sheet name="5 (8)" sheetId="86" state="hidden" r:id="rId36"/>
    <sheet name="OC+BCPU+FMS-X (4)" sheetId="87" state="hidden" r:id="rId37"/>
    <sheet name="(Metering + Ammeter) (3)" sheetId="88" state="hidden" r:id="rId38"/>
    <sheet name="5 (4)" sheetId="37" state="hidden" r:id="rId39"/>
    <sheet name="IFP2 P545 (3)" sheetId="119" state="hidden" r:id="rId40"/>
    <sheet name="BUP BCU(3)" sheetId="115" state="hidden" r:id="rId41"/>
    <sheet name="GIB - REF650" sheetId="126" state="hidden" r:id="rId42"/>
    <sheet name="BBP FU1 - REB500 (3)" sheetId="110" state="hidden" r:id="rId43"/>
    <sheet name="P74X-X (3)" sheetId="108" state="hidden" r:id="rId44"/>
    <sheet name="COP MAIN" sheetId="16" state="hidden" r:id="rId45"/>
    <sheet name="COP CHECK" sheetId="122" state="hidden" r:id="rId46"/>
    <sheet name="GIB - REF650 (2)" sheetId="131" state="hidden" r:id="rId47"/>
    <sheet name="BAY4" sheetId="102" state="hidden" r:id="rId48"/>
    <sheet name="IFP1-RED670 (2)" sheetId="118" state="hidden" r:id="rId49"/>
    <sheet name="IFP2 P545 (4)" sheetId="112" state="hidden" r:id="rId50"/>
    <sheet name="BUP BCU(4)" sheetId="114" state="hidden" r:id="rId51"/>
    <sheet name="BBP FU1 - REB500 (4)" sheetId="104" state="hidden" r:id="rId52"/>
    <sheet name="P74X-X (4)" sheetId="109" state="hidden" r:id="rId53"/>
    <sheet name="CS1" sheetId="123" state="hidden" r:id="rId54"/>
    <sheet name="CS2" sheetId="124" state="hidden" r:id="rId55"/>
    <sheet name="VT ADEQUACY" sheetId="39" state="hidden" r:id="rId56"/>
    <sheet name="VT BAY1" sheetId="127" state="hidden" r:id="rId57"/>
    <sheet name="HVDC FEEDER" sheetId="40" state="hidden" r:id="rId58"/>
    <sheet name="VT BAY2" sheetId="128" state="hidden" r:id="rId59"/>
    <sheet name="FEEDER" sheetId="120" state="hidden" r:id="rId60"/>
    <sheet name="VT BAY3" sheetId="129" state="hidden" r:id="rId61"/>
    <sheet name="SGT" sheetId="90" state="hidden" r:id="rId62"/>
    <sheet name="Bus VT (2)" sheetId="76" state="hidden" r:id="rId63"/>
    <sheet name="Bus VT (3)" sheetId="77" state="hidden" r:id="rId64"/>
    <sheet name="P54x-X-3" sheetId="106" state="hidden" r:id="rId65"/>
    <sheet name="OC+FMS+BFR-X (BS)" sheetId="78" state="hidden" r:id="rId66"/>
  </sheets>
  <externalReferences>
    <externalReference r:id="rId67"/>
    <externalReference r:id="rId68"/>
    <externalReference r:id="rId69"/>
    <externalReference r:id="rId70"/>
    <externalReference r:id="rId71"/>
    <externalReference r:id="rId72"/>
    <externalReference r:id="rId73"/>
  </externalReferences>
  <definedNames>
    <definedName name="____________DAD11">#REF!</definedName>
    <definedName name="_________DAD11" localSheetId="34">#REF!</definedName>
    <definedName name="_________DAD11" localSheetId="37">#REF!</definedName>
    <definedName name="_________DAD11" localSheetId="31">#REF!</definedName>
    <definedName name="_________DAD11" localSheetId="45">#REF!</definedName>
    <definedName name="_________DAD11" localSheetId="44">#REF!</definedName>
    <definedName name="_________DAD11" localSheetId="53">#REF!</definedName>
    <definedName name="_________DAD11" localSheetId="54">#REF!</definedName>
    <definedName name="_________DAD11" localSheetId="30">#REF!</definedName>
    <definedName name="________DAD11" localSheetId="26">#REF!</definedName>
    <definedName name="_____DAD11" localSheetId="14">#REF!</definedName>
    <definedName name="____DAD11" localSheetId="27">#REF!</definedName>
    <definedName name="___DAD11" localSheetId="23">#REF!</definedName>
    <definedName name="__DAD11">#REF!</definedName>
    <definedName name="_DAD11">#REF!</definedName>
    <definedName name="a" localSheetId="28">#REF!</definedName>
    <definedName name="a" localSheetId="8">#REF!</definedName>
    <definedName name="a" localSheetId="29">#REF!</definedName>
    <definedName name="a" localSheetId="33">#REF!</definedName>
    <definedName name="a" localSheetId="36">#REF!</definedName>
    <definedName name="a" localSheetId="65">#REF!</definedName>
    <definedName name="a" localSheetId="23">#REF!</definedName>
    <definedName name="a">#REF!</definedName>
    <definedName name="AA" localSheetId="28">#REF!</definedName>
    <definedName name="AA" localSheetId="8">#REF!</definedName>
    <definedName name="AA" localSheetId="29">#REF!</definedName>
    <definedName name="AA" localSheetId="33">#REF!</definedName>
    <definedName name="AA" localSheetId="36">#REF!</definedName>
    <definedName name="AA" localSheetId="65">#REF!</definedName>
    <definedName name="AA" localSheetId="23">#REF!</definedName>
    <definedName name="AA">#REF!</definedName>
    <definedName name="aaa" localSheetId="28">#REF!</definedName>
    <definedName name="aaa" localSheetId="8">#REF!</definedName>
    <definedName name="aaa" localSheetId="29">#REF!</definedName>
    <definedName name="aaa" localSheetId="33">#REF!</definedName>
    <definedName name="aaa" localSheetId="36">#REF!</definedName>
    <definedName name="aaa" localSheetId="65">#REF!</definedName>
    <definedName name="aaa" localSheetId="23">#REF!</definedName>
    <definedName name="aaa">#REF!</definedName>
    <definedName name="ADNAN">'[1]Main 1'!$M$68</definedName>
    <definedName name="B" localSheetId="28">#REF!</definedName>
    <definedName name="B" localSheetId="8">#REF!</definedName>
    <definedName name="B" localSheetId="29">#REF!</definedName>
    <definedName name="B" localSheetId="33">#REF!</definedName>
    <definedName name="B" localSheetId="36">#REF!</definedName>
    <definedName name="B" localSheetId="65">#REF!</definedName>
    <definedName name="B" localSheetId="23">#REF!</definedName>
    <definedName name="B">#REF!</definedName>
    <definedName name="ccc" localSheetId="34">#REF!</definedName>
    <definedName name="ccc" localSheetId="37">#REF!</definedName>
    <definedName name="ccc" localSheetId="28">#REF!</definedName>
    <definedName name="ccc" localSheetId="20">#REF!</definedName>
    <definedName name="ccc" localSheetId="10">#REF!</definedName>
    <definedName name="ccc" localSheetId="8">#REF!</definedName>
    <definedName name="ccc" localSheetId="31">#REF!</definedName>
    <definedName name="ccc" localSheetId="45">#REF!</definedName>
    <definedName name="ccc" localSheetId="44">#REF!</definedName>
    <definedName name="ccc" localSheetId="53">#REF!</definedName>
    <definedName name="ccc" localSheetId="54">#REF!</definedName>
    <definedName name="ccc" localSheetId="30">#REF!</definedName>
    <definedName name="ccc" localSheetId="17">#REF!</definedName>
    <definedName name="ccc" localSheetId="29">#REF!</definedName>
    <definedName name="ccc" localSheetId="33">#REF!</definedName>
    <definedName name="ccc" localSheetId="36">#REF!</definedName>
    <definedName name="ccc" localSheetId="65">#REF!</definedName>
    <definedName name="ccc" localSheetId="43">#REF!</definedName>
    <definedName name="ccc" localSheetId="52">#REF!</definedName>
    <definedName name="ccc" localSheetId="23">#REF!</definedName>
    <definedName name="ccc" localSheetId="24">#REF!</definedName>
    <definedName name="ccc" localSheetId="27">#REF!</definedName>
    <definedName name="ccc" localSheetId="14">#REF!</definedName>
    <definedName name="ccc" localSheetId="26">#REF!</definedName>
    <definedName name="ccc">#REF!</definedName>
    <definedName name="class" localSheetId="28">#REF!</definedName>
    <definedName name="class" localSheetId="8">#REF!</definedName>
    <definedName name="class" localSheetId="29">#REF!</definedName>
    <definedName name="class" localSheetId="33">#REF!</definedName>
    <definedName name="class" localSheetId="36">#REF!</definedName>
    <definedName name="class" localSheetId="65">#REF!</definedName>
    <definedName name="class">#REF!</definedName>
    <definedName name="_xlnm.Criteria" localSheetId="34">#REF!</definedName>
    <definedName name="_xlnm.Criteria" localSheetId="37">#REF!</definedName>
    <definedName name="_xlnm.Criteria" localSheetId="28">#REF!</definedName>
    <definedName name="_xlnm.Criteria" localSheetId="20">#REF!</definedName>
    <definedName name="_xlnm.Criteria" localSheetId="10">#REF!</definedName>
    <definedName name="_xlnm.Criteria" localSheetId="8">#REF!</definedName>
    <definedName name="_xlnm.Criteria" localSheetId="31">#REF!</definedName>
    <definedName name="_xlnm.Criteria" localSheetId="45">#REF!</definedName>
    <definedName name="_xlnm.Criteria" localSheetId="44">#REF!</definedName>
    <definedName name="_xlnm.Criteria" localSheetId="53">#REF!</definedName>
    <definedName name="_xlnm.Criteria" localSheetId="54">#REF!</definedName>
    <definedName name="_xlnm.Criteria" localSheetId="30">#REF!</definedName>
    <definedName name="_xlnm.Criteria" localSheetId="17">#REF!</definedName>
    <definedName name="_xlnm.Criteria" localSheetId="29">#REF!</definedName>
    <definedName name="_xlnm.Criteria" localSheetId="33">#REF!</definedName>
    <definedName name="_xlnm.Criteria" localSheetId="36">#REF!</definedName>
    <definedName name="_xlnm.Criteria" localSheetId="65">#REF!</definedName>
    <definedName name="_xlnm.Criteria" localSheetId="43">#REF!</definedName>
    <definedName name="_xlnm.Criteria" localSheetId="52">#REF!</definedName>
    <definedName name="_xlnm.Criteria" localSheetId="23">#REF!</definedName>
    <definedName name="_xlnm.Criteria" localSheetId="24">#REF!</definedName>
    <definedName name="_xlnm.Criteria" localSheetId="27">#REF!</definedName>
    <definedName name="_xlnm.Criteria" localSheetId="14">#REF!</definedName>
    <definedName name="_xlnm.Criteria" localSheetId="26">#REF!</definedName>
    <definedName name="_xlnm.Criteria">#REF!</definedName>
    <definedName name="DAD" localSheetId="34">#REF!</definedName>
    <definedName name="DAD" localSheetId="37">#REF!</definedName>
    <definedName name="DAD" localSheetId="28">#REF!</definedName>
    <definedName name="DAD" localSheetId="8">#REF!</definedName>
    <definedName name="DAD" localSheetId="31">#REF!</definedName>
    <definedName name="DAD" localSheetId="45">#REF!</definedName>
    <definedName name="DAD" localSheetId="44">#REF!</definedName>
    <definedName name="DAD" localSheetId="53">#REF!</definedName>
    <definedName name="DAD" localSheetId="54">#REF!</definedName>
    <definedName name="DAD" localSheetId="30">#REF!</definedName>
    <definedName name="DAD" localSheetId="29">#REF!</definedName>
    <definedName name="DAD" localSheetId="33">#REF!</definedName>
    <definedName name="DAD" localSheetId="36">#REF!</definedName>
    <definedName name="DAD" localSheetId="65">#REF!</definedName>
    <definedName name="DAD" localSheetId="23">#REF!</definedName>
    <definedName name="DAD" localSheetId="27">#REF!</definedName>
    <definedName name="DAD" localSheetId="14">#REF!</definedName>
    <definedName name="DAD" localSheetId="26">#REF!</definedName>
    <definedName name="DAD">#REF!</definedName>
    <definedName name="DDDD" localSheetId="34">#REF!</definedName>
    <definedName name="DDDD" localSheetId="37">#REF!</definedName>
    <definedName name="DDDD" localSheetId="28">#REF!</definedName>
    <definedName name="DDDD" localSheetId="8">#REF!</definedName>
    <definedName name="DDDD" localSheetId="31">#REF!</definedName>
    <definedName name="DDDD" localSheetId="45">#REF!</definedName>
    <definedName name="DDDD" localSheetId="44">#REF!</definedName>
    <definedName name="DDDD" localSheetId="53">#REF!</definedName>
    <definedName name="DDDD" localSheetId="54">#REF!</definedName>
    <definedName name="DDDD" localSheetId="30">#REF!</definedName>
    <definedName name="DDDD" localSheetId="29">#REF!</definedName>
    <definedName name="DDDD" localSheetId="33">#REF!</definedName>
    <definedName name="DDDD" localSheetId="36">#REF!</definedName>
    <definedName name="DDDD" localSheetId="65">#REF!</definedName>
    <definedName name="DDDD" localSheetId="23">#REF!</definedName>
    <definedName name="DDDD" localSheetId="27">#REF!</definedName>
    <definedName name="DDDD" localSheetId="14">#REF!</definedName>
    <definedName name="DDDD" localSheetId="26">#REF!</definedName>
    <definedName name="DDDD">#REF!</definedName>
    <definedName name="_xlnm.Extract" localSheetId="34">#REF!</definedName>
    <definedName name="_xlnm.Extract" localSheetId="37">#REF!</definedName>
    <definedName name="_xlnm.Extract" localSheetId="28">#REF!</definedName>
    <definedName name="_xlnm.Extract" localSheetId="20">#REF!</definedName>
    <definedName name="_xlnm.Extract" localSheetId="10">#REF!</definedName>
    <definedName name="_xlnm.Extract" localSheetId="8">#REF!</definedName>
    <definedName name="_xlnm.Extract" localSheetId="31">#REF!</definedName>
    <definedName name="_xlnm.Extract" localSheetId="45">#REF!</definedName>
    <definedName name="_xlnm.Extract" localSheetId="44">#REF!</definedName>
    <definedName name="_xlnm.Extract" localSheetId="53">#REF!</definedName>
    <definedName name="_xlnm.Extract" localSheetId="54">#REF!</definedName>
    <definedName name="_xlnm.Extract" localSheetId="30">#REF!</definedName>
    <definedName name="_xlnm.Extract" localSheetId="17">#REF!</definedName>
    <definedName name="_xlnm.Extract" localSheetId="29">#REF!</definedName>
    <definedName name="_xlnm.Extract" localSheetId="33">#REF!</definedName>
    <definedName name="_xlnm.Extract" localSheetId="36">#REF!</definedName>
    <definedName name="_xlnm.Extract" localSheetId="65">#REF!</definedName>
    <definedName name="_xlnm.Extract" localSheetId="43">#REF!</definedName>
    <definedName name="_xlnm.Extract" localSheetId="52">#REF!</definedName>
    <definedName name="_xlnm.Extract" localSheetId="23">#REF!</definedName>
    <definedName name="_xlnm.Extract" localSheetId="24">#REF!</definedName>
    <definedName name="_xlnm.Extract" localSheetId="27">#REF!</definedName>
    <definedName name="_xlnm.Extract" localSheetId="14">#REF!</definedName>
    <definedName name="_xlnm.Extract" localSheetId="26">#REF!</definedName>
    <definedName name="_xlnm.Extract">#REF!</definedName>
    <definedName name="FaultSettingTable">'[1]Main 1'!$M$68</definedName>
    <definedName name="FF" localSheetId="28">#REF!</definedName>
    <definedName name="FF" localSheetId="8">#REF!</definedName>
    <definedName name="FF" localSheetId="29">#REF!</definedName>
    <definedName name="FF" localSheetId="33">#REF!</definedName>
    <definedName name="FF" localSheetId="36">#REF!</definedName>
    <definedName name="FF" localSheetId="65">#REF!</definedName>
    <definedName name="FF" localSheetId="23">#REF!</definedName>
    <definedName name="FF">#REF!</definedName>
    <definedName name="ffffffffffffff" localSheetId="28">#REF!</definedName>
    <definedName name="ffffffffffffff" localSheetId="8">#REF!</definedName>
    <definedName name="ffffffffffffff" localSheetId="29">#REF!</definedName>
    <definedName name="ffffffffffffff" localSheetId="33">#REF!</definedName>
    <definedName name="ffffffffffffff" localSheetId="36">#REF!</definedName>
    <definedName name="ffffffffffffff" localSheetId="65">#REF!</definedName>
    <definedName name="ffffffffffffff">#REF!</definedName>
    <definedName name="ggggg" localSheetId="28">#REF!</definedName>
    <definedName name="ggggg" localSheetId="8">#REF!</definedName>
    <definedName name="ggggg" localSheetId="29">#REF!</definedName>
    <definedName name="ggggg" localSheetId="33">#REF!</definedName>
    <definedName name="ggggg" localSheetId="36">#REF!</definedName>
    <definedName name="ggggg" localSheetId="65">#REF!</definedName>
    <definedName name="ggggg">#REF!</definedName>
    <definedName name="_xlnm.Print_Area" localSheetId="34">'(Metering + Ammeter) (2)'!$A$1:$V$178</definedName>
    <definedName name="_xlnm.Print_Area" localSheetId="37">'(Metering + Ammeter) (3)'!$A$1:$V$178</definedName>
    <definedName name="_xlnm.Print_Area" localSheetId="38">'5 (4)'!$A$1:$V$44</definedName>
    <definedName name="_xlnm.Print_Area" localSheetId="32">'5 (7)'!$A$1:$V$44</definedName>
    <definedName name="_xlnm.Print_Area" localSheetId="35">'5 (8)'!$A$1:$V$44</definedName>
    <definedName name="_xlnm.Print_Area" localSheetId="28">'7UT635-X'!$A$1:$V$623</definedName>
    <definedName name="_xlnm.Print_Area" localSheetId="7">'BAY1'!$A$1:$V$44</definedName>
    <definedName name="_xlnm.Print_Area" localSheetId="15">'BAY2'!$A$1:$V$44</definedName>
    <definedName name="_xlnm.Print_Area" localSheetId="21">'BAY3'!$A$1:$V$44</definedName>
    <definedName name="_xlnm.Print_Area" localSheetId="47">'BAY4'!$A$1:$V$45</definedName>
    <definedName name="_xlnm.Print_Area" localSheetId="20">'BBP 743(2)'!$A$1:$V$301</definedName>
    <definedName name="_xlnm.Print_Area" localSheetId="11">'BBP FU1 - REB500'!$A$1:$V$299</definedName>
    <definedName name="_xlnm.Print_Area" localSheetId="19">'BBP FU1 - REB500 (2)'!$A$1:$V$298</definedName>
    <definedName name="_xlnm.Print_Area" localSheetId="42">'BBP FU1 - REB500 (3)'!$A$1:$V$331</definedName>
    <definedName name="_xlnm.Print_Area" localSheetId="51">'BBP FU1 - REB500 (4)'!$A$1:$V$298</definedName>
    <definedName name="_xlnm.Print_Area" localSheetId="10">'BBP P743(1)'!$A$1:$V$304</definedName>
    <definedName name="_xlnm.Print_Area" localSheetId="25">'BCU+OC-5P SEL751+7SJ85'!$A$1:$V$172</definedName>
    <definedName name="_xlnm.Print_Area" localSheetId="13">'BCU+OC-5P SEL751+7SJ85 (2)'!$A$1:$V$172</definedName>
    <definedName name="_xlnm.Print_Area" localSheetId="8">'BUP BCU'!$A$1:$V$134</definedName>
    <definedName name="_xlnm.Print_Area" localSheetId="9">'BUP BCU(1)'!$A$1:$V$131</definedName>
    <definedName name="_xlnm.Print_Area" localSheetId="18">'BUP BCU(2)'!$A$1:$V$128</definedName>
    <definedName name="_xlnm.Print_Area" localSheetId="40">'BUP BCU(3)'!$A$1:$V$307</definedName>
    <definedName name="_xlnm.Print_Area" localSheetId="50">'BUP BCU(4)'!$A$1:$V$299</definedName>
    <definedName name="_xlnm.Print_Area" localSheetId="62">'Bus VT (2)'!$A$1:$V$169</definedName>
    <definedName name="_xlnm.Print_Area" localSheetId="63">'Bus VT (3)'!$A$1:$V$172</definedName>
    <definedName name="_xlnm.Print_Area" localSheetId="31">'Check Tariff Meter + Ammeters'!$A$1:$V$178</definedName>
    <definedName name="_xlnm.Print_Area" localSheetId="45">'COP CHECK'!$A$1:$V$89</definedName>
    <definedName name="_xlnm.Print_Area" localSheetId="44">'COP MAIN'!$A$1:$V$89</definedName>
    <definedName name="_xlnm.Print_Area" localSheetId="53">'CS1'!$A$1:$V$178</definedName>
    <definedName name="_xlnm.Print_Area" localSheetId="54">'CS2'!$A$1:$V$178</definedName>
    <definedName name="_xlnm.Print_Area" localSheetId="5">'CT-VT Burdens'!$A$1:$V$125</definedName>
    <definedName name="_xlnm.Print_Area" localSheetId="3">'CT-VT Data landscape'!$A$1:$X$221</definedName>
    <definedName name="_xlnm.Print_Area" localSheetId="59">FEEDER!$A$1:$V$166</definedName>
    <definedName name="_xlnm.Print_Area" localSheetId="41">'GIB - REF650'!$A$1:$V$126</definedName>
    <definedName name="_xlnm.Print_Area" localSheetId="46">'GIB - REF650 (2)'!$A$1:$V$126</definedName>
    <definedName name="_xlnm.Print_Area" localSheetId="16">'HVC1 - REF650'!$A$1:$V$300</definedName>
    <definedName name="_xlnm.Print_Area" localSheetId="57">'HVDC FEEDER'!$A$1:$V$166</definedName>
    <definedName name="_xlnm.Print_Area" localSheetId="12">'IFP1-RED670'!$A$1:$V$417</definedName>
    <definedName name="_xlnm.Print_Area" localSheetId="48">'IFP1-RED670 (2)'!$A$1:$V$464</definedName>
    <definedName name="_xlnm.Print_Area" localSheetId="39">'IFP2 P545 (3)'!$A$1:$V$162</definedName>
    <definedName name="_xlnm.Print_Area" localSheetId="49">'IFP2 P545 (4)'!$A$1:$V$419</definedName>
    <definedName name="_xlnm.Print_Area" localSheetId="1">INDEX!$A$1:$V$48</definedName>
    <definedName name="_xlnm.Print_Area" localSheetId="30">'Main Tariff Meter '!$A$1:$V$178</definedName>
    <definedName name="_xlnm.Print_Area" localSheetId="17">'MFAC+MVTP'!$A$1:$V$87</definedName>
    <definedName name="_xlnm.Print_Area" localSheetId="2">'Notes Or Assumptions'!$A$1:$V$45</definedName>
    <definedName name="_xlnm.Print_Area" localSheetId="29">'OC+BCPU+FMS-X (2)'!$A$1:$V$322</definedName>
    <definedName name="_xlnm.Print_Area" localSheetId="33">'OC+BCPU+FMS-X (3)'!$A$1:$V$322</definedName>
    <definedName name="_xlnm.Print_Area" localSheetId="36">'OC+BCPU+FMS-X (4)'!$A$1:$V$322</definedName>
    <definedName name="_xlnm.Print_Area" localSheetId="65">'OC+FMS+BFR-X (BS)'!$A$1:$V$308</definedName>
    <definedName name="_xlnm.Print_Area" localSheetId="64">'P54x-X-3'!$A$1:$V$390</definedName>
    <definedName name="_xlnm.Print_Area" localSheetId="43">'P74X-X (3)'!$A$1:$V$308</definedName>
    <definedName name="_xlnm.Print_Area" localSheetId="52">'P74X-X (4)'!$A$1:$V$302</definedName>
    <definedName name="_xlnm.Print_Area" localSheetId="6">'Parameters &amp; Fault Cal. (4)'!$A$1:$V$174</definedName>
    <definedName name="_xlnm.Print_Area" localSheetId="22">'RED670_2.2C42-X (2)'!$A$1:$V$464</definedName>
    <definedName name="_xlnm.Print_Area" localSheetId="23">'RET670_650-PX (HV) (2)'!$A$1:$V$887</definedName>
    <definedName name="_xlnm.Print_Area" localSheetId="24">'SEL487E-X'!$A$1:$V$609</definedName>
    <definedName name="_xlnm.Print_Area" localSheetId="61">SGT!$A$1:$V$177</definedName>
    <definedName name="_xlnm.Print_Area" localSheetId="27">'Tariff Check-0.2FS  (2)'!$A$1:$V$179</definedName>
    <definedName name="_xlnm.Print_Area" localSheetId="14">'Tariff Check-0.2FS  (3)'!$A$1:$V$179</definedName>
    <definedName name="_xlnm.Print_Area" localSheetId="26">'Tariff Main-0.2FS '!$A$1:$V$179</definedName>
    <definedName name="_xlnm.Print_Area" localSheetId="0">Title!$A$1:$V$45</definedName>
    <definedName name="_xlnm.Print_Area" localSheetId="56">'VT BAY1'!$A$1:$V$44</definedName>
    <definedName name="_xlnm.Print_Area" localSheetId="58">'VT BAY2'!$A$1:$V$45</definedName>
    <definedName name="_xlnm.Print_Area" localSheetId="60">'VT BAY3'!$A$1:$V$44</definedName>
    <definedName name="_xlnm.Print_Titles" localSheetId="34">'(Metering + Ammeter) (2)'!$1:$5</definedName>
    <definedName name="_xlnm.Print_Titles" localSheetId="37">'(Metering + Ammeter) (3)'!$1:$5</definedName>
    <definedName name="_xlnm.Print_Titles" localSheetId="28">'7UT635-X'!$1:$5</definedName>
    <definedName name="_xlnm.Print_Titles" localSheetId="20">'BBP 743(2)'!$1:$5</definedName>
    <definedName name="_xlnm.Print_Titles" localSheetId="11">'BBP FU1 - REB500'!$1:$5</definedName>
    <definedName name="_xlnm.Print_Titles" localSheetId="19">'BBP FU1 - REB500 (2)'!$1:$5</definedName>
    <definedName name="_xlnm.Print_Titles" localSheetId="42">'BBP FU1 - REB500 (3)'!$1:$5</definedName>
    <definedName name="_xlnm.Print_Titles" localSheetId="51">'BBP FU1 - REB500 (4)'!$1:$5</definedName>
    <definedName name="_xlnm.Print_Titles" localSheetId="10">'BBP P743(1)'!$1:$5</definedName>
    <definedName name="_xlnm.Print_Titles" localSheetId="25">'BCU+OC-5P SEL751+7SJ85'!$1:$5</definedName>
    <definedName name="_xlnm.Print_Titles" localSheetId="13">'BCU+OC-5P SEL751+7SJ85 (2)'!$1:$5</definedName>
    <definedName name="_xlnm.Print_Titles" localSheetId="8">'BUP BCU'!$1:$5</definedName>
    <definedName name="_xlnm.Print_Titles" localSheetId="9">'BUP BCU(1)'!$1:$5</definedName>
    <definedName name="_xlnm.Print_Titles" localSheetId="18">'BUP BCU(2)'!$1:$5</definedName>
    <definedName name="_xlnm.Print_Titles" localSheetId="40">'BUP BCU(3)'!$1:$5</definedName>
    <definedName name="_xlnm.Print_Titles" localSheetId="50">'BUP BCU(4)'!$1:$5</definedName>
    <definedName name="_xlnm.Print_Titles" localSheetId="62">'Bus VT (2)'!$1:$5</definedName>
    <definedName name="_xlnm.Print_Titles" localSheetId="63">'Bus VT (3)'!$1:$5</definedName>
    <definedName name="_xlnm.Print_Titles" localSheetId="31">'Check Tariff Meter + Ammeters'!$1:$5</definedName>
    <definedName name="_xlnm.Print_Titles" localSheetId="45">'COP CHECK'!$1:$5</definedName>
    <definedName name="_xlnm.Print_Titles" localSheetId="44">'COP MAIN'!$1:$5</definedName>
    <definedName name="_xlnm.Print_Titles" localSheetId="53">'CS1'!$1:$5</definedName>
    <definedName name="_xlnm.Print_Titles" localSheetId="54">'CS2'!$1:$5</definedName>
    <definedName name="_xlnm.Print_Titles" localSheetId="5">'CT-VT Burdens'!$1:$5</definedName>
    <definedName name="_xlnm.Print_Titles" localSheetId="3">'CT-VT Data landscape'!$1:$5</definedName>
    <definedName name="_xlnm.Print_Titles" localSheetId="59">FEEDER!$1:$5</definedName>
    <definedName name="_xlnm.Print_Titles" localSheetId="41">'GIB - REF650'!$1:$5</definedName>
    <definedName name="_xlnm.Print_Titles" localSheetId="46">'GIB - REF650 (2)'!$1:$5</definedName>
    <definedName name="_xlnm.Print_Titles" localSheetId="16">'HVC1 - REF650'!$1:$5</definedName>
    <definedName name="_xlnm.Print_Titles" localSheetId="57">'HVDC FEEDER'!$1:$5</definedName>
    <definedName name="_xlnm.Print_Titles" localSheetId="12">'IFP1-RED670'!$1:$5</definedName>
    <definedName name="_xlnm.Print_Titles" localSheetId="48">'IFP1-RED670 (2)'!$1:$5</definedName>
    <definedName name="_xlnm.Print_Titles" localSheetId="39">'IFP2 P545 (3)'!$1:$5</definedName>
    <definedName name="_xlnm.Print_Titles" localSheetId="49">'IFP2 P545 (4)'!$1:$5</definedName>
    <definedName name="_xlnm.Print_Titles" localSheetId="30">'Main Tariff Meter '!$1:$5</definedName>
    <definedName name="_xlnm.Print_Titles" localSheetId="17">'MFAC+MVTP'!$1:$5</definedName>
    <definedName name="_xlnm.Print_Titles" localSheetId="29">'OC+BCPU+FMS-X (2)'!$1:$5</definedName>
    <definedName name="_xlnm.Print_Titles" localSheetId="33">'OC+BCPU+FMS-X (3)'!$1:$5</definedName>
    <definedName name="_xlnm.Print_Titles" localSheetId="36">'OC+BCPU+FMS-X (4)'!$1:$5</definedName>
    <definedName name="_xlnm.Print_Titles" localSheetId="64">'P54x-X-3'!$1:$5</definedName>
    <definedName name="_xlnm.Print_Titles" localSheetId="52">'P74X-X (4)'!$1:$5</definedName>
    <definedName name="_xlnm.Print_Titles" localSheetId="6">'Parameters &amp; Fault Cal. (4)'!$1:$5</definedName>
    <definedName name="_xlnm.Print_Titles" localSheetId="22">'RED670_2.2C42-X (2)'!$1:$5</definedName>
    <definedName name="_xlnm.Print_Titles" localSheetId="23">'RET670_650-PX (HV) (2)'!$1:$5</definedName>
    <definedName name="_xlnm.Print_Titles" localSheetId="24">'SEL487E-X'!$1:$5</definedName>
    <definedName name="_xlnm.Print_Titles" localSheetId="61">SGT!$1:$5</definedName>
    <definedName name="_xlnm.Print_Titles" localSheetId="27">'Tariff Check-0.2FS  (2)'!$1:$5</definedName>
    <definedName name="_xlnm.Print_Titles" localSheetId="14">'Tariff Check-0.2FS  (3)'!$1:$5</definedName>
    <definedName name="_xlnm.Print_Titles" localSheetId="26">'Tariff Main-0.2FS '!$1:$5</definedName>
    <definedName name="q" localSheetId="28">#REF!</definedName>
    <definedName name="q" localSheetId="8">#REF!</definedName>
    <definedName name="q" localSheetId="29">#REF!</definedName>
    <definedName name="q" localSheetId="33">#REF!</definedName>
    <definedName name="q" localSheetId="36">#REF!</definedName>
    <definedName name="q" localSheetId="65">#REF!</definedName>
    <definedName name="q">#REF!</definedName>
    <definedName name="ResistorTable">'[1]Main 1'!$M$61</definedName>
    <definedName name="TapTable">'[1]Main 1'!$M$51</definedName>
    <definedName name="V" localSheetId="28">#REF!</definedName>
    <definedName name="V" localSheetId="8">#REF!</definedName>
    <definedName name="V" localSheetId="29">#REF!</definedName>
    <definedName name="V" localSheetId="33">#REF!</definedName>
    <definedName name="V" localSheetId="36">#REF!</definedName>
    <definedName name="V" localSheetId="65">#REF!</definedName>
    <definedName name="V" localSheetId="23">#REF!</definedName>
    <definedName name="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49" i="91" l="1"/>
  <c r="J129" i="91"/>
  <c r="Q148" i="11"/>
  <c r="O148" i="11"/>
  <c r="K148" i="11"/>
  <c r="I148" i="11"/>
  <c r="H148" i="11"/>
  <c r="G148" i="11"/>
  <c r="F148" i="11"/>
  <c r="D149" i="11"/>
  <c r="D148" i="11"/>
  <c r="A148" i="11"/>
  <c r="Q91" i="131"/>
  <c r="O91" i="131"/>
  <c r="M91" i="131"/>
  <c r="K91" i="131"/>
  <c r="I91" i="131"/>
  <c r="H91" i="131"/>
  <c r="G91" i="131"/>
  <c r="F91" i="131"/>
  <c r="D91" i="131"/>
  <c r="B91" i="131"/>
  <c r="A91" i="131"/>
  <c r="G53" i="131"/>
  <c r="J49" i="131"/>
  <c r="M41" i="131"/>
  <c r="S36" i="131"/>
  <c r="K41" i="131" s="1"/>
  <c r="S33" i="131"/>
  <c r="H41" i="131" s="1"/>
  <c r="S32" i="131"/>
  <c r="S31" i="131"/>
  <c r="G49" i="131" s="1"/>
  <c r="G50" i="131" s="1"/>
  <c r="G57" i="131" s="1"/>
  <c r="T21" i="131"/>
  <c r="R21" i="131"/>
  <c r="P21" i="131"/>
  <c r="P22" i="131" s="1"/>
  <c r="S34" i="131" s="1"/>
  <c r="J21" i="131"/>
  <c r="J22" i="131" s="1"/>
  <c r="S35" i="131" s="1"/>
  <c r="O53" i="131" s="1"/>
  <c r="D20" i="131"/>
  <c r="D19" i="131"/>
  <c r="J18" i="131"/>
  <c r="D18" i="131"/>
  <c r="R5" i="131"/>
  <c r="O5" i="131"/>
  <c r="G5" i="131"/>
  <c r="D5" i="131"/>
  <c r="C5" i="131"/>
  <c r="A5" i="131"/>
  <c r="R4" i="131"/>
  <c r="O4" i="131"/>
  <c r="R3" i="131"/>
  <c r="O3" i="131"/>
  <c r="H3" i="131"/>
  <c r="R2" i="131"/>
  <c r="O2" i="131"/>
  <c r="H2" i="131"/>
  <c r="R1" i="131"/>
  <c r="O1" i="131"/>
  <c r="H1" i="131"/>
  <c r="H144" i="90"/>
  <c r="Q51" i="130"/>
  <c r="Q80" i="11" s="1"/>
  <c r="Q97" i="117"/>
  <c r="Q274" i="115"/>
  <c r="Q123" i="11" s="1"/>
  <c r="D81" i="11"/>
  <c r="J19" i="130"/>
  <c r="O51" i="130"/>
  <c r="O80" i="11" s="1"/>
  <c r="M51" i="130"/>
  <c r="M80" i="11" s="1"/>
  <c r="K51" i="130"/>
  <c r="K80" i="11" s="1"/>
  <c r="I51" i="130"/>
  <c r="I80" i="11" s="1"/>
  <c r="H51" i="130"/>
  <c r="G51" i="130"/>
  <c r="G265" i="38"/>
  <c r="F51" i="130"/>
  <c r="F80" i="11" s="1"/>
  <c r="D51" i="130"/>
  <c r="D80" i="11" s="1"/>
  <c r="B51" i="130"/>
  <c r="B80" i="11" s="1"/>
  <c r="A51" i="130"/>
  <c r="A80" i="11" s="1"/>
  <c r="J18" i="130"/>
  <c r="E43" i="130"/>
  <c r="J36" i="130"/>
  <c r="S25" i="130"/>
  <c r="S28" i="130" s="1"/>
  <c r="D20" i="130"/>
  <c r="D19" i="130"/>
  <c r="D18" i="130"/>
  <c r="R5" i="130"/>
  <c r="O5" i="130"/>
  <c r="G5" i="130"/>
  <c r="D5" i="130"/>
  <c r="C5" i="130"/>
  <c r="A5" i="130"/>
  <c r="R4" i="130"/>
  <c r="O4" i="130"/>
  <c r="R3" i="130"/>
  <c r="O3" i="130"/>
  <c r="H3" i="130"/>
  <c r="R2" i="130"/>
  <c r="O2" i="130"/>
  <c r="H2" i="130"/>
  <c r="R1" i="130"/>
  <c r="O1" i="130"/>
  <c r="H1" i="130"/>
  <c r="I55" i="122"/>
  <c r="F55" i="122"/>
  <c r="D56" i="122"/>
  <c r="D55" i="122"/>
  <c r="B55" i="122"/>
  <c r="A55" i="122"/>
  <c r="I55" i="16"/>
  <c r="F55" i="16"/>
  <c r="D56" i="16"/>
  <c r="D55" i="16"/>
  <c r="B55" i="16"/>
  <c r="A55" i="16"/>
  <c r="R5" i="112"/>
  <c r="R5" i="119"/>
  <c r="R4" i="119"/>
  <c r="R3" i="119"/>
  <c r="R2" i="119"/>
  <c r="R5" i="107"/>
  <c r="R4" i="107"/>
  <c r="R3" i="107"/>
  <c r="R2" i="107"/>
  <c r="R1" i="107"/>
  <c r="R5" i="116"/>
  <c r="R4" i="116"/>
  <c r="R3" i="116"/>
  <c r="R2" i="116"/>
  <c r="R1" i="116"/>
  <c r="R5" i="113"/>
  <c r="R4" i="113"/>
  <c r="R3" i="113"/>
  <c r="R2" i="113"/>
  <c r="R1" i="113"/>
  <c r="R5" i="105"/>
  <c r="R4" i="105"/>
  <c r="R3" i="105"/>
  <c r="R2" i="105"/>
  <c r="R1" i="105"/>
  <c r="R1" i="117"/>
  <c r="D109" i="123"/>
  <c r="T109" i="123"/>
  <c r="J120" i="123"/>
  <c r="N120" i="123"/>
  <c r="G125" i="123"/>
  <c r="R5" i="109"/>
  <c r="R4" i="109"/>
  <c r="R3" i="109"/>
  <c r="R2" i="109"/>
  <c r="R1" i="109"/>
  <c r="H3" i="109"/>
  <c r="H3" i="104"/>
  <c r="R5" i="114"/>
  <c r="R4" i="114"/>
  <c r="R3" i="114"/>
  <c r="R2" i="114"/>
  <c r="R1" i="114"/>
  <c r="O1" i="114"/>
  <c r="H3" i="114"/>
  <c r="R4" i="112"/>
  <c r="R3" i="112"/>
  <c r="R2" i="112"/>
  <c r="R1" i="112"/>
  <c r="H3" i="112"/>
  <c r="H3" i="118"/>
  <c r="R5" i="126"/>
  <c r="R4" i="126"/>
  <c r="R3" i="126"/>
  <c r="R2" i="126"/>
  <c r="R1" i="126"/>
  <c r="O1" i="126"/>
  <c r="H3" i="126"/>
  <c r="R1" i="119"/>
  <c r="R5" i="115"/>
  <c r="R4" i="115"/>
  <c r="R3" i="115"/>
  <c r="R2" i="115"/>
  <c r="O1" i="115"/>
  <c r="R1" i="115"/>
  <c r="H3" i="115"/>
  <c r="H3" i="119"/>
  <c r="I128" i="119"/>
  <c r="H128" i="119"/>
  <c r="G128" i="119"/>
  <c r="G384" i="91"/>
  <c r="F128" i="119"/>
  <c r="D130" i="119"/>
  <c r="D129" i="119"/>
  <c r="D128" i="119"/>
  <c r="B128" i="119"/>
  <c r="A128" i="119"/>
  <c r="H3" i="116"/>
  <c r="O5" i="116"/>
  <c r="O4" i="116"/>
  <c r="O3" i="116"/>
  <c r="O2" i="116"/>
  <c r="O1" i="116"/>
  <c r="O5" i="113"/>
  <c r="O4" i="113"/>
  <c r="O3" i="113"/>
  <c r="O2" i="113"/>
  <c r="O1" i="113"/>
  <c r="D5" i="117"/>
  <c r="O5" i="117"/>
  <c r="O4" i="117"/>
  <c r="O3" i="117"/>
  <c r="O2" i="117"/>
  <c r="O1" i="117"/>
  <c r="H3" i="113"/>
  <c r="H3" i="38"/>
  <c r="H2" i="38"/>
  <c r="R4" i="117"/>
  <c r="R3" i="117"/>
  <c r="R5" i="117"/>
  <c r="R2" i="117"/>
  <c r="H3" i="117"/>
  <c r="H3" i="105"/>
  <c r="G211" i="11"/>
  <c r="K200" i="11"/>
  <c r="G207" i="11"/>
  <c r="G201" i="11"/>
  <c r="G200" i="11"/>
  <c r="H266" i="113"/>
  <c r="G266" i="113"/>
  <c r="A266" i="113"/>
  <c r="A75" i="11" s="1"/>
  <c r="D129" i="11"/>
  <c r="H91" i="126"/>
  <c r="H274" i="115"/>
  <c r="G91" i="126"/>
  <c r="G274" i="115"/>
  <c r="A91" i="126"/>
  <c r="A128" i="11" s="1"/>
  <c r="Q91" i="126"/>
  <c r="Q128" i="11" s="1"/>
  <c r="O91" i="126"/>
  <c r="O128" i="11" s="1"/>
  <c r="M91" i="126"/>
  <c r="K91" i="126"/>
  <c r="K128" i="11" s="1"/>
  <c r="I91" i="126"/>
  <c r="I128" i="11" s="1"/>
  <c r="F91" i="126"/>
  <c r="F128" i="11" s="1"/>
  <c r="D91" i="126"/>
  <c r="D128" i="11" s="1"/>
  <c r="B91" i="126"/>
  <c r="B128" i="11" s="1"/>
  <c r="G53" i="126"/>
  <c r="M41" i="126"/>
  <c r="S36" i="126"/>
  <c r="K41" i="126" s="1"/>
  <c r="S33" i="126"/>
  <c r="H41" i="126" s="1"/>
  <c r="S32" i="126"/>
  <c r="J49" i="126" s="1"/>
  <c r="S31" i="126"/>
  <c r="G49" i="126" s="1"/>
  <c r="T21" i="126"/>
  <c r="R21" i="126"/>
  <c r="P21" i="126"/>
  <c r="J21" i="126"/>
  <c r="D20" i="126"/>
  <c r="D19" i="126"/>
  <c r="J18" i="126"/>
  <c r="D18" i="126"/>
  <c r="O5" i="126"/>
  <c r="G5" i="126"/>
  <c r="D5" i="126"/>
  <c r="C5" i="126"/>
  <c r="A5" i="126"/>
  <c r="O4" i="126"/>
  <c r="O3" i="126"/>
  <c r="O2" i="126"/>
  <c r="H2" i="126"/>
  <c r="H1" i="126"/>
  <c r="J21" i="113"/>
  <c r="S31" i="113"/>
  <c r="J18" i="113"/>
  <c r="K22" i="90"/>
  <c r="K21" i="90"/>
  <c r="K19" i="90"/>
  <c r="K17" i="90"/>
  <c r="K18" i="90"/>
  <c r="K16" i="90"/>
  <c r="K14" i="90"/>
  <c r="K101" i="120"/>
  <c r="K64" i="120"/>
  <c r="K95" i="120"/>
  <c r="K21" i="120"/>
  <c r="K20" i="120"/>
  <c r="K19" i="120"/>
  <c r="K18" i="120"/>
  <c r="K17" i="120"/>
  <c r="K16" i="120"/>
  <c r="K15" i="120"/>
  <c r="K14" i="120"/>
  <c r="K101" i="40"/>
  <c r="K64" i="40"/>
  <c r="K95" i="40"/>
  <c r="K54" i="40"/>
  <c r="K20" i="40"/>
  <c r="K19" i="40"/>
  <c r="K18" i="40"/>
  <c r="K17" i="40"/>
  <c r="K16" i="40"/>
  <c r="K15" i="40"/>
  <c r="K14" i="40"/>
  <c r="J211" i="11"/>
  <c r="J200" i="11"/>
  <c r="J194" i="11"/>
  <c r="K211" i="11"/>
  <c r="K194" i="11"/>
  <c r="G186" i="11"/>
  <c r="E212" i="11"/>
  <c r="B213" i="11"/>
  <c r="B212" i="11"/>
  <c r="G196" i="11"/>
  <c r="M186" i="11"/>
  <c r="K186" i="11"/>
  <c r="I186" i="11"/>
  <c r="F186" i="11"/>
  <c r="D186" i="11"/>
  <c r="B186" i="11"/>
  <c r="A186" i="11"/>
  <c r="Q171" i="11"/>
  <c r="O171" i="11"/>
  <c r="M171" i="11"/>
  <c r="K171" i="11"/>
  <c r="I171" i="11"/>
  <c r="F171" i="11"/>
  <c r="D171" i="11"/>
  <c r="B171" i="11"/>
  <c r="A171" i="11"/>
  <c r="G166" i="11"/>
  <c r="Q265" i="114"/>
  <c r="Q166" i="11" s="1"/>
  <c r="Q297" i="110"/>
  <c r="Q133" i="11" s="1"/>
  <c r="K265" i="114"/>
  <c r="K166" i="11" s="1"/>
  <c r="I265" i="114"/>
  <c r="I166" i="11" s="1"/>
  <c r="H265" i="114"/>
  <c r="G265" i="114"/>
  <c r="F265" i="114"/>
  <c r="F166" i="11" s="1"/>
  <c r="D267" i="114"/>
  <c r="D168" i="11" s="1"/>
  <c r="D266" i="114"/>
  <c r="D167" i="11" s="1"/>
  <c r="D265" i="114"/>
  <c r="D166" i="11" s="1"/>
  <c r="B265" i="114"/>
  <c r="B166" i="11" s="1"/>
  <c r="A265" i="114"/>
  <c r="A166" i="11" s="1"/>
  <c r="Q156" i="11"/>
  <c r="O156" i="11"/>
  <c r="M156" i="11"/>
  <c r="K156" i="11"/>
  <c r="I156" i="11"/>
  <c r="D156" i="11"/>
  <c r="F156" i="11"/>
  <c r="B156" i="11"/>
  <c r="A156" i="11"/>
  <c r="G143" i="11"/>
  <c r="Q95" i="116"/>
  <c r="O104" i="11"/>
  <c r="F268" i="107"/>
  <c r="F95" i="11" s="1"/>
  <c r="Q90" i="11"/>
  <c r="O90" i="11"/>
  <c r="M90" i="11"/>
  <c r="K90" i="11"/>
  <c r="I90" i="11"/>
  <c r="F90" i="11"/>
  <c r="D90" i="11"/>
  <c r="B90" i="11"/>
  <c r="A90" i="11"/>
  <c r="K23" i="90" l="1"/>
  <c r="M53" i="131"/>
  <c r="I53" i="131"/>
  <c r="O41" i="131"/>
  <c r="E42" i="131" s="1"/>
  <c r="K22" i="120"/>
  <c r="K21" i="40"/>
  <c r="S29" i="130"/>
  <c r="G50" i="126"/>
  <c r="G57" i="126" s="1"/>
  <c r="J22" i="126"/>
  <c r="S35" i="126" s="1"/>
  <c r="O53" i="126" s="1"/>
  <c r="P22" i="126"/>
  <c r="S34" i="126" s="1"/>
  <c r="I53" i="126" s="1"/>
  <c r="Q85" i="11"/>
  <c r="G85" i="11"/>
  <c r="G67" i="11"/>
  <c r="H186" i="11"/>
  <c r="H181" i="11"/>
  <c r="H176" i="11"/>
  <c r="H171" i="11"/>
  <c r="H166" i="11"/>
  <c r="H161" i="11"/>
  <c r="H156" i="11"/>
  <c r="H143" i="11"/>
  <c r="H138" i="11"/>
  <c r="H133" i="11"/>
  <c r="H128" i="11"/>
  <c r="H123" i="11"/>
  <c r="H118" i="11"/>
  <c r="H103" i="11"/>
  <c r="H95" i="11"/>
  <c r="H90" i="11"/>
  <c r="H85" i="11"/>
  <c r="H80" i="11"/>
  <c r="H75" i="11"/>
  <c r="H67" i="11"/>
  <c r="H57" i="11"/>
  <c r="H62" i="11"/>
  <c r="G181" i="11"/>
  <c r="G176" i="11"/>
  <c r="G171" i="11"/>
  <c r="G161" i="11"/>
  <c r="G156" i="11"/>
  <c r="G138" i="11"/>
  <c r="G133" i="11"/>
  <c r="G128" i="11"/>
  <c r="G123" i="11"/>
  <c r="G118" i="11"/>
  <c r="G103" i="11"/>
  <c r="G95" i="11"/>
  <c r="G90" i="11"/>
  <c r="G80" i="11"/>
  <c r="G75" i="11"/>
  <c r="G57" i="11"/>
  <c r="G62" i="11"/>
  <c r="F270" i="105"/>
  <c r="F62" i="11" s="1"/>
  <c r="F97" i="117"/>
  <c r="F57" i="11" s="1"/>
  <c r="Q144" i="124"/>
  <c r="Q186" i="11" s="1"/>
  <c r="M144" i="124"/>
  <c r="K144" i="124"/>
  <c r="H144" i="124"/>
  <c r="G144" i="124"/>
  <c r="D144" i="124"/>
  <c r="G125" i="124"/>
  <c r="N120" i="124"/>
  <c r="J120" i="124"/>
  <c r="T109" i="124"/>
  <c r="D109" i="124"/>
  <c r="D108" i="124"/>
  <c r="J98" i="124"/>
  <c r="D145" i="124" s="1"/>
  <c r="H98" i="124"/>
  <c r="D95" i="124"/>
  <c r="B144" i="124" s="1"/>
  <c r="B95" i="124"/>
  <c r="A144" i="124" s="1"/>
  <c r="G89" i="124"/>
  <c r="G86" i="124"/>
  <c r="N81" i="124"/>
  <c r="J81" i="124"/>
  <c r="S75" i="124"/>
  <c r="S113" i="124" s="1"/>
  <c r="G128" i="124" s="1"/>
  <c r="P69" i="124"/>
  <c r="P68" i="124"/>
  <c r="T64" i="124"/>
  <c r="R64" i="124"/>
  <c r="P64" i="124"/>
  <c r="P65" i="124" s="1"/>
  <c r="J64" i="124"/>
  <c r="J109" i="124" s="1"/>
  <c r="D64" i="124"/>
  <c r="J63" i="124"/>
  <c r="J108" i="124" s="1"/>
  <c r="D63" i="124"/>
  <c r="J54" i="124"/>
  <c r="L99" i="124" s="1"/>
  <c r="I144" i="124" s="1"/>
  <c r="O53" i="124"/>
  <c r="P71" i="124" s="1"/>
  <c r="L53" i="124"/>
  <c r="L98" i="124" s="1"/>
  <c r="J53" i="124"/>
  <c r="H53" i="124"/>
  <c r="B51" i="124"/>
  <c r="B96" i="124" s="1"/>
  <c r="T50" i="124"/>
  <c r="H50" i="124"/>
  <c r="H95" i="124" s="1"/>
  <c r="D50" i="124"/>
  <c r="B50" i="124"/>
  <c r="G46" i="124"/>
  <c r="G43" i="124"/>
  <c r="N38" i="124"/>
  <c r="P29" i="124"/>
  <c r="J38" i="124" s="1"/>
  <c r="P28" i="124"/>
  <c r="P26" i="124"/>
  <c r="P25" i="124"/>
  <c r="T21" i="124"/>
  <c r="P22" i="124" s="1"/>
  <c r="R21" i="124"/>
  <c r="P21" i="124"/>
  <c r="D21" i="124"/>
  <c r="D20" i="124"/>
  <c r="J62" i="124"/>
  <c r="J107" i="124" s="1"/>
  <c r="D19" i="124"/>
  <c r="D62" i="124" s="1"/>
  <c r="D107" i="124" s="1"/>
  <c r="J18" i="124"/>
  <c r="J61" i="124" s="1"/>
  <c r="J106" i="124" s="1"/>
  <c r="D18" i="124"/>
  <c r="D61" i="124" s="1"/>
  <c r="D106" i="124" s="1"/>
  <c r="R5" i="124"/>
  <c r="O5" i="124"/>
  <c r="G5" i="124"/>
  <c r="D5" i="124"/>
  <c r="C5" i="124"/>
  <c r="A5" i="124"/>
  <c r="R4" i="124"/>
  <c r="O4" i="124"/>
  <c r="R3" i="124"/>
  <c r="O3" i="124"/>
  <c r="H3" i="124"/>
  <c r="R2" i="124"/>
  <c r="O2" i="124"/>
  <c r="H2" i="124"/>
  <c r="R1" i="124"/>
  <c r="O1" i="124"/>
  <c r="H1" i="124"/>
  <c r="Q144" i="123"/>
  <c r="Q181" i="11" s="1"/>
  <c r="M144" i="123"/>
  <c r="M181" i="11" s="1"/>
  <c r="K144" i="123"/>
  <c r="K181" i="11" s="1"/>
  <c r="H144" i="123"/>
  <c r="G144" i="123"/>
  <c r="G89" i="123"/>
  <c r="G86" i="123"/>
  <c r="N81" i="123"/>
  <c r="J81" i="123"/>
  <c r="S75" i="123"/>
  <c r="S113" i="123" s="1"/>
  <c r="G128" i="123" s="1"/>
  <c r="P69" i="123"/>
  <c r="T64" i="123"/>
  <c r="J64" i="123"/>
  <c r="J109" i="123" s="1"/>
  <c r="D64" i="123"/>
  <c r="J63" i="123"/>
  <c r="J108" i="123" s="1"/>
  <c r="J54" i="123"/>
  <c r="L99" i="123" s="1"/>
  <c r="I144" i="123" s="1"/>
  <c r="I181" i="11" s="1"/>
  <c r="O53" i="123"/>
  <c r="P71" i="123" s="1"/>
  <c r="L53" i="123"/>
  <c r="L98" i="123" s="1"/>
  <c r="J53" i="123"/>
  <c r="H53" i="123"/>
  <c r="H98" i="123" s="1"/>
  <c r="D144" i="123" s="1"/>
  <c r="D181" i="11" s="1"/>
  <c r="B51" i="123"/>
  <c r="B96" i="123" s="1"/>
  <c r="T50" i="123"/>
  <c r="H50" i="123"/>
  <c r="H95" i="123" s="1"/>
  <c r="D50" i="123"/>
  <c r="D95" i="123" s="1"/>
  <c r="B144" i="123" s="1"/>
  <c r="B181" i="11" s="1"/>
  <c r="B50" i="123"/>
  <c r="G46" i="123"/>
  <c r="G43" i="123"/>
  <c r="N38" i="123"/>
  <c r="P29" i="123"/>
  <c r="J38" i="123" s="1"/>
  <c r="P28" i="123"/>
  <c r="P26" i="123"/>
  <c r="P25" i="123"/>
  <c r="T21" i="123"/>
  <c r="R21" i="123"/>
  <c r="P21" i="123"/>
  <c r="D21" i="123"/>
  <c r="D20" i="123"/>
  <c r="D63" i="123" s="1"/>
  <c r="D108" i="123" s="1"/>
  <c r="J62" i="123"/>
  <c r="J107" i="123" s="1"/>
  <c r="D19" i="123"/>
  <c r="D62" i="123" s="1"/>
  <c r="D107" i="123" s="1"/>
  <c r="J18" i="123"/>
  <c r="J61" i="123" s="1"/>
  <c r="J106" i="123" s="1"/>
  <c r="D18" i="123"/>
  <c r="D61" i="123" s="1"/>
  <c r="D106" i="123" s="1"/>
  <c r="R5" i="123"/>
  <c r="O5" i="123"/>
  <c r="G5" i="123"/>
  <c r="D5" i="123"/>
  <c r="C5" i="123"/>
  <c r="A5" i="123"/>
  <c r="R4" i="123"/>
  <c r="O4" i="123"/>
  <c r="R3" i="123"/>
  <c r="O3" i="123"/>
  <c r="H3" i="123"/>
  <c r="R2" i="123"/>
  <c r="O2" i="123"/>
  <c r="H2" i="123"/>
  <c r="R1" i="123"/>
  <c r="O1" i="123"/>
  <c r="H1" i="123"/>
  <c r="Q55" i="122"/>
  <c r="Q143" i="11" s="1"/>
  <c r="M55" i="122"/>
  <c r="M143" i="11" s="1"/>
  <c r="K55" i="122"/>
  <c r="K143" i="11" s="1"/>
  <c r="H55" i="122"/>
  <c r="G55" i="122"/>
  <c r="I143" i="11"/>
  <c r="D143" i="11"/>
  <c r="B143" i="11"/>
  <c r="A143" i="11"/>
  <c r="G45" i="122"/>
  <c r="G42" i="122"/>
  <c r="N38" i="122"/>
  <c r="P29" i="122"/>
  <c r="J38" i="122" s="1"/>
  <c r="P28" i="122"/>
  <c r="P26" i="122"/>
  <c r="P25" i="122"/>
  <c r="T21" i="122"/>
  <c r="R21" i="122"/>
  <c r="P21" i="122"/>
  <c r="D21" i="122"/>
  <c r="D20" i="122"/>
  <c r="D19" i="122"/>
  <c r="J18" i="122"/>
  <c r="D18" i="122"/>
  <c r="R5" i="122"/>
  <c r="O5" i="122"/>
  <c r="G5" i="122"/>
  <c r="D5" i="122"/>
  <c r="C5" i="122"/>
  <c r="A5" i="122"/>
  <c r="R4" i="122"/>
  <c r="O4" i="122"/>
  <c r="R3" i="122"/>
  <c r="O3" i="122"/>
  <c r="H3" i="122"/>
  <c r="R2" i="122"/>
  <c r="O2" i="122"/>
  <c r="H2" i="122"/>
  <c r="R1" i="122"/>
  <c r="O1" i="122"/>
  <c r="H1" i="122"/>
  <c r="N134" i="120"/>
  <c r="L134" i="120"/>
  <c r="I134" i="120"/>
  <c r="H134" i="120"/>
  <c r="F134" i="120"/>
  <c r="E134" i="120"/>
  <c r="C134" i="120"/>
  <c r="N133" i="120"/>
  <c r="N201" i="11" s="1"/>
  <c r="L133" i="120"/>
  <c r="L201" i="11" s="1"/>
  <c r="I133" i="120"/>
  <c r="I201" i="11" s="1"/>
  <c r="H133" i="120"/>
  <c r="H201" i="11" s="1"/>
  <c r="F133" i="120"/>
  <c r="F201" i="11" s="1"/>
  <c r="E133" i="120"/>
  <c r="E201" i="11" s="1"/>
  <c r="C133" i="120"/>
  <c r="B201" i="11" s="1"/>
  <c r="N132" i="120"/>
  <c r="N200" i="11" s="1"/>
  <c r="L132" i="120"/>
  <c r="L200" i="11" s="1"/>
  <c r="K132" i="120"/>
  <c r="J132" i="120"/>
  <c r="I132" i="120"/>
  <c r="I200" i="11" s="1"/>
  <c r="H132" i="120"/>
  <c r="H200" i="11" s="1"/>
  <c r="F132" i="120"/>
  <c r="F200" i="11" s="1"/>
  <c r="E132" i="120"/>
  <c r="E200" i="11" s="1"/>
  <c r="C132" i="120"/>
  <c r="A132" i="120"/>
  <c r="A200" i="11" s="1"/>
  <c r="D117" i="120"/>
  <c r="N108" i="120"/>
  <c r="K100" i="120"/>
  <c r="D80" i="120"/>
  <c r="N71" i="120"/>
  <c r="K54" i="120"/>
  <c r="B47" i="120"/>
  <c r="D39" i="120"/>
  <c r="N34" i="120"/>
  <c r="N75" i="120" s="1"/>
  <c r="N112" i="120" s="1"/>
  <c r="N30" i="120"/>
  <c r="K23" i="120"/>
  <c r="AG16" i="120"/>
  <c r="AG15" i="120"/>
  <c r="R5" i="120"/>
  <c r="O5" i="120"/>
  <c r="G5" i="120"/>
  <c r="D5" i="120"/>
  <c r="C5" i="120"/>
  <c r="A5" i="120"/>
  <c r="R4" i="120"/>
  <c r="O4" i="120"/>
  <c r="R3" i="120"/>
  <c r="O3" i="120"/>
  <c r="H3" i="120"/>
  <c r="R2" i="120"/>
  <c r="O2" i="120"/>
  <c r="H2" i="120"/>
  <c r="R1" i="120"/>
  <c r="O1" i="120"/>
  <c r="H1" i="120"/>
  <c r="F134" i="40"/>
  <c r="E134" i="40"/>
  <c r="C134" i="40"/>
  <c r="B196" i="11" s="1"/>
  <c r="N134" i="40"/>
  <c r="N196" i="11" s="1"/>
  <c r="Q128" i="119"/>
  <c r="Q118" i="11" s="1"/>
  <c r="O128" i="119"/>
  <c r="O118" i="11" s="1"/>
  <c r="M128" i="119"/>
  <c r="M118" i="11" s="1"/>
  <c r="K128" i="119"/>
  <c r="K118" i="11" s="1"/>
  <c r="I118" i="11"/>
  <c r="D118" i="11"/>
  <c r="B118" i="11"/>
  <c r="A118" i="11"/>
  <c r="D121" i="119"/>
  <c r="E115" i="119"/>
  <c r="H105" i="119"/>
  <c r="D92" i="119"/>
  <c r="K82" i="119"/>
  <c r="C82" i="119"/>
  <c r="U78" i="119"/>
  <c r="O78" i="119"/>
  <c r="O79" i="119" s="1"/>
  <c r="B78" i="119"/>
  <c r="B79" i="119" s="1"/>
  <c r="G74" i="119"/>
  <c r="G73" i="119"/>
  <c r="C71" i="119"/>
  <c r="U68" i="119"/>
  <c r="I68" i="119"/>
  <c r="I69" i="119" s="1"/>
  <c r="F67" i="119"/>
  <c r="T64" i="119"/>
  <c r="T63" i="119"/>
  <c r="Q79" i="119" s="1"/>
  <c r="T61" i="119"/>
  <c r="O115" i="119" s="1"/>
  <c r="T59" i="119"/>
  <c r="T58" i="119"/>
  <c r="S26" i="119"/>
  <c r="Q26" i="119"/>
  <c r="H26" i="119"/>
  <c r="F26" i="119"/>
  <c r="D20" i="119"/>
  <c r="D19" i="119"/>
  <c r="J18" i="119"/>
  <c r="D18" i="119"/>
  <c r="O5" i="119"/>
  <c r="G5" i="119"/>
  <c r="D5" i="119"/>
  <c r="C5" i="119"/>
  <c r="A5" i="119"/>
  <c r="O4" i="119"/>
  <c r="O3" i="119"/>
  <c r="O2" i="119"/>
  <c r="H2" i="119"/>
  <c r="O1" i="119"/>
  <c r="H1" i="119"/>
  <c r="D92" i="112"/>
  <c r="O433" i="118"/>
  <c r="M433" i="118"/>
  <c r="K433" i="118"/>
  <c r="D433" i="118"/>
  <c r="D432" i="118"/>
  <c r="Q431" i="118"/>
  <c r="O431" i="118"/>
  <c r="M431" i="118"/>
  <c r="K431" i="118"/>
  <c r="I431" i="118"/>
  <c r="H431" i="118"/>
  <c r="G431" i="118"/>
  <c r="F431" i="118"/>
  <c r="D431" i="118"/>
  <c r="B431" i="118"/>
  <c r="A431" i="118"/>
  <c r="E417" i="118"/>
  <c r="T414" i="118"/>
  <c r="M398" i="118"/>
  <c r="R371" i="118"/>
  <c r="M391" i="118" s="1"/>
  <c r="M349" i="118"/>
  <c r="R327" i="118"/>
  <c r="M343" i="118" s="1"/>
  <c r="E288" i="118"/>
  <c r="T285" i="118"/>
  <c r="M225" i="118"/>
  <c r="R207" i="118"/>
  <c r="M219" i="118" s="1"/>
  <c r="J186" i="118"/>
  <c r="J306" i="118" s="1"/>
  <c r="J185" i="118"/>
  <c r="J305" i="118" s="1"/>
  <c r="J184" i="118"/>
  <c r="J177" i="118"/>
  <c r="L297" i="118" s="1"/>
  <c r="O176" i="118"/>
  <c r="T187" i="118" s="1"/>
  <c r="L176" i="118"/>
  <c r="L296" i="118" s="1"/>
  <c r="J176" i="118"/>
  <c r="R201" i="118" s="1"/>
  <c r="H176" i="118"/>
  <c r="H296" i="118" s="1"/>
  <c r="T175" i="118"/>
  <c r="D186" i="118" s="1"/>
  <c r="T174" i="118"/>
  <c r="D185" i="118" s="1"/>
  <c r="B174" i="118"/>
  <c r="B294" i="118" s="1"/>
  <c r="T173" i="118"/>
  <c r="D184" i="118" s="1"/>
  <c r="H173" i="118"/>
  <c r="H293" i="118" s="1"/>
  <c r="F173" i="118"/>
  <c r="F293" i="118" s="1"/>
  <c r="D173" i="118"/>
  <c r="D293" i="118" s="1"/>
  <c r="B173" i="118"/>
  <c r="B293" i="118" s="1"/>
  <c r="E155" i="118"/>
  <c r="T152" i="118"/>
  <c r="R143" i="118"/>
  <c r="R140" i="118"/>
  <c r="Q144" i="118" s="1"/>
  <c r="R134" i="118"/>
  <c r="I145" i="118" s="1"/>
  <c r="Z123" i="118"/>
  <c r="E122" i="118"/>
  <c r="T119" i="118"/>
  <c r="M115" i="118"/>
  <c r="R83" i="118"/>
  <c r="Q96" i="118" s="1"/>
  <c r="R79" i="118"/>
  <c r="G103" i="118" s="1"/>
  <c r="R75" i="118"/>
  <c r="G111" i="118" s="1"/>
  <c r="I59" i="118"/>
  <c r="I54" i="118"/>
  <c r="I48" i="118"/>
  <c r="R43" i="118"/>
  <c r="Q59" i="118" s="1"/>
  <c r="R41" i="118"/>
  <c r="R81" i="118" s="1"/>
  <c r="R40" i="118"/>
  <c r="S54" i="118" s="1"/>
  <c r="R39" i="118"/>
  <c r="I53" i="118" s="1"/>
  <c r="R35" i="118"/>
  <c r="I60" i="118" s="1"/>
  <c r="T20" i="118"/>
  <c r="R20" i="118"/>
  <c r="D19" i="118"/>
  <c r="J18" i="118"/>
  <c r="D18" i="118"/>
  <c r="R5" i="118"/>
  <c r="O5" i="118"/>
  <c r="G5" i="118"/>
  <c r="D5" i="118"/>
  <c r="C5" i="118"/>
  <c r="A5" i="118"/>
  <c r="R4" i="118"/>
  <c r="O4" i="118"/>
  <c r="R3" i="118"/>
  <c r="O3" i="118"/>
  <c r="R2" i="118"/>
  <c r="O2" i="118"/>
  <c r="H2" i="118"/>
  <c r="R1" i="118"/>
  <c r="O1" i="118"/>
  <c r="H1" i="118"/>
  <c r="K274" i="115"/>
  <c r="K123" i="11" s="1"/>
  <c r="I274" i="115"/>
  <c r="I123" i="11" s="1"/>
  <c r="F274" i="115"/>
  <c r="F123" i="11" s="1"/>
  <c r="D274" i="115"/>
  <c r="D123" i="11" s="1"/>
  <c r="B274" i="115"/>
  <c r="B123" i="11" s="1"/>
  <c r="A274" i="115"/>
  <c r="A123" i="11" s="1"/>
  <c r="J274" i="115"/>
  <c r="K95" i="116"/>
  <c r="K85" i="11" s="1"/>
  <c r="I95" i="116"/>
  <c r="I85" i="11" s="1"/>
  <c r="H95" i="116"/>
  <c r="G95" i="116"/>
  <c r="G264" i="92"/>
  <c r="F95" i="116"/>
  <c r="F85" i="11" s="1"/>
  <c r="D95" i="116"/>
  <c r="D85" i="11" s="1"/>
  <c r="B95" i="116"/>
  <c r="B85" i="11" s="1"/>
  <c r="A95" i="116"/>
  <c r="A85" i="11" s="1"/>
  <c r="J95" i="116"/>
  <c r="Q57" i="11"/>
  <c r="K97" i="117"/>
  <c r="K57" i="11" s="1"/>
  <c r="J97" i="117"/>
  <c r="I97" i="117"/>
  <c r="I57" i="11" s="1"/>
  <c r="H97" i="117"/>
  <c r="G97" i="117"/>
  <c r="D97" i="117"/>
  <c r="D57" i="11" s="1"/>
  <c r="B97" i="117"/>
  <c r="B57" i="11" s="1"/>
  <c r="A97" i="117"/>
  <c r="A57" i="11" s="1"/>
  <c r="K56" i="117"/>
  <c r="G56" i="117"/>
  <c r="M46" i="117"/>
  <c r="S36" i="117"/>
  <c r="K46" i="117" s="1"/>
  <c r="S33" i="117"/>
  <c r="H46" i="117" s="1"/>
  <c r="S32" i="117"/>
  <c r="J52" i="117" s="1"/>
  <c r="T21" i="117"/>
  <c r="R21" i="117"/>
  <c r="P21" i="117"/>
  <c r="D20" i="117"/>
  <c r="J19" i="117"/>
  <c r="D19" i="117"/>
  <c r="J18" i="117"/>
  <c r="D18" i="117"/>
  <c r="G5" i="117"/>
  <c r="C5" i="117"/>
  <c r="A5" i="117"/>
  <c r="H2" i="117"/>
  <c r="H1" i="117"/>
  <c r="J21" i="116"/>
  <c r="D21" i="116"/>
  <c r="D22" i="116"/>
  <c r="K55" i="116"/>
  <c r="G55" i="116"/>
  <c r="M45" i="116"/>
  <c r="S38" i="116"/>
  <c r="K45" i="116" s="1"/>
  <c r="S35" i="116"/>
  <c r="H45" i="116" s="1"/>
  <c r="S34" i="116"/>
  <c r="J51" i="116" s="1"/>
  <c r="T23" i="116"/>
  <c r="R23" i="116"/>
  <c r="P23" i="116"/>
  <c r="J20" i="116"/>
  <c r="D20" i="116"/>
  <c r="J19" i="116"/>
  <c r="D19" i="116"/>
  <c r="J18" i="116"/>
  <c r="D18" i="116"/>
  <c r="G5" i="116"/>
  <c r="D5" i="116"/>
  <c r="C5" i="116"/>
  <c r="A5" i="116"/>
  <c r="H2" i="116"/>
  <c r="H1" i="116"/>
  <c r="G229" i="115"/>
  <c r="M214" i="115"/>
  <c r="S206" i="115"/>
  <c r="H214" i="115" s="1"/>
  <c r="T194" i="115"/>
  <c r="G141" i="115"/>
  <c r="M126" i="115"/>
  <c r="S118" i="115"/>
  <c r="H126" i="115" s="1"/>
  <c r="T106" i="115"/>
  <c r="J96" i="115"/>
  <c r="L184" i="115" s="1"/>
  <c r="O95" i="115"/>
  <c r="O183" i="115" s="1"/>
  <c r="L95" i="115"/>
  <c r="L183" i="115" s="1"/>
  <c r="S205" i="115" s="1"/>
  <c r="J225" i="115" s="1"/>
  <c r="J95" i="115"/>
  <c r="S117" i="115" s="1"/>
  <c r="J137" i="115" s="1"/>
  <c r="H95" i="115"/>
  <c r="H183" i="115" s="1"/>
  <c r="T94" i="115"/>
  <c r="T182" i="115" s="1"/>
  <c r="T93" i="115"/>
  <c r="T181" i="115" s="1"/>
  <c r="B93" i="115"/>
  <c r="B181" i="115" s="1"/>
  <c r="T92" i="115"/>
  <c r="D103" i="115" s="1"/>
  <c r="H92" i="115"/>
  <c r="H180" i="115" s="1"/>
  <c r="D92" i="115"/>
  <c r="D180" i="115" s="1"/>
  <c r="B92" i="115"/>
  <c r="B180" i="115" s="1"/>
  <c r="K56" i="115"/>
  <c r="G56" i="115"/>
  <c r="M41" i="115"/>
  <c r="S36" i="115"/>
  <c r="K41" i="115" s="1"/>
  <c r="S33" i="115"/>
  <c r="H41" i="115" s="1"/>
  <c r="S32" i="115"/>
  <c r="J52" i="115" s="1"/>
  <c r="T21" i="115"/>
  <c r="R21" i="115"/>
  <c r="P21" i="115"/>
  <c r="J20" i="115"/>
  <c r="J105" i="115" s="1"/>
  <c r="J193" i="115" s="1"/>
  <c r="D20" i="115"/>
  <c r="J19" i="115"/>
  <c r="J104" i="115" s="1"/>
  <c r="J192" i="115" s="1"/>
  <c r="D19" i="115"/>
  <c r="J18" i="115"/>
  <c r="D18" i="115"/>
  <c r="O5" i="115"/>
  <c r="G5" i="115"/>
  <c r="D5" i="115"/>
  <c r="C5" i="115"/>
  <c r="A5" i="115"/>
  <c r="O4" i="115"/>
  <c r="O3" i="115"/>
  <c r="O2" i="115"/>
  <c r="H2" i="115"/>
  <c r="H1" i="115"/>
  <c r="J20" i="114"/>
  <c r="J100" i="114" s="1"/>
  <c r="J188" i="114" s="1"/>
  <c r="M63" i="79"/>
  <c r="K52" i="114"/>
  <c r="J19" i="114"/>
  <c r="J99" i="114" s="1"/>
  <c r="J187" i="114" s="1"/>
  <c r="J18" i="114"/>
  <c r="J98" i="114" s="1"/>
  <c r="G224" i="114"/>
  <c r="M209" i="114"/>
  <c r="S201" i="114"/>
  <c r="H209" i="114" s="1"/>
  <c r="T189" i="114"/>
  <c r="G136" i="114"/>
  <c r="M121" i="114"/>
  <c r="S113" i="114"/>
  <c r="H121" i="114" s="1"/>
  <c r="T101" i="114"/>
  <c r="J91" i="114"/>
  <c r="L179" i="114" s="1"/>
  <c r="O90" i="114"/>
  <c r="P101" i="114" s="1"/>
  <c r="L90" i="114"/>
  <c r="L178" i="114" s="1"/>
  <c r="S200" i="114" s="1"/>
  <c r="J220" i="114" s="1"/>
  <c r="J90" i="114"/>
  <c r="S112" i="114" s="1"/>
  <c r="J132" i="114" s="1"/>
  <c r="H90" i="114"/>
  <c r="H178" i="114" s="1"/>
  <c r="T89" i="114"/>
  <c r="D100" i="114" s="1"/>
  <c r="T88" i="114"/>
  <c r="D99" i="114" s="1"/>
  <c r="B88" i="114"/>
  <c r="B176" i="114" s="1"/>
  <c r="T87" i="114"/>
  <c r="D98" i="114" s="1"/>
  <c r="H87" i="114"/>
  <c r="H175" i="114" s="1"/>
  <c r="D87" i="114"/>
  <c r="D175" i="114" s="1"/>
  <c r="B87" i="114"/>
  <c r="B175" i="114" s="1"/>
  <c r="G52" i="114"/>
  <c r="M40" i="114"/>
  <c r="S35" i="114"/>
  <c r="K40" i="114" s="1"/>
  <c r="S32" i="114"/>
  <c r="H40" i="114" s="1"/>
  <c r="S31" i="114"/>
  <c r="J48" i="114" s="1"/>
  <c r="T21" i="114"/>
  <c r="R21" i="114"/>
  <c r="P21" i="114"/>
  <c r="D20" i="114"/>
  <c r="D19" i="114"/>
  <c r="D18" i="114"/>
  <c r="O5" i="114"/>
  <c r="G5" i="114"/>
  <c r="D5" i="114"/>
  <c r="C5" i="114"/>
  <c r="A5" i="114"/>
  <c r="O4" i="114"/>
  <c r="O3" i="114"/>
  <c r="O2" i="114"/>
  <c r="H2" i="114"/>
  <c r="H1" i="114"/>
  <c r="Q266" i="113"/>
  <c r="Q75" i="11" s="1"/>
  <c r="O266" i="113"/>
  <c r="O75" i="11" s="1"/>
  <c r="M266" i="113"/>
  <c r="M75" i="11" s="1"/>
  <c r="K266" i="113"/>
  <c r="K75" i="11" s="1"/>
  <c r="I266" i="113"/>
  <c r="I75" i="11" s="1"/>
  <c r="F266" i="113"/>
  <c r="F75" i="11" s="1"/>
  <c r="D266" i="113"/>
  <c r="D75" i="11" s="1"/>
  <c r="B266" i="113"/>
  <c r="G225" i="113"/>
  <c r="G221" i="113"/>
  <c r="M210" i="113"/>
  <c r="S202" i="113"/>
  <c r="H210" i="113" s="1"/>
  <c r="T190" i="113"/>
  <c r="G137" i="113"/>
  <c r="G133" i="113"/>
  <c r="M122" i="113"/>
  <c r="S114" i="113"/>
  <c r="H122" i="113" s="1"/>
  <c r="T102" i="113"/>
  <c r="J101" i="113"/>
  <c r="J189" i="113" s="1"/>
  <c r="J100" i="113"/>
  <c r="J188" i="113" s="1"/>
  <c r="J92" i="113"/>
  <c r="L180" i="113" s="1"/>
  <c r="O91" i="113"/>
  <c r="R102" i="113" s="1"/>
  <c r="L91" i="113"/>
  <c r="L179" i="113" s="1"/>
  <c r="S201" i="113" s="1"/>
  <c r="J221" i="113" s="1"/>
  <c r="J91" i="113"/>
  <c r="S113" i="113" s="1"/>
  <c r="J133" i="113" s="1"/>
  <c r="H91" i="113"/>
  <c r="H179" i="113" s="1"/>
  <c r="T90" i="113"/>
  <c r="D101" i="113" s="1"/>
  <c r="T89" i="113"/>
  <c r="D100" i="113" s="1"/>
  <c r="B89" i="113"/>
  <c r="B177" i="113" s="1"/>
  <c r="T88" i="113"/>
  <c r="T176" i="113" s="1"/>
  <c r="D187" i="113" s="1"/>
  <c r="H88" i="113"/>
  <c r="H176" i="113" s="1"/>
  <c r="D88" i="113"/>
  <c r="D176" i="113" s="1"/>
  <c r="B88" i="113"/>
  <c r="B176" i="113" s="1"/>
  <c r="G51" i="113"/>
  <c r="M41" i="113"/>
  <c r="S36" i="113"/>
  <c r="K41" i="113" s="1"/>
  <c r="S33" i="113"/>
  <c r="H41" i="113" s="1"/>
  <c r="S32" i="113"/>
  <c r="J47" i="113" s="1"/>
  <c r="T21" i="113"/>
  <c r="R21" i="113"/>
  <c r="P21" i="113"/>
  <c r="D20" i="113"/>
  <c r="D19" i="113"/>
  <c r="J99" i="113"/>
  <c r="D18" i="113"/>
  <c r="G5" i="113"/>
  <c r="D5" i="113"/>
  <c r="C5" i="113"/>
  <c r="A5" i="113"/>
  <c r="H2" i="113"/>
  <c r="H1" i="113"/>
  <c r="R205" i="118" l="1"/>
  <c r="I225" i="118" s="1"/>
  <c r="I47" i="118"/>
  <c r="Q103" i="118"/>
  <c r="R136" i="118"/>
  <c r="I144" i="118" s="1"/>
  <c r="M128" i="11"/>
  <c r="M148" i="11"/>
  <c r="K53" i="131"/>
  <c r="S38" i="131"/>
  <c r="G54" i="131"/>
  <c r="D57" i="131" s="1"/>
  <c r="F56" i="131" s="1"/>
  <c r="F202" i="11"/>
  <c r="F207" i="11"/>
  <c r="H202" i="11"/>
  <c r="H207" i="11"/>
  <c r="C202" i="11"/>
  <c r="B207" i="11"/>
  <c r="E202" i="11"/>
  <c r="E207" i="11"/>
  <c r="I202" i="11"/>
  <c r="I207" i="11"/>
  <c r="L202" i="11"/>
  <c r="L207" i="11"/>
  <c r="N202" i="11"/>
  <c r="N207" i="11"/>
  <c r="P24" i="116"/>
  <c r="S36" i="116" s="1"/>
  <c r="O45" i="116" s="1"/>
  <c r="E46" i="116" s="1"/>
  <c r="O179" i="113"/>
  <c r="S205" i="113" s="1"/>
  <c r="K210" i="113" s="1"/>
  <c r="D104" i="115"/>
  <c r="D105" i="115"/>
  <c r="P22" i="115"/>
  <c r="S34" i="115" s="1"/>
  <c r="M56" i="115" s="1"/>
  <c r="R194" i="115"/>
  <c r="S209" i="115"/>
  <c r="K214" i="115" s="1"/>
  <c r="S121" i="115"/>
  <c r="K126" i="115" s="1"/>
  <c r="P106" i="115"/>
  <c r="T180" i="115"/>
  <c r="D191" i="115" s="1"/>
  <c r="R106" i="115"/>
  <c r="J183" i="115"/>
  <c r="P68" i="123"/>
  <c r="J98" i="123"/>
  <c r="D145" i="123" s="1"/>
  <c r="P22" i="123"/>
  <c r="B95" i="123"/>
  <c r="A144" i="123" s="1"/>
  <c r="A181" i="11" s="1"/>
  <c r="O98" i="123"/>
  <c r="P64" i="123"/>
  <c r="R64" i="123"/>
  <c r="P65" i="123"/>
  <c r="P22" i="122"/>
  <c r="L38" i="122" s="1"/>
  <c r="M53" i="126"/>
  <c r="T60" i="119"/>
  <c r="T102" i="119" s="1"/>
  <c r="K105" i="119" s="1"/>
  <c r="J89" i="119"/>
  <c r="O105" i="119"/>
  <c r="M115" i="119"/>
  <c r="O41" i="126"/>
  <c r="E42" i="126" s="1"/>
  <c r="K53" i="126" s="1"/>
  <c r="T177" i="114"/>
  <c r="D188" i="114" s="1"/>
  <c r="J178" i="114"/>
  <c r="O178" i="114"/>
  <c r="R189" i="114" s="1"/>
  <c r="J179" i="113"/>
  <c r="G222" i="113"/>
  <c r="G229" i="113" s="1"/>
  <c r="S117" i="113"/>
  <c r="K122" i="113" s="1"/>
  <c r="K63" i="120"/>
  <c r="K71" i="120" s="1"/>
  <c r="K72" i="120" s="1"/>
  <c r="K75" i="120" s="1"/>
  <c r="K76" i="120" s="1"/>
  <c r="B200" i="11"/>
  <c r="R101" i="114"/>
  <c r="P102" i="114" s="1"/>
  <c r="S114" i="114" s="1"/>
  <c r="S116" i="114"/>
  <c r="K121" i="114" s="1"/>
  <c r="P22" i="114"/>
  <c r="S33" i="114" s="1"/>
  <c r="I52" i="114" s="1"/>
  <c r="T176" i="114"/>
  <c r="D187" i="114" s="1"/>
  <c r="P81" i="124"/>
  <c r="L81" i="124"/>
  <c r="P38" i="124"/>
  <c r="L38" i="124"/>
  <c r="O98" i="124"/>
  <c r="P38" i="123"/>
  <c r="L38" i="123"/>
  <c r="P81" i="123"/>
  <c r="L81" i="123"/>
  <c r="P38" i="122"/>
  <c r="F143" i="11"/>
  <c r="K30" i="120"/>
  <c r="K31" i="120" s="1"/>
  <c r="K34" i="120" s="1"/>
  <c r="K35" i="120" s="1"/>
  <c r="K24" i="120"/>
  <c r="G39" i="120" s="1"/>
  <c r="K108" i="120"/>
  <c r="K109" i="120" s="1"/>
  <c r="K112" i="120" s="1"/>
  <c r="K113" i="120" s="1"/>
  <c r="K102" i="120" s="1"/>
  <c r="G117" i="120" s="1"/>
  <c r="W207" i="11" s="1"/>
  <c r="O80" i="119"/>
  <c r="K69" i="119"/>
  <c r="I70" i="119" s="1"/>
  <c r="D26" i="119"/>
  <c r="D27" i="119" s="1"/>
  <c r="M29" i="119" s="1"/>
  <c r="L74" i="119"/>
  <c r="K79" i="119"/>
  <c r="E69" i="119"/>
  <c r="H89" i="119"/>
  <c r="D79" i="119"/>
  <c r="C80" i="119" s="1"/>
  <c r="R321" i="118"/>
  <c r="M410" i="118"/>
  <c r="R138" i="118"/>
  <c r="M103" i="118"/>
  <c r="M96" i="118"/>
  <c r="M110" i="118"/>
  <c r="I220" i="118"/>
  <c r="I226" i="118"/>
  <c r="I214" i="118"/>
  <c r="R241" i="118"/>
  <c r="R206" i="118"/>
  <c r="Q48" i="118"/>
  <c r="T293" i="118"/>
  <c r="D304" i="118" s="1"/>
  <c r="S48" i="118"/>
  <c r="R245" i="118"/>
  <c r="T294" i="118"/>
  <c r="D305" i="118" s="1"/>
  <c r="R247" i="118"/>
  <c r="T295" i="118"/>
  <c r="D306" i="118" s="1"/>
  <c r="S60" i="118"/>
  <c r="M53" i="118"/>
  <c r="G96" i="118"/>
  <c r="Q110" i="118"/>
  <c r="J296" i="118"/>
  <c r="M337" i="118"/>
  <c r="R80" i="118"/>
  <c r="G110" i="118"/>
  <c r="O296" i="118"/>
  <c r="M405" i="118"/>
  <c r="Q47" i="118"/>
  <c r="Q53" i="118" s="1"/>
  <c r="I213" i="118"/>
  <c r="Q60" i="118"/>
  <c r="M213" i="118"/>
  <c r="Q54" i="118"/>
  <c r="G97" i="118"/>
  <c r="J304" i="118"/>
  <c r="R187" i="118"/>
  <c r="M59" i="118"/>
  <c r="M281" i="118"/>
  <c r="M47" i="118"/>
  <c r="R209" i="118"/>
  <c r="R325" i="118"/>
  <c r="G104" i="118"/>
  <c r="I219" i="118"/>
  <c r="P194" i="115"/>
  <c r="J103" i="115"/>
  <c r="J191" i="115" s="1"/>
  <c r="P22" i="117"/>
  <c r="S34" i="117" s="1"/>
  <c r="O46" i="117" s="1"/>
  <c r="E47" i="117" s="1"/>
  <c r="D192" i="115"/>
  <c r="D193" i="115"/>
  <c r="T175" i="114"/>
  <c r="J186" i="114"/>
  <c r="D99" i="113"/>
  <c r="P102" i="113"/>
  <c r="P103" i="113" s="1"/>
  <c r="S115" i="113" s="1"/>
  <c r="M137" i="113" s="1"/>
  <c r="P22" i="113"/>
  <c r="S34" i="113" s="1"/>
  <c r="I51" i="113" s="1"/>
  <c r="G134" i="113"/>
  <c r="G141" i="113" s="1"/>
  <c r="T177" i="113"/>
  <c r="D188" i="113" s="1"/>
  <c r="T178" i="113"/>
  <c r="D189" i="113" s="1"/>
  <c r="J187" i="113"/>
  <c r="G58" i="131" l="1"/>
  <c r="F57" i="131"/>
  <c r="F38" i="120"/>
  <c r="F39" i="120" s="1"/>
  <c r="W200" i="11"/>
  <c r="M55" i="116"/>
  <c r="I55" i="116"/>
  <c r="R190" i="113"/>
  <c r="P190" i="113"/>
  <c r="O40" i="114"/>
  <c r="E41" i="114" s="1"/>
  <c r="P195" i="115"/>
  <c r="S207" i="115" s="1"/>
  <c r="I229" i="115" s="1"/>
  <c r="I56" i="115"/>
  <c r="O41" i="115"/>
  <c r="E42" i="115" s="1"/>
  <c r="P107" i="115"/>
  <c r="S119" i="115" s="1"/>
  <c r="P109" i="123"/>
  <c r="R109" i="123"/>
  <c r="F144" i="123"/>
  <c r="F181" i="11" s="1"/>
  <c r="S38" i="126"/>
  <c r="G54" i="126"/>
  <c r="D57" i="126" s="1"/>
  <c r="B69" i="119"/>
  <c r="I74" i="119"/>
  <c r="H79" i="119"/>
  <c r="I80" i="119" s="1"/>
  <c r="T80" i="119" s="1"/>
  <c r="F118" i="11"/>
  <c r="D70" i="119"/>
  <c r="T70" i="119" s="1"/>
  <c r="E75" i="119"/>
  <c r="R73" i="119" s="1"/>
  <c r="S204" i="114"/>
  <c r="K209" i="114" s="1"/>
  <c r="P189" i="114"/>
  <c r="P190" i="114" s="1"/>
  <c r="S202" i="114" s="1"/>
  <c r="O209" i="114" s="1"/>
  <c r="O41" i="113"/>
  <c r="E42" i="113" s="1"/>
  <c r="M51" i="113"/>
  <c r="K65" i="120"/>
  <c r="G80" i="120" s="1"/>
  <c r="F116" i="120"/>
  <c r="F117" i="120" s="1"/>
  <c r="G118" i="120" s="1"/>
  <c r="Q134" i="120" s="1"/>
  <c r="W202" i="11"/>
  <c r="M136" i="114"/>
  <c r="I136" i="114"/>
  <c r="O121" i="114"/>
  <c r="E122" i="114" s="1"/>
  <c r="K136" i="114" s="1"/>
  <c r="M52" i="114"/>
  <c r="R109" i="124"/>
  <c r="F144" i="124"/>
  <c r="P109" i="124"/>
  <c r="P110" i="124" s="1"/>
  <c r="G277" i="118"/>
  <c r="G263" i="118"/>
  <c r="G270" i="118"/>
  <c r="Q111" i="118"/>
  <c r="S111" i="118"/>
  <c r="Q104" i="118"/>
  <c r="S97" i="118"/>
  <c r="Q97" i="118"/>
  <c r="S104" i="118"/>
  <c r="R137" i="118"/>
  <c r="S220" i="118"/>
  <c r="Q220" i="118"/>
  <c r="R326" i="118"/>
  <c r="S226" i="118"/>
  <c r="S214" i="118"/>
  <c r="Q226" i="118"/>
  <c r="Q214" i="118"/>
  <c r="R246" i="118"/>
  <c r="T307" i="118"/>
  <c r="R307" i="118"/>
  <c r="R369" i="118"/>
  <c r="I343" i="118"/>
  <c r="I349" i="118"/>
  <c r="I337" i="118"/>
  <c r="M144" i="118"/>
  <c r="R141" i="118"/>
  <c r="R249" i="118"/>
  <c r="Q225" i="118"/>
  <c r="R329" i="118"/>
  <c r="Q213" i="118"/>
  <c r="Q219" i="118" s="1"/>
  <c r="M276" i="118"/>
  <c r="M262" i="118"/>
  <c r="M269" i="118"/>
  <c r="G262" i="118"/>
  <c r="G269" i="118"/>
  <c r="G276" i="118"/>
  <c r="I344" i="118"/>
  <c r="I338" i="118"/>
  <c r="R365" i="118"/>
  <c r="I350" i="118"/>
  <c r="I56" i="117"/>
  <c r="M56" i="117"/>
  <c r="D186" i="114"/>
  <c r="O122" i="113"/>
  <c r="E123" i="113" s="1"/>
  <c r="K137" i="113" s="1"/>
  <c r="I137" i="113"/>
  <c r="F56" i="126" l="1"/>
  <c r="F57" i="126" s="1"/>
  <c r="W148" i="11"/>
  <c r="W13" i="131"/>
  <c r="S91" i="131"/>
  <c r="G40" i="120"/>
  <c r="Q132" i="120" s="1"/>
  <c r="Q200" i="11" s="1"/>
  <c r="Q202" i="11"/>
  <c r="Q207" i="11"/>
  <c r="F79" i="120"/>
  <c r="G81" i="120" s="1"/>
  <c r="W51" i="120" s="1"/>
  <c r="W201" i="11"/>
  <c r="P191" i="113"/>
  <c r="S203" i="113" s="1"/>
  <c r="I224" i="114"/>
  <c r="M224" i="114"/>
  <c r="O214" i="115"/>
  <c r="E215" i="115" s="1"/>
  <c r="K229" i="115" s="1"/>
  <c r="M229" i="115"/>
  <c r="O126" i="115"/>
  <c r="E127" i="115" s="1"/>
  <c r="K141" i="115" s="1"/>
  <c r="I141" i="115"/>
  <c r="M141" i="115"/>
  <c r="W13" i="130"/>
  <c r="P110" i="123"/>
  <c r="L120" i="123" s="1"/>
  <c r="J116" i="123"/>
  <c r="P120" i="123"/>
  <c r="W128" i="11"/>
  <c r="E210" i="114"/>
  <c r="K224" i="114" s="1"/>
  <c r="K51" i="113"/>
  <c r="S38" i="113"/>
  <c r="W92" i="120"/>
  <c r="J116" i="124"/>
  <c r="P120" i="124"/>
  <c r="L120" i="124"/>
  <c r="T82" i="119"/>
  <c r="F89" i="119" s="1"/>
  <c r="S263" i="118"/>
  <c r="Q263" i="118"/>
  <c r="S270" i="118"/>
  <c r="Q277" i="118"/>
  <c r="Q270" i="118"/>
  <c r="S277" i="118"/>
  <c r="Q350" i="118"/>
  <c r="Q344" i="118"/>
  <c r="Q338" i="118"/>
  <c r="R370" i="118"/>
  <c r="S338" i="118"/>
  <c r="S344" i="118"/>
  <c r="S350" i="118"/>
  <c r="Q349" i="118"/>
  <c r="Q337" i="118"/>
  <c r="Q343" i="118" s="1"/>
  <c r="R373" i="118"/>
  <c r="Q145" i="118"/>
  <c r="S145" i="118"/>
  <c r="Q262" i="118"/>
  <c r="Q269" i="118"/>
  <c r="Q276" i="118"/>
  <c r="G406" i="118"/>
  <c r="G392" i="118"/>
  <c r="G399" i="118"/>
  <c r="G391" i="118"/>
  <c r="G405" i="118"/>
  <c r="G398" i="118"/>
  <c r="G47" i="113"/>
  <c r="G48" i="113" s="1"/>
  <c r="G55" i="113" s="1"/>
  <c r="J102" i="113"/>
  <c r="J22" i="113"/>
  <c r="S35" i="113" s="1"/>
  <c r="O51" i="113" s="1"/>
  <c r="G58" i="126" l="1"/>
  <c r="S91" i="126" s="1"/>
  <c r="S128" i="11"/>
  <c r="S148" i="11"/>
  <c r="W11" i="120"/>
  <c r="F80" i="120"/>
  <c r="O210" i="113"/>
  <c r="E211" i="113" s="1"/>
  <c r="K225" i="113" s="1"/>
  <c r="I225" i="113"/>
  <c r="M225" i="113"/>
  <c r="W13" i="126"/>
  <c r="G52" i="113"/>
  <c r="D55" i="113" s="1"/>
  <c r="W75" i="11" s="1"/>
  <c r="Q133" i="120"/>
  <c r="Q201" i="11" s="1"/>
  <c r="Q391" i="118"/>
  <c r="Q405" i="118"/>
  <c r="Q398" i="118"/>
  <c r="S406" i="118"/>
  <c r="Q406" i="118"/>
  <c r="S392" i="118"/>
  <c r="Q392" i="118"/>
  <c r="S399" i="118"/>
  <c r="Q399" i="118"/>
  <c r="J190" i="113"/>
  <c r="J191" i="113" s="1"/>
  <c r="S204" i="113" s="1"/>
  <c r="O225" i="113" s="1"/>
  <c r="J103" i="113"/>
  <c r="S116" i="113" s="1"/>
  <c r="O137" i="113" s="1"/>
  <c r="G138" i="113" s="1"/>
  <c r="D141" i="113" s="1"/>
  <c r="F140" i="113" s="1"/>
  <c r="G226" i="113" l="1"/>
  <c r="D229" i="113" s="1"/>
  <c r="F228" i="113" s="1"/>
  <c r="G230" i="113" s="1"/>
  <c r="W182" i="113" s="1"/>
  <c r="F54" i="113"/>
  <c r="F141" i="113"/>
  <c r="G142" i="113"/>
  <c r="W94" i="113" s="1"/>
  <c r="F229" i="113" l="1"/>
  <c r="G56" i="113"/>
  <c r="F55" i="113"/>
  <c r="S266" i="113" l="1"/>
  <c r="S75" i="11" s="1"/>
  <c r="W13" i="113"/>
  <c r="J19" i="79"/>
  <c r="T65" i="112"/>
  <c r="Q268" i="109" l="1"/>
  <c r="Q176" i="11" s="1"/>
  <c r="O268" i="109"/>
  <c r="O176" i="11" s="1"/>
  <c r="M268" i="109"/>
  <c r="M176" i="11" s="1"/>
  <c r="K268" i="109"/>
  <c r="K176" i="11" s="1"/>
  <c r="I268" i="107"/>
  <c r="I268" i="109"/>
  <c r="I176" i="11" s="1"/>
  <c r="H268" i="109"/>
  <c r="G268" i="109"/>
  <c r="F268" i="109"/>
  <c r="F176" i="11" s="1"/>
  <c r="D268" i="109"/>
  <c r="D176" i="11" s="1"/>
  <c r="B268" i="109"/>
  <c r="B176" i="11" s="1"/>
  <c r="A268" i="109"/>
  <c r="A176" i="11" s="1"/>
  <c r="T59" i="112"/>
  <c r="S257" i="110"/>
  <c r="S25" i="110"/>
  <c r="E49" i="110" s="1"/>
  <c r="S24" i="105"/>
  <c r="S106" i="105" s="1"/>
  <c r="S25" i="38"/>
  <c r="Q270" i="105"/>
  <c r="Q62" i="11" s="1"/>
  <c r="O270" i="105"/>
  <c r="O62" i="11" s="1"/>
  <c r="M270" i="105"/>
  <c r="M62" i="11" s="1"/>
  <c r="K270" i="105"/>
  <c r="K62" i="11" s="1"/>
  <c r="J270" i="105"/>
  <c r="I270" i="105"/>
  <c r="I62" i="11" s="1"/>
  <c r="H270" i="105"/>
  <c r="G270" i="105"/>
  <c r="D270" i="105"/>
  <c r="D62" i="11" s="1"/>
  <c r="B270" i="105"/>
  <c r="B62" i="11" s="1"/>
  <c r="A270" i="105"/>
  <c r="A62" i="11" s="1"/>
  <c r="Q268" i="107"/>
  <c r="Q95" i="11" s="1"/>
  <c r="O268" i="107"/>
  <c r="O95" i="11" s="1"/>
  <c r="M268" i="107"/>
  <c r="M95" i="11" s="1"/>
  <c r="K268" i="107"/>
  <c r="K95" i="11" s="1"/>
  <c r="H268" i="107"/>
  <c r="G268" i="107"/>
  <c r="D268" i="107"/>
  <c r="D95" i="11" s="1"/>
  <c r="B268" i="107"/>
  <c r="B95" i="11" s="1"/>
  <c r="A268" i="107"/>
  <c r="A95" i="11" s="1"/>
  <c r="S24" i="107"/>
  <c r="S104" i="107" s="1"/>
  <c r="S25" i="92"/>
  <c r="O387" i="112"/>
  <c r="M387" i="112"/>
  <c r="K387" i="112"/>
  <c r="Q385" i="112"/>
  <c r="Q161" i="11" s="1"/>
  <c r="O385" i="112"/>
  <c r="O161" i="11" s="1"/>
  <c r="M385" i="112"/>
  <c r="M161" i="11" s="1"/>
  <c r="K385" i="112"/>
  <c r="K161" i="11" s="1"/>
  <c r="H385" i="112"/>
  <c r="G385" i="112"/>
  <c r="D371" i="112"/>
  <c r="E363" i="112"/>
  <c r="H352" i="112"/>
  <c r="T310" i="112"/>
  <c r="J341" i="112" s="1"/>
  <c r="D240" i="112"/>
  <c r="E234" i="112"/>
  <c r="H223" i="112"/>
  <c r="T185" i="112"/>
  <c r="F187" i="112" s="1"/>
  <c r="T181" i="112"/>
  <c r="J212" i="112" s="1"/>
  <c r="J140" i="112"/>
  <c r="J263" i="112" s="1"/>
  <c r="J139" i="112"/>
  <c r="J131" i="112"/>
  <c r="L254" i="112" s="1"/>
  <c r="I385" i="112" s="1"/>
  <c r="I161" i="11" s="1"/>
  <c r="O130" i="112"/>
  <c r="T183" i="112" s="1"/>
  <c r="L130" i="112"/>
  <c r="L253" i="112" s="1"/>
  <c r="J130" i="112"/>
  <c r="T179" i="112" s="1"/>
  <c r="T231" i="112" s="1"/>
  <c r="H234" i="112" s="1"/>
  <c r="H130" i="112"/>
  <c r="H253" i="112" s="1"/>
  <c r="D385" i="112" s="1"/>
  <c r="T129" i="112"/>
  <c r="T252" i="112" s="1"/>
  <c r="D263" i="112" s="1"/>
  <c r="T128" i="112"/>
  <c r="D139" i="112" s="1"/>
  <c r="D128" i="112"/>
  <c r="B128" i="112"/>
  <c r="B251" i="112" s="1"/>
  <c r="T127" i="112"/>
  <c r="D138" i="112" s="1"/>
  <c r="H127" i="112"/>
  <c r="H250" i="112" s="1"/>
  <c r="F127" i="112"/>
  <c r="F250" i="112" s="1"/>
  <c r="D127" i="112"/>
  <c r="D250" i="112" s="1"/>
  <c r="B385" i="112" s="1"/>
  <c r="B127" i="112"/>
  <c r="B250" i="112" s="1"/>
  <c r="A385" i="112" s="1"/>
  <c r="A161" i="11" s="1"/>
  <c r="D121" i="112"/>
  <c r="M116" i="112"/>
  <c r="E116" i="112"/>
  <c r="H107" i="112"/>
  <c r="K83" i="112"/>
  <c r="C83" i="112"/>
  <c r="K80" i="112"/>
  <c r="U79" i="112"/>
  <c r="O79" i="112"/>
  <c r="O80" i="112" s="1"/>
  <c r="B79" i="112"/>
  <c r="B80" i="112" s="1"/>
  <c r="G75" i="112"/>
  <c r="G74" i="112"/>
  <c r="C72" i="112"/>
  <c r="U69" i="112"/>
  <c r="I69" i="112"/>
  <c r="I70" i="112" s="1"/>
  <c r="F68" i="112"/>
  <c r="T184" i="112"/>
  <c r="T64" i="112"/>
  <c r="K70" i="112" s="1"/>
  <c r="T62" i="112"/>
  <c r="J89" i="112" s="1"/>
  <c r="T60" i="112"/>
  <c r="S26" i="112"/>
  <c r="Q26" i="112"/>
  <c r="H26" i="112"/>
  <c r="H146" i="112" s="1"/>
  <c r="H269" i="112" s="1"/>
  <c r="F26" i="112"/>
  <c r="F146" i="112" s="1"/>
  <c r="F269" i="112" s="1"/>
  <c r="D20" i="112"/>
  <c r="D19" i="112"/>
  <c r="J18" i="112"/>
  <c r="J138" i="112" s="1"/>
  <c r="D18" i="112"/>
  <c r="O5" i="112"/>
  <c r="G5" i="112"/>
  <c r="D5" i="112"/>
  <c r="C5" i="112"/>
  <c r="A5" i="112"/>
  <c r="O4" i="112"/>
  <c r="O3" i="112"/>
  <c r="O2" i="112"/>
  <c r="H2" i="112"/>
  <c r="O1" i="112"/>
  <c r="H1" i="112"/>
  <c r="S24" i="109"/>
  <c r="J18" i="109"/>
  <c r="S256" i="110"/>
  <c r="E285" i="110"/>
  <c r="E281" i="110"/>
  <c r="J19" i="110"/>
  <c r="J100" i="110" s="1"/>
  <c r="J182" i="110" s="1"/>
  <c r="O299" i="110"/>
  <c r="M299" i="110"/>
  <c r="K299" i="110"/>
  <c r="D299" i="110"/>
  <c r="D298" i="110"/>
  <c r="O297" i="110"/>
  <c r="M297" i="110"/>
  <c r="K297" i="110"/>
  <c r="J297" i="110"/>
  <c r="I297" i="110"/>
  <c r="I133" i="11" s="1"/>
  <c r="H297" i="110"/>
  <c r="G297" i="110"/>
  <c r="F297" i="110"/>
  <c r="F133" i="11" s="1"/>
  <c r="D297" i="110"/>
  <c r="D133" i="11" s="1"/>
  <c r="B297" i="110"/>
  <c r="B133" i="11" s="1"/>
  <c r="A297" i="110"/>
  <c r="A133" i="11" s="1"/>
  <c r="H229" i="110"/>
  <c r="H226" i="110"/>
  <c r="M226" i="110" s="1"/>
  <c r="G235" i="110" s="1"/>
  <c r="M204" i="110"/>
  <c r="S196" i="110"/>
  <c r="H204" i="110" s="1"/>
  <c r="T183" i="110"/>
  <c r="O140" i="110"/>
  <c r="F144" i="110" s="1"/>
  <c r="F145" i="110" s="1"/>
  <c r="E131" i="110"/>
  <c r="S109" i="110"/>
  <c r="J162" i="110" s="1"/>
  <c r="T101" i="110"/>
  <c r="J101" i="110"/>
  <c r="J183" i="110" s="1"/>
  <c r="W89" i="110"/>
  <c r="J92" i="110"/>
  <c r="L174" i="110" s="1"/>
  <c r="O91" i="110"/>
  <c r="O173" i="110" s="1"/>
  <c r="L91" i="110"/>
  <c r="L173" i="110" s="1"/>
  <c r="S195" i="110" s="1"/>
  <c r="R223" i="110" s="1"/>
  <c r="J91" i="110"/>
  <c r="S107" i="110" s="1"/>
  <c r="E134" i="110" s="1"/>
  <c r="E151" i="110" s="1"/>
  <c r="C155" i="110" s="1"/>
  <c r="H91" i="110"/>
  <c r="H173" i="110" s="1"/>
  <c r="T90" i="110"/>
  <c r="T172" i="110" s="1"/>
  <c r="D183" i="110" s="1"/>
  <c r="T89" i="110"/>
  <c r="T171" i="110" s="1"/>
  <c r="D182" i="110" s="1"/>
  <c r="T88" i="110"/>
  <c r="T170" i="110" s="1"/>
  <c r="D181" i="110" s="1"/>
  <c r="H88" i="110"/>
  <c r="H170" i="110" s="1"/>
  <c r="D88" i="110"/>
  <c r="D170" i="110" s="1"/>
  <c r="B88" i="110"/>
  <c r="B170" i="110" s="1"/>
  <c r="C74" i="110"/>
  <c r="F61" i="110"/>
  <c r="F62" i="110" s="1"/>
  <c r="S31" i="110"/>
  <c r="S28" i="110"/>
  <c r="I81" i="110" s="1"/>
  <c r="S26" i="110"/>
  <c r="T20" i="110"/>
  <c r="R20" i="110"/>
  <c r="P20" i="110"/>
  <c r="D20" i="110"/>
  <c r="D19" i="110"/>
  <c r="J18" i="110"/>
  <c r="D18" i="110"/>
  <c r="W13" i="110"/>
  <c r="R5" i="110"/>
  <c r="O5" i="110"/>
  <c r="G5" i="110"/>
  <c r="D5" i="110"/>
  <c r="C5" i="110"/>
  <c r="A5" i="110"/>
  <c r="R4" i="110"/>
  <c r="O4" i="110"/>
  <c r="R3" i="110"/>
  <c r="O3" i="110"/>
  <c r="H3" i="110"/>
  <c r="R2" i="110"/>
  <c r="O2" i="110"/>
  <c r="H2" i="110"/>
  <c r="R1" i="110"/>
  <c r="O1" i="110"/>
  <c r="H1" i="110"/>
  <c r="J18" i="107"/>
  <c r="J18" i="105"/>
  <c r="J100" i="105" s="1"/>
  <c r="H3" i="107"/>
  <c r="H3" i="79"/>
  <c r="E227" i="109"/>
  <c r="E223" i="109"/>
  <c r="H210" i="109"/>
  <c r="J204" i="109"/>
  <c r="E139" i="109"/>
  <c r="E135" i="109"/>
  <c r="H122" i="109"/>
  <c r="J116" i="109"/>
  <c r="J100" i="109"/>
  <c r="J188" i="109" s="1"/>
  <c r="J99" i="109"/>
  <c r="J187" i="109" s="1"/>
  <c r="J91" i="109"/>
  <c r="L179" i="109" s="1"/>
  <c r="O90" i="109"/>
  <c r="O178" i="109" s="1"/>
  <c r="L90" i="109"/>
  <c r="L178" i="109" s="1"/>
  <c r="J90" i="109"/>
  <c r="J178" i="109" s="1"/>
  <c r="H90" i="109"/>
  <c r="H178" i="109" s="1"/>
  <c r="T89" i="109"/>
  <c r="D100" i="109" s="1"/>
  <c r="T88" i="109"/>
  <c r="T176" i="109" s="1"/>
  <c r="T87" i="109"/>
  <c r="T175" i="109" s="1"/>
  <c r="D87" i="109"/>
  <c r="D175" i="109" s="1"/>
  <c r="B87" i="109"/>
  <c r="B175" i="109" s="1"/>
  <c r="E55" i="109"/>
  <c r="E51" i="109"/>
  <c r="H42" i="109"/>
  <c r="J36" i="109"/>
  <c r="S25" i="109"/>
  <c r="S28" i="109" s="1"/>
  <c r="D20" i="109"/>
  <c r="D19" i="109"/>
  <c r="D18" i="109"/>
  <c r="O5" i="109"/>
  <c r="G5" i="109"/>
  <c r="D5" i="109"/>
  <c r="C5" i="109"/>
  <c r="A5" i="109"/>
  <c r="O4" i="109"/>
  <c r="O3" i="109"/>
  <c r="O2" i="109"/>
  <c r="H2" i="109"/>
  <c r="O1" i="109"/>
  <c r="H1" i="109"/>
  <c r="T270" i="108"/>
  <c r="S270" i="108"/>
  <c r="R270" i="108"/>
  <c r="Q270" i="108"/>
  <c r="P270" i="108"/>
  <c r="O270" i="108"/>
  <c r="N270" i="108"/>
  <c r="M270" i="108"/>
  <c r="L270" i="108"/>
  <c r="I270" i="108"/>
  <c r="H270" i="108"/>
  <c r="E230" i="108"/>
  <c r="E226" i="108"/>
  <c r="H213" i="108"/>
  <c r="J207" i="108"/>
  <c r="O181" i="108"/>
  <c r="G270" i="108" s="1"/>
  <c r="E142" i="108"/>
  <c r="E138" i="108"/>
  <c r="H125" i="108"/>
  <c r="J119" i="108"/>
  <c r="J103" i="108"/>
  <c r="J191" i="108" s="1"/>
  <c r="J102" i="108"/>
  <c r="J190" i="108" s="1"/>
  <c r="J94" i="108"/>
  <c r="L182" i="108" s="1"/>
  <c r="J270" i="108" s="1"/>
  <c r="O93" i="108"/>
  <c r="L93" i="108"/>
  <c r="L181" i="108" s="1"/>
  <c r="J93" i="108"/>
  <c r="J181" i="108" s="1"/>
  <c r="E270" i="108" s="1"/>
  <c r="H93" i="108"/>
  <c r="H181" i="108" s="1"/>
  <c r="D270" i="108" s="1"/>
  <c r="T92" i="108"/>
  <c r="T180" i="108" s="1"/>
  <c r="T91" i="108"/>
  <c r="T179" i="108" s="1"/>
  <c r="T90" i="108"/>
  <c r="T178" i="108" s="1"/>
  <c r="D90" i="108"/>
  <c r="D178" i="108" s="1"/>
  <c r="C270" i="108" s="1"/>
  <c r="B90" i="108"/>
  <c r="B178" i="108" s="1"/>
  <c r="A270" i="108" s="1"/>
  <c r="E54" i="108"/>
  <c r="E50" i="108"/>
  <c r="H42" i="108"/>
  <c r="J36" i="108"/>
  <c r="S25" i="108"/>
  <c r="S28" i="108" s="1"/>
  <c r="S24" i="108"/>
  <c r="S107" i="108" s="1"/>
  <c r="J21" i="108"/>
  <c r="J104" i="108" s="1"/>
  <c r="J192" i="108" s="1"/>
  <c r="D20" i="108"/>
  <c r="D19" i="108"/>
  <c r="J18" i="108"/>
  <c r="J101" i="108" s="1"/>
  <c r="D18" i="108"/>
  <c r="R5" i="108"/>
  <c r="O5" i="108"/>
  <c r="G5" i="108"/>
  <c r="D5" i="108"/>
  <c r="C5" i="108"/>
  <c r="A5" i="108"/>
  <c r="R4" i="108"/>
  <c r="O4" i="108"/>
  <c r="R3" i="108"/>
  <c r="O3" i="108"/>
  <c r="H3" i="108"/>
  <c r="R2" i="108"/>
  <c r="O2" i="108"/>
  <c r="H2" i="108"/>
  <c r="R1" i="108"/>
  <c r="O1" i="108"/>
  <c r="H1" i="108"/>
  <c r="E227" i="107"/>
  <c r="E223" i="107"/>
  <c r="H210" i="107"/>
  <c r="J204" i="107"/>
  <c r="E139" i="107"/>
  <c r="E135" i="107"/>
  <c r="H122" i="107"/>
  <c r="J116" i="107"/>
  <c r="J100" i="107"/>
  <c r="J188" i="107" s="1"/>
  <c r="J99" i="107"/>
  <c r="J187" i="107" s="1"/>
  <c r="J91" i="107"/>
  <c r="L179" i="107" s="1"/>
  <c r="O90" i="107"/>
  <c r="O178" i="107" s="1"/>
  <c r="L90" i="107"/>
  <c r="L178" i="107" s="1"/>
  <c r="J90" i="107"/>
  <c r="J178" i="107" s="1"/>
  <c r="H90" i="107"/>
  <c r="S105" i="107" s="1"/>
  <c r="T89" i="107"/>
  <c r="T177" i="107" s="1"/>
  <c r="T88" i="107"/>
  <c r="T176" i="107" s="1"/>
  <c r="T87" i="107"/>
  <c r="T175" i="107" s="1"/>
  <c r="D87" i="107"/>
  <c r="D175" i="107" s="1"/>
  <c r="B87" i="107"/>
  <c r="B175" i="107" s="1"/>
  <c r="E55" i="107"/>
  <c r="E51" i="107"/>
  <c r="H42" i="107"/>
  <c r="J36" i="107"/>
  <c r="S25" i="107"/>
  <c r="S28" i="107" s="1"/>
  <c r="D20" i="107"/>
  <c r="D19" i="107"/>
  <c r="D18" i="107"/>
  <c r="O5" i="107"/>
  <c r="G5" i="107"/>
  <c r="D5" i="107"/>
  <c r="C5" i="107"/>
  <c r="A5" i="107"/>
  <c r="O4" i="107"/>
  <c r="O3" i="107"/>
  <c r="O2" i="107"/>
  <c r="H2" i="107"/>
  <c r="O1" i="107"/>
  <c r="H1" i="107"/>
  <c r="S390" i="106"/>
  <c r="M389" i="106"/>
  <c r="K389" i="106"/>
  <c r="O388" i="106"/>
  <c r="M388" i="106"/>
  <c r="K388" i="106"/>
  <c r="H388" i="106"/>
  <c r="G388" i="106"/>
  <c r="B388" i="106"/>
  <c r="A388" i="106"/>
  <c r="O387" i="106"/>
  <c r="O390" i="106" s="1"/>
  <c r="M387" i="106"/>
  <c r="M390" i="106" s="1"/>
  <c r="K387" i="106"/>
  <c r="K390" i="106" s="1"/>
  <c r="O386" i="106"/>
  <c r="O389" i="106" s="1"/>
  <c r="M386" i="106"/>
  <c r="K386" i="106"/>
  <c r="Q385" i="106"/>
  <c r="Q388" i="106" s="1"/>
  <c r="O385" i="106"/>
  <c r="M385" i="106"/>
  <c r="K385" i="106"/>
  <c r="H385" i="106"/>
  <c r="G385" i="106"/>
  <c r="D372" i="106"/>
  <c r="E364" i="106"/>
  <c r="H353" i="106"/>
  <c r="O328" i="106"/>
  <c r="O329" i="106" s="1"/>
  <c r="B328" i="106"/>
  <c r="B329" i="106" s="1"/>
  <c r="T315" i="106"/>
  <c r="G324" i="106" s="1"/>
  <c r="T311" i="106"/>
  <c r="O353" i="106" s="1"/>
  <c r="L255" i="106"/>
  <c r="I385" i="106" s="1"/>
  <c r="I388" i="106" s="1"/>
  <c r="D251" i="106"/>
  <c r="B385" i="106" s="1"/>
  <c r="D241" i="106"/>
  <c r="O235" i="106"/>
  <c r="E235" i="106"/>
  <c r="H224" i="106"/>
  <c r="K210" i="106"/>
  <c r="C210" i="106"/>
  <c r="U199" i="106"/>
  <c r="O199" i="106"/>
  <c r="O200" i="106" s="1"/>
  <c r="B199" i="106"/>
  <c r="B200" i="106" s="1"/>
  <c r="G195" i="106"/>
  <c r="G194" i="106"/>
  <c r="C192" i="106"/>
  <c r="T186" i="106"/>
  <c r="F188" i="106" s="1"/>
  <c r="T182" i="106"/>
  <c r="O224" i="106" s="1"/>
  <c r="H147" i="106"/>
  <c r="H270" i="106" s="1"/>
  <c r="F147" i="106"/>
  <c r="F270" i="106" s="1"/>
  <c r="J142" i="106"/>
  <c r="J265" i="106" s="1"/>
  <c r="J141" i="106"/>
  <c r="J264" i="106" s="1"/>
  <c r="J140" i="106"/>
  <c r="J263" i="106" s="1"/>
  <c r="J139" i="106"/>
  <c r="J262" i="106" s="1"/>
  <c r="D270" i="106" s="1"/>
  <c r="J132" i="106"/>
  <c r="O131" i="106"/>
  <c r="O254" i="106" s="1"/>
  <c r="L131" i="106"/>
  <c r="L254" i="106" s="1"/>
  <c r="J131" i="106"/>
  <c r="J254" i="106" s="1"/>
  <c r="D386" i="106" s="1"/>
  <c r="D389" i="106" s="1"/>
  <c r="H131" i="106"/>
  <c r="H254" i="106" s="1"/>
  <c r="D385" i="106" s="1"/>
  <c r="D388" i="106" s="1"/>
  <c r="T130" i="106"/>
  <c r="T253" i="106" s="1"/>
  <c r="D264" i="106" s="1"/>
  <c r="T129" i="106"/>
  <c r="D140" i="106" s="1"/>
  <c r="D129" i="106"/>
  <c r="B129" i="106"/>
  <c r="B252" i="106" s="1"/>
  <c r="T128" i="106"/>
  <c r="D139" i="106" s="1"/>
  <c r="H128" i="106"/>
  <c r="H251" i="106" s="1"/>
  <c r="F128" i="106"/>
  <c r="F251" i="106" s="1"/>
  <c r="D128" i="106"/>
  <c r="B128" i="106"/>
  <c r="B251" i="106" s="1"/>
  <c r="A385" i="106" s="1"/>
  <c r="D121" i="106"/>
  <c r="E115" i="106"/>
  <c r="H104" i="106"/>
  <c r="H96" i="106"/>
  <c r="K96" i="106" s="1"/>
  <c r="K84" i="106"/>
  <c r="C84" i="106"/>
  <c r="O81" i="106"/>
  <c r="B81" i="106"/>
  <c r="U80" i="106"/>
  <c r="O80" i="106"/>
  <c r="B80" i="106"/>
  <c r="G76" i="106"/>
  <c r="G75" i="106"/>
  <c r="C73" i="106"/>
  <c r="U70" i="106"/>
  <c r="I70" i="106"/>
  <c r="I71" i="106" s="1"/>
  <c r="F69" i="106"/>
  <c r="T66" i="106"/>
  <c r="T185" i="106" s="1"/>
  <c r="T65" i="106"/>
  <c r="K71" i="106" s="1"/>
  <c r="T63" i="106"/>
  <c r="O104" i="106" s="1"/>
  <c r="T61" i="106"/>
  <c r="T112" i="106" s="1"/>
  <c r="H115" i="106" s="1"/>
  <c r="T60" i="106"/>
  <c r="T179" i="106" s="1"/>
  <c r="S26" i="106"/>
  <c r="Q26" i="106"/>
  <c r="H26" i="106"/>
  <c r="F26" i="106"/>
  <c r="D26" i="106"/>
  <c r="J21" i="106"/>
  <c r="J22" i="106" s="1"/>
  <c r="O26" i="106" s="1"/>
  <c r="O27" i="106" s="1"/>
  <c r="P29" i="106" s="1"/>
  <c r="D20" i="106"/>
  <c r="D19" i="106"/>
  <c r="D18" i="106"/>
  <c r="R5" i="106"/>
  <c r="O5" i="106"/>
  <c r="G5" i="106"/>
  <c r="D5" i="106"/>
  <c r="C5" i="106"/>
  <c r="A5" i="106"/>
  <c r="R4" i="106"/>
  <c r="O4" i="106"/>
  <c r="R3" i="106"/>
  <c r="O3" i="106"/>
  <c r="H3" i="106"/>
  <c r="R2" i="106"/>
  <c r="O2" i="106"/>
  <c r="H2" i="106"/>
  <c r="R1" i="106"/>
  <c r="O1" i="106"/>
  <c r="H1" i="106"/>
  <c r="E229" i="105"/>
  <c r="E225" i="105"/>
  <c r="H212" i="105"/>
  <c r="J206" i="105"/>
  <c r="E141" i="105"/>
  <c r="E137" i="105"/>
  <c r="H124" i="105"/>
  <c r="J118" i="105"/>
  <c r="J102" i="105"/>
  <c r="J190" i="105" s="1"/>
  <c r="J101" i="105"/>
  <c r="J189" i="105" s="1"/>
  <c r="J93" i="105"/>
  <c r="L181" i="105" s="1"/>
  <c r="O92" i="105"/>
  <c r="O180" i="105" s="1"/>
  <c r="L92" i="105"/>
  <c r="L180" i="105" s="1"/>
  <c r="J92" i="105"/>
  <c r="J180" i="105" s="1"/>
  <c r="H92" i="105"/>
  <c r="H180" i="105" s="1"/>
  <c r="T91" i="105"/>
  <c r="T179" i="105" s="1"/>
  <c r="T90" i="105"/>
  <c r="T178" i="105" s="1"/>
  <c r="T89" i="105"/>
  <c r="T177" i="105" s="1"/>
  <c r="D89" i="105"/>
  <c r="D177" i="105" s="1"/>
  <c r="B89" i="105"/>
  <c r="B177" i="105" s="1"/>
  <c r="E56" i="105"/>
  <c r="E52" i="105"/>
  <c r="H42" i="105"/>
  <c r="J36" i="105"/>
  <c r="S25" i="105"/>
  <c r="S28" i="105" s="1"/>
  <c r="D20" i="105"/>
  <c r="D19" i="105"/>
  <c r="D18" i="105"/>
  <c r="O5" i="105"/>
  <c r="G5" i="105"/>
  <c r="D5" i="105"/>
  <c r="C5" i="105"/>
  <c r="A5" i="105"/>
  <c r="O4" i="105"/>
  <c r="O3" i="105"/>
  <c r="O2" i="105"/>
  <c r="H2" i="105"/>
  <c r="O1" i="105"/>
  <c r="H1" i="105"/>
  <c r="M134" i="11" l="1"/>
  <c r="M133" i="11"/>
  <c r="O134" i="11"/>
  <c r="O133" i="11"/>
  <c r="K134" i="11"/>
  <c r="K133" i="11"/>
  <c r="O253" i="112"/>
  <c r="S269" i="112" s="1"/>
  <c r="G193" i="112"/>
  <c r="U198" i="112"/>
  <c r="C209" i="112"/>
  <c r="K209" i="112"/>
  <c r="O223" i="112"/>
  <c r="I188" i="112"/>
  <c r="I189" i="112" s="1"/>
  <c r="D140" i="112"/>
  <c r="T314" i="112"/>
  <c r="G323" i="112" s="1"/>
  <c r="C191" i="112"/>
  <c r="U188" i="112"/>
  <c r="G194" i="112"/>
  <c r="J253" i="112"/>
  <c r="D386" i="112" s="1"/>
  <c r="Q146" i="112"/>
  <c r="S146" i="112"/>
  <c r="B198" i="112"/>
  <c r="B199" i="112" s="1"/>
  <c r="O198" i="112"/>
  <c r="O199" i="112" s="1"/>
  <c r="O200" i="112" s="1"/>
  <c r="O234" i="112"/>
  <c r="D387" i="112"/>
  <c r="T308" i="112"/>
  <c r="T360" i="112" s="1"/>
  <c r="H363" i="112" s="1"/>
  <c r="T309" i="106"/>
  <c r="T361" i="106" s="1"/>
  <c r="H364" i="106" s="1"/>
  <c r="D387" i="106"/>
  <c r="D390" i="106" s="1"/>
  <c r="F385" i="106"/>
  <c r="F388" i="106" s="1"/>
  <c r="T313" i="106"/>
  <c r="K319" i="106" s="1"/>
  <c r="Q81" i="106"/>
  <c r="O82" i="106" s="1"/>
  <c r="Q80" i="112"/>
  <c r="O81" i="112" s="1"/>
  <c r="T251" i="112"/>
  <c r="D262" i="112" s="1"/>
  <c r="U328" i="106"/>
  <c r="T250" i="112"/>
  <c r="D261" i="112" s="1"/>
  <c r="Q147" i="106"/>
  <c r="S147" i="106"/>
  <c r="D27" i="106"/>
  <c r="M29" i="106" s="1"/>
  <c r="S29" i="106" s="1"/>
  <c r="T64" i="106" s="1"/>
  <c r="T180" i="106"/>
  <c r="T232" i="106" s="1"/>
  <c r="H235" i="106" s="1"/>
  <c r="M115" i="106"/>
  <c r="E116" i="106" s="1"/>
  <c r="T252" i="106"/>
  <c r="D263" i="106" s="1"/>
  <c r="D141" i="106"/>
  <c r="C82" i="106"/>
  <c r="O364" i="106"/>
  <c r="I189" i="106"/>
  <c r="I190" i="106" s="1"/>
  <c r="D80" i="112"/>
  <c r="C81" i="112" s="1"/>
  <c r="O115" i="106"/>
  <c r="T184" i="106"/>
  <c r="U189" i="106"/>
  <c r="T61" i="112"/>
  <c r="I75" i="112" s="1"/>
  <c r="O116" i="112"/>
  <c r="U317" i="112"/>
  <c r="O327" i="112"/>
  <c r="O328" i="112" s="1"/>
  <c r="K338" i="112"/>
  <c r="D271" i="106"/>
  <c r="M273" i="106" s="1"/>
  <c r="J213" i="106"/>
  <c r="O363" i="112"/>
  <c r="D81" i="106"/>
  <c r="J266" i="106"/>
  <c r="O270" i="106" s="1"/>
  <c r="K81" i="106"/>
  <c r="T251" i="106"/>
  <c r="D262" i="106" s="1"/>
  <c r="E52" i="110"/>
  <c r="M234" i="112"/>
  <c r="E189" i="112"/>
  <c r="K199" i="112"/>
  <c r="L194" i="112"/>
  <c r="T313" i="112"/>
  <c r="I71" i="112"/>
  <c r="H212" i="112"/>
  <c r="K189" i="112"/>
  <c r="Q199" i="112"/>
  <c r="D199" i="112"/>
  <c r="J261" i="112"/>
  <c r="D269" i="112" s="1"/>
  <c r="D270" i="112" s="1"/>
  <c r="M272" i="112" s="1"/>
  <c r="D146" i="112"/>
  <c r="D147" i="112" s="1"/>
  <c r="M148" i="112" s="1"/>
  <c r="F316" i="112"/>
  <c r="E70" i="112"/>
  <c r="I317" i="112"/>
  <c r="I318" i="112" s="1"/>
  <c r="H89" i="112"/>
  <c r="D26" i="112"/>
  <c r="D27" i="112" s="1"/>
  <c r="M29" i="112" s="1"/>
  <c r="J262" i="112"/>
  <c r="T178" i="112"/>
  <c r="L75" i="112"/>
  <c r="O107" i="112"/>
  <c r="O352" i="112"/>
  <c r="S26" i="109"/>
  <c r="G36" i="109" s="1"/>
  <c r="P21" i="110"/>
  <c r="S29" i="110" s="1"/>
  <c r="S258" i="110"/>
  <c r="G268" i="110" s="1"/>
  <c r="S260" i="110"/>
  <c r="S261" i="110" s="1"/>
  <c r="E274" i="110" s="1"/>
  <c r="J173" i="110"/>
  <c r="D102" i="108"/>
  <c r="D99" i="110"/>
  <c r="S112" i="110"/>
  <c r="S194" i="110" s="1"/>
  <c r="M223" i="110" s="1"/>
  <c r="M224" i="110" s="1"/>
  <c r="G234" i="110" s="1"/>
  <c r="S199" i="110"/>
  <c r="K204" i="110" s="1"/>
  <c r="R183" i="110"/>
  <c r="P183" i="110"/>
  <c r="E50" i="110"/>
  <c r="J99" i="110"/>
  <c r="D100" i="110"/>
  <c r="D101" i="110"/>
  <c r="P101" i="110"/>
  <c r="K74" i="110"/>
  <c r="R101" i="110"/>
  <c r="E132" i="110"/>
  <c r="K142" i="110"/>
  <c r="S108" i="109"/>
  <c r="S29" i="109"/>
  <c r="E42" i="109" s="1"/>
  <c r="D186" i="109"/>
  <c r="D187" i="109"/>
  <c r="S193" i="109"/>
  <c r="J98" i="109"/>
  <c r="D99" i="109"/>
  <c r="S104" i="109"/>
  <c r="T177" i="109"/>
  <c r="D98" i="109"/>
  <c r="S105" i="109"/>
  <c r="F270" i="108"/>
  <c r="S196" i="108"/>
  <c r="J105" i="108"/>
  <c r="S110" i="108" s="1"/>
  <c r="J189" i="108"/>
  <c r="J193" i="108" s="1"/>
  <c r="S198" i="108" s="1"/>
  <c r="S195" i="108"/>
  <c r="S197" i="108" s="1"/>
  <c r="G207" i="108" s="1"/>
  <c r="S111" i="108"/>
  <c r="S29" i="108"/>
  <c r="E42" i="108" s="1"/>
  <c r="U270" i="108"/>
  <c r="D189" i="108"/>
  <c r="U271" i="108"/>
  <c r="D190" i="108"/>
  <c r="D191" i="108"/>
  <c r="U272" i="108"/>
  <c r="J22" i="108"/>
  <c r="S27" i="108" s="1"/>
  <c r="S26" i="108"/>
  <c r="G36" i="108" s="1"/>
  <c r="D101" i="108"/>
  <c r="D103" i="108"/>
  <c r="S108" i="108"/>
  <c r="S109" i="108" s="1"/>
  <c r="G119" i="108" s="1"/>
  <c r="D187" i="107"/>
  <c r="D188" i="107"/>
  <c r="S193" i="107"/>
  <c r="S106" i="107"/>
  <c r="G116" i="107" s="1"/>
  <c r="S192" i="107"/>
  <c r="D186" i="107"/>
  <c r="S108" i="107"/>
  <c r="S29" i="107"/>
  <c r="E42" i="107" s="1"/>
  <c r="S26" i="107"/>
  <c r="G36" i="107" s="1"/>
  <c r="D98" i="107"/>
  <c r="J98" i="107"/>
  <c r="D99" i="107"/>
  <c r="H178" i="107"/>
  <c r="D100" i="107"/>
  <c r="L90" i="106"/>
  <c r="Q104" i="106"/>
  <c r="Q115" i="106"/>
  <c r="T181" i="106"/>
  <c r="T308" i="106"/>
  <c r="T310" i="106" s="1"/>
  <c r="T314" i="106"/>
  <c r="K200" i="106"/>
  <c r="L195" i="106"/>
  <c r="M235" i="106"/>
  <c r="E190" i="106"/>
  <c r="I72" i="106"/>
  <c r="F317" i="106"/>
  <c r="J143" i="106"/>
  <c r="O147" i="106" s="1"/>
  <c r="D147" i="106"/>
  <c r="D148" i="106" s="1"/>
  <c r="M149" i="106" s="1"/>
  <c r="H90" i="106"/>
  <c r="E71" i="106"/>
  <c r="J90" i="106"/>
  <c r="H342" i="106"/>
  <c r="G323" i="106"/>
  <c r="L76" i="106"/>
  <c r="T62" i="106"/>
  <c r="I318" i="106"/>
  <c r="I319" i="106" s="1"/>
  <c r="U318" i="106"/>
  <c r="C339" i="106"/>
  <c r="K339" i="106"/>
  <c r="J342" i="106"/>
  <c r="C321" i="106"/>
  <c r="Q270" i="106"/>
  <c r="S270" i="106"/>
  <c r="S195" i="105"/>
  <c r="J188" i="105"/>
  <c r="S194" i="105"/>
  <c r="S110" i="105"/>
  <c r="S29" i="105"/>
  <c r="E42" i="105" s="1"/>
  <c r="D188" i="105"/>
  <c r="D189" i="105"/>
  <c r="D190" i="105"/>
  <c r="S26" i="105"/>
  <c r="G36" i="105" s="1"/>
  <c r="D100" i="105"/>
  <c r="D101" i="105"/>
  <c r="D102" i="105"/>
  <c r="S107" i="105"/>
  <c r="S108" i="105" s="1"/>
  <c r="G118" i="105" s="1"/>
  <c r="I190" i="112" l="1"/>
  <c r="C320" i="112"/>
  <c r="Q269" i="112"/>
  <c r="H80" i="112"/>
  <c r="I81" i="112" s="1"/>
  <c r="T81" i="112" s="1"/>
  <c r="E76" i="112"/>
  <c r="R74" i="112" s="1"/>
  <c r="B70" i="112"/>
  <c r="D71" i="112" s="1"/>
  <c r="T71" i="112" s="1"/>
  <c r="F385" i="112"/>
  <c r="T312" i="112"/>
  <c r="Q328" i="112" s="1"/>
  <c r="O329" i="112" s="1"/>
  <c r="T104" i="112"/>
  <c r="K107" i="112" s="1"/>
  <c r="C200" i="112"/>
  <c r="B327" i="112"/>
  <c r="B328" i="112" s="1"/>
  <c r="C338" i="112"/>
  <c r="U327" i="112"/>
  <c r="G322" i="112"/>
  <c r="Q200" i="106"/>
  <c r="O201" i="106" s="1"/>
  <c r="H213" i="106"/>
  <c r="K190" i="106"/>
  <c r="D200" i="106"/>
  <c r="C201" i="106" s="1"/>
  <c r="O271" i="106"/>
  <c r="O273" i="106" s="1"/>
  <c r="Q273" i="106" s="1"/>
  <c r="T312" i="106" s="1"/>
  <c r="I191" i="106"/>
  <c r="I320" i="106"/>
  <c r="Q329" i="106"/>
  <c r="O330" i="106" s="1"/>
  <c r="D329" i="106"/>
  <c r="C330" i="106" s="1"/>
  <c r="O148" i="106"/>
  <c r="P149" i="106" s="1"/>
  <c r="S149" i="106" s="1"/>
  <c r="T183" i="106" s="1"/>
  <c r="S194" i="107"/>
  <c r="G204" i="107" s="1"/>
  <c r="S196" i="105"/>
  <c r="G206" i="105" s="1"/>
  <c r="T180" i="112"/>
  <c r="T307" i="112"/>
  <c r="T309" i="112" s="1"/>
  <c r="M363" i="112"/>
  <c r="L323" i="112"/>
  <c r="K328" i="112"/>
  <c r="E318" i="112"/>
  <c r="F74" i="110"/>
  <c r="H274" i="110"/>
  <c r="J268" i="110"/>
  <c r="P184" i="110"/>
  <c r="S197" i="110" s="1"/>
  <c r="J229" i="110" s="1"/>
  <c r="P102" i="110"/>
  <c r="S110" i="110" s="1"/>
  <c r="F155" i="110" s="1"/>
  <c r="J181" i="110"/>
  <c r="K155" i="110"/>
  <c r="D188" i="109"/>
  <c r="S106" i="109"/>
  <c r="G116" i="109" s="1"/>
  <c r="S192" i="109"/>
  <c r="S194" i="109" s="1"/>
  <c r="G204" i="109" s="1"/>
  <c r="J186" i="109"/>
  <c r="S109" i="109"/>
  <c r="E122" i="109" s="1"/>
  <c r="S196" i="109"/>
  <c r="S197" i="109" s="1"/>
  <c r="E210" i="109" s="1"/>
  <c r="S199" i="108"/>
  <c r="S200" i="108" s="1"/>
  <c r="E213" i="108" s="1"/>
  <c r="S112" i="108"/>
  <c r="E125" i="108" s="1"/>
  <c r="K42" i="108"/>
  <c r="E43" i="108" s="1"/>
  <c r="H54" i="108" s="1"/>
  <c r="G53" i="108" s="1"/>
  <c r="G54" i="108" s="1"/>
  <c r="K55" i="108" s="1"/>
  <c r="M36" i="108"/>
  <c r="E37" i="108" s="1"/>
  <c r="H50" i="108" s="1"/>
  <c r="K213" i="108"/>
  <c r="M207" i="108"/>
  <c r="E208" i="108" s="1"/>
  <c r="H226" i="108" s="1"/>
  <c r="M119" i="108"/>
  <c r="E120" i="108" s="1"/>
  <c r="H138" i="108" s="1"/>
  <c r="K125" i="108"/>
  <c r="J186" i="107"/>
  <c r="S109" i="107"/>
  <c r="E122" i="107" s="1"/>
  <c r="S196" i="107"/>
  <c r="S197" i="107" s="1"/>
  <c r="E210" i="107" s="1"/>
  <c r="Q353" i="106"/>
  <c r="Q364" i="106"/>
  <c r="L342" i="106"/>
  <c r="I324" i="106"/>
  <c r="H329" i="106"/>
  <c r="T350" i="106"/>
  <c r="K353" i="106" s="1"/>
  <c r="H354" i="106" s="1"/>
  <c r="B319" i="106"/>
  <c r="L324" i="106"/>
  <c r="K329" i="106"/>
  <c r="E319" i="106"/>
  <c r="M364" i="106"/>
  <c r="I76" i="106"/>
  <c r="E77" i="106" s="1"/>
  <c r="R75" i="106" s="1"/>
  <c r="T101" i="106"/>
  <c r="K104" i="106" s="1"/>
  <c r="H105" i="106" s="1"/>
  <c r="B71" i="106"/>
  <c r="D72" i="106" s="1"/>
  <c r="T72" i="106" s="1"/>
  <c r="H81" i="106"/>
  <c r="I82" i="106" s="1"/>
  <c r="T82" i="106" s="1"/>
  <c r="B190" i="106"/>
  <c r="D191" i="106" s="1"/>
  <c r="H200" i="106"/>
  <c r="I201" i="106" s="1"/>
  <c r="T201" i="106" s="1"/>
  <c r="T221" i="106"/>
  <c r="K224" i="106" s="1"/>
  <c r="I195" i="106"/>
  <c r="E196" i="106" s="1"/>
  <c r="R194" i="106" s="1"/>
  <c r="S198" i="105"/>
  <c r="S199" i="105" s="1"/>
  <c r="E212" i="105" s="1"/>
  <c r="S111" i="105"/>
  <c r="E124" i="105" s="1"/>
  <c r="H341" i="112" l="1"/>
  <c r="T83" i="112"/>
  <c r="F89" i="112" s="1"/>
  <c r="K318" i="112"/>
  <c r="I319" i="112" s="1"/>
  <c r="D328" i="112"/>
  <c r="C329" i="112" s="1"/>
  <c r="Q224" i="106"/>
  <c r="L213" i="106"/>
  <c r="Q235" i="106"/>
  <c r="E236" i="106" s="1"/>
  <c r="E365" i="106"/>
  <c r="T191" i="106"/>
  <c r="T210" i="106" s="1"/>
  <c r="F213" i="106" s="1"/>
  <c r="F214" i="106" s="1"/>
  <c r="T84" i="106"/>
  <c r="F90" i="106" s="1"/>
  <c r="F91" i="106" s="1"/>
  <c r="M118" i="106" s="1"/>
  <c r="G121" i="106" s="1"/>
  <c r="F120" i="106" s="1"/>
  <c r="B189" i="112"/>
  <c r="D190" i="112" s="1"/>
  <c r="T190" i="112" s="1"/>
  <c r="T209" i="112" s="1"/>
  <c r="F212" i="112" s="1"/>
  <c r="H199" i="112"/>
  <c r="I200" i="112" s="1"/>
  <c r="T200" i="112" s="1"/>
  <c r="I194" i="112"/>
  <c r="E195" i="112" s="1"/>
  <c r="R193" i="112" s="1"/>
  <c r="T220" i="112"/>
  <c r="K223" i="112" s="1"/>
  <c r="I323" i="112"/>
  <c r="E324" i="112" s="1"/>
  <c r="R322" i="112" s="1"/>
  <c r="H328" i="112"/>
  <c r="I329" i="112" s="1"/>
  <c r="B318" i="112"/>
  <c r="D319" i="112" s="1"/>
  <c r="T349" i="112"/>
  <c r="K352" i="112" s="1"/>
  <c r="O204" i="110"/>
  <c r="E205" i="110" s="1"/>
  <c r="L229" i="110" s="1"/>
  <c r="N229" i="110"/>
  <c r="G137" i="108"/>
  <c r="G138" i="108" s="1"/>
  <c r="K139" i="108" s="1"/>
  <c r="G225" i="108"/>
  <c r="G226" i="108" s="1"/>
  <c r="K227" i="108" s="1"/>
  <c r="G49" i="108"/>
  <c r="G50" i="108" s="1"/>
  <c r="K51" i="108" s="1"/>
  <c r="H57" i="108"/>
  <c r="W13" i="108" s="1"/>
  <c r="E126" i="108"/>
  <c r="H142" i="108" s="1"/>
  <c r="G141" i="108" s="1"/>
  <c r="G142" i="108" s="1"/>
  <c r="K143" i="108" s="1"/>
  <c r="E214" i="108"/>
  <c r="H230" i="108" s="1"/>
  <c r="G229" i="108" s="1"/>
  <c r="G230" i="108" s="1"/>
  <c r="K231" i="108" s="1"/>
  <c r="AB13" i="106"/>
  <c r="D320" i="106"/>
  <c r="T320" i="106" s="1"/>
  <c r="T339" i="106" s="1"/>
  <c r="F342" i="106" s="1"/>
  <c r="F343" i="106" s="1"/>
  <c r="M367" i="106" s="1"/>
  <c r="H225" i="106"/>
  <c r="I330" i="106"/>
  <c r="T330" i="106" s="1"/>
  <c r="E325" i="106"/>
  <c r="R323" i="106" s="1"/>
  <c r="T329" i="112" l="1"/>
  <c r="T319" i="112"/>
  <c r="T338" i="112" s="1"/>
  <c r="F341" i="112" s="1"/>
  <c r="H233" i="108"/>
  <c r="W184" i="108" s="1"/>
  <c r="H145" i="108"/>
  <c r="W96" i="108" s="1"/>
  <c r="G372" i="106"/>
  <c r="F371" i="106" s="1"/>
  <c r="AB257" i="106"/>
  <c r="M238" i="106"/>
  <c r="G122" i="106"/>
  <c r="S385" i="106" s="1"/>
  <c r="S388" i="106" s="1"/>
  <c r="F121" i="106"/>
  <c r="AB134" i="106" l="1"/>
  <c r="G241" i="106"/>
  <c r="F240" i="106" s="1"/>
  <c r="F372" i="106"/>
  <c r="G373" i="106"/>
  <c r="G242" i="106" l="1"/>
  <c r="S386" i="106" s="1"/>
  <c r="S389" i="106" s="1"/>
  <c r="F241" i="106"/>
  <c r="O266" i="104" l="1"/>
  <c r="M266" i="104"/>
  <c r="K266" i="104"/>
  <c r="D266" i="104"/>
  <c r="D265" i="104"/>
  <c r="Q264" i="104"/>
  <c r="O264" i="104"/>
  <c r="M264" i="104"/>
  <c r="K264" i="104"/>
  <c r="J264" i="104"/>
  <c r="I264" i="104"/>
  <c r="H264" i="104"/>
  <c r="G264" i="104"/>
  <c r="F264" i="104"/>
  <c r="D264" i="104"/>
  <c r="B264" i="104"/>
  <c r="A264" i="104"/>
  <c r="H230" i="104"/>
  <c r="H227" i="104"/>
  <c r="M227" i="104" s="1"/>
  <c r="G236" i="104" s="1"/>
  <c r="M205" i="104"/>
  <c r="S197" i="104"/>
  <c r="H205" i="104" s="1"/>
  <c r="T184" i="104"/>
  <c r="J184" i="104"/>
  <c r="J183" i="104"/>
  <c r="J174" i="104"/>
  <c r="H174" i="104"/>
  <c r="O141" i="104"/>
  <c r="F145" i="104" s="1"/>
  <c r="F146" i="104" s="1"/>
  <c r="E132" i="104"/>
  <c r="S110" i="104"/>
  <c r="J163" i="104" s="1"/>
  <c r="S108" i="104"/>
  <c r="E135" i="104" s="1"/>
  <c r="E152" i="104" s="1"/>
  <c r="C156" i="104" s="1"/>
  <c r="T102" i="104"/>
  <c r="J102" i="104"/>
  <c r="J101" i="104"/>
  <c r="W95" i="104"/>
  <c r="J93" i="104"/>
  <c r="L175" i="104" s="1"/>
  <c r="O92" i="104"/>
  <c r="P102" i="104" s="1"/>
  <c r="L92" i="104"/>
  <c r="L174" i="104" s="1"/>
  <c r="S196" i="104" s="1"/>
  <c r="R224" i="104" s="1"/>
  <c r="J92" i="104"/>
  <c r="H92" i="104"/>
  <c r="T91" i="104"/>
  <c r="T173" i="104" s="1"/>
  <c r="D184" i="104" s="1"/>
  <c r="T90" i="104"/>
  <c r="T172" i="104" s="1"/>
  <c r="D183" i="104" s="1"/>
  <c r="T89" i="104"/>
  <c r="T171" i="104" s="1"/>
  <c r="D182" i="104" s="1"/>
  <c r="H89" i="104"/>
  <c r="H171" i="104" s="1"/>
  <c r="D89" i="104"/>
  <c r="D171" i="104" s="1"/>
  <c r="B89" i="104"/>
  <c r="B171" i="104" s="1"/>
  <c r="C75" i="104"/>
  <c r="F62" i="104"/>
  <c r="F63" i="104" s="1"/>
  <c r="E50" i="104"/>
  <c r="S31" i="104"/>
  <c r="S28" i="104"/>
  <c r="I82" i="104" s="1"/>
  <c r="S26" i="104"/>
  <c r="E53" i="104" s="1"/>
  <c r="T20" i="104"/>
  <c r="R20" i="104"/>
  <c r="P20" i="104"/>
  <c r="D20" i="104"/>
  <c r="D19" i="104"/>
  <c r="J18" i="104"/>
  <c r="D18" i="104"/>
  <c r="W13" i="104"/>
  <c r="R5" i="104"/>
  <c r="O5" i="104"/>
  <c r="G5" i="104"/>
  <c r="D5" i="104"/>
  <c r="C5" i="104"/>
  <c r="A5" i="104"/>
  <c r="R4" i="104"/>
  <c r="O4" i="104"/>
  <c r="R3" i="104"/>
  <c r="O3" i="104"/>
  <c r="R2" i="104"/>
  <c r="O2" i="104"/>
  <c r="H2" i="104"/>
  <c r="R1" i="104"/>
  <c r="O1" i="104"/>
  <c r="H1" i="104"/>
  <c r="O266" i="92"/>
  <c r="M266" i="92"/>
  <c r="K266" i="92"/>
  <c r="D266" i="92"/>
  <c r="D265" i="92"/>
  <c r="Q264" i="92"/>
  <c r="O264" i="92"/>
  <c r="M264" i="92"/>
  <c r="K264" i="92"/>
  <c r="J264" i="92"/>
  <c r="I264" i="92"/>
  <c r="H264" i="92"/>
  <c r="F264" i="92"/>
  <c r="D264" i="92"/>
  <c r="B264" i="92"/>
  <c r="A264" i="92"/>
  <c r="H230" i="92"/>
  <c r="H227" i="92"/>
  <c r="M227" i="92" s="1"/>
  <c r="G236" i="92" s="1"/>
  <c r="M205" i="92"/>
  <c r="H205" i="92"/>
  <c r="S197" i="92"/>
  <c r="T184" i="92"/>
  <c r="T172" i="92"/>
  <c r="D183" i="92" s="1"/>
  <c r="T171" i="92"/>
  <c r="D182" i="92" s="1"/>
  <c r="H171" i="92"/>
  <c r="D171" i="92"/>
  <c r="O141" i="92"/>
  <c r="F145" i="92" s="1"/>
  <c r="F146" i="92" s="1"/>
  <c r="E132" i="92"/>
  <c r="S110" i="92"/>
  <c r="J163" i="92" s="1"/>
  <c r="T102" i="92"/>
  <c r="J102" i="92"/>
  <c r="J184" i="92" s="1"/>
  <c r="J101" i="92"/>
  <c r="J183" i="92" s="1"/>
  <c r="D101" i="92"/>
  <c r="D100" i="92"/>
  <c r="W95" i="92"/>
  <c r="J93" i="92"/>
  <c r="L175" i="92" s="1"/>
  <c r="O92" i="92"/>
  <c r="S113" i="92" s="1"/>
  <c r="S195" i="92" s="1"/>
  <c r="M224" i="92" s="1"/>
  <c r="L92" i="92"/>
  <c r="L174" i="92" s="1"/>
  <c r="S196" i="92" s="1"/>
  <c r="R224" i="92" s="1"/>
  <c r="J92" i="92"/>
  <c r="S108" i="92" s="1"/>
  <c r="E135" i="92" s="1"/>
  <c r="E152" i="92" s="1"/>
  <c r="C156" i="92" s="1"/>
  <c r="H92" i="92"/>
  <c r="H174" i="92" s="1"/>
  <c r="T91" i="92"/>
  <c r="T173" i="92" s="1"/>
  <c r="D184" i="92" s="1"/>
  <c r="T90" i="92"/>
  <c r="T89" i="92"/>
  <c r="H89" i="92"/>
  <c r="D89" i="92"/>
  <c r="B89" i="92"/>
  <c r="B171" i="92" s="1"/>
  <c r="I82" i="92"/>
  <c r="C75" i="92"/>
  <c r="F62" i="92"/>
  <c r="F63" i="92" s="1"/>
  <c r="E53" i="92"/>
  <c r="E51" i="92"/>
  <c r="E50" i="92"/>
  <c r="S31" i="92"/>
  <c r="S28" i="92"/>
  <c r="S26" i="92"/>
  <c r="T20" i="92"/>
  <c r="R20" i="92"/>
  <c r="P20" i="92"/>
  <c r="P21" i="92" s="1"/>
  <c r="S29" i="92" s="1"/>
  <c r="F75" i="92" s="1"/>
  <c r="D20" i="92"/>
  <c r="D19" i="92"/>
  <c r="J18" i="92"/>
  <c r="D18" i="92"/>
  <c r="W13" i="92"/>
  <c r="R5" i="92"/>
  <c r="O5" i="92"/>
  <c r="G5" i="92"/>
  <c r="D5" i="92"/>
  <c r="C5" i="92"/>
  <c r="A5" i="92"/>
  <c r="R4" i="92"/>
  <c r="O4" i="92"/>
  <c r="R3" i="92"/>
  <c r="O3" i="92"/>
  <c r="H3" i="92"/>
  <c r="R2" i="92"/>
  <c r="O2" i="92"/>
  <c r="H2" i="92"/>
  <c r="R1" i="92"/>
  <c r="O1" i="92"/>
  <c r="H1" i="92"/>
  <c r="S135" i="11"/>
  <c r="O135" i="11"/>
  <c r="M135" i="11"/>
  <c r="K135" i="11"/>
  <c r="S97" i="11"/>
  <c r="O97" i="11"/>
  <c r="M97" i="11"/>
  <c r="K97" i="11"/>
  <c r="S96" i="11"/>
  <c r="O96" i="11"/>
  <c r="M96" i="11"/>
  <c r="K96" i="11"/>
  <c r="I95" i="11"/>
  <c r="O386" i="91"/>
  <c r="M386" i="91"/>
  <c r="K386" i="91"/>
  <c r="D386" i="91"/>
  <c r="D385" i="91"/>
  <c r="Q384" i="91"/>
  <c r="O384" i="91"/>
  <c r="O103" i="11" s="1"/>
  <c r="M384" i="91"/>
  <c r="M103" i="11" s="1"/>
  <c r="K384" i="91"/>
  <c r="K103" i="11" s="1"/>
  <c r="I384" i="91"/>
  <c r="H384" i="91"/>
  <c r="F384" i="91"/>
  <c r="F103" i="11" s="1"/>
  <c r="D384" i="91"/>
  <c r="D103" i="11" s="1"/>
  <c r="B384" i="91"/>
  <c r="B103" i="11" s="1"/>
  <c r="A384" i="91"/>
  <c r="A103" i="11" s="1"/>
  <c r="E370" i="91"/>
  <c r="T367" i="91"/>
  <c r="R324" i="91"/>
  <c r="M344" i="91" s="1"/>
  <c r="R280" i="91"/>
  <c r="M296" i="91" s="1"/>
  <c r="H246" i="91"/>
  <c r="F246" i="91"/>
  <c r="D246" i="91"/>
  <c r="B246" i="91"/>
  <c r="E241" i="91"/>
  <c r="T238" i="91"/>
  <c r="R160" i="91"/>
  <c r="M172" i="91" s="1"/>
  <c r="R158" i="91"/>
  <c r="R278" i="91" s="1"/>
  <c r="R322" i="91" s="1"/>
  <c r="J139" i="91"/>
  <c r="J259" i="91" s="1"/>
  <c r="J138" i="91"/>
  <c r="J258" i="91" s="1"/>
  <c r="J130" i="91"/>
  <c r="L250" i="91" s="1"/>
  <c r="O129" i="91"/>
  <c r="O249" i="91" s="1"/>
  <c r="R260" i="91" s="1"/>
  <c r="L129" i="91"/>
  <c r="R274" i="91" s="1"/>
  <c r="H129" i="91"/>
  <c r="H249" i="91" s="1"/>
  <c r="T128" i="91"/>
  <c r="T127" i="91"/>
  <c r="T247" i="91" s="1"/>
  <c r="D258" i="91" s="1"/>
  <c r="B127" i="91"/>
  <c r="B247" i="91" s="1"/>
  <c r="T126" i="91"/>
  <c r="D137" i="91" s="1"/>
  <c r="H126" i="91"/>
  <c r="F126" i="91"/>
  <c r="D126" i="91"/>
  <c r="B126" i="91"/>
  <c r="Z123" i="91"/>
  <c r="E122" i="91"/>
  <c r="T119" i="91"/>
  <c r="M115" i="91"/>
  <c r="R41" i="91"/>
  <c r="M59" i="91" s="1"/>
  <c r="R40" i="91"/>
  <c r="S60" i="91" s="1"/>
  <c r="R39" i="91"/>
  <c r="R79" i="91" s="1"/>
  <c r="R35" i="91"/>
  <c r="I60" i="91" s="1"/>
  <c r="T20" i="91"/>
  <c r="R20" i="91"/>
  <c r="D19" i="91"/>
  <c r="J18" i="91"/>
  <c r="D18" i="91"/>
  <c r="H286" i="87"/>
  <c r="H286" i="80"/>
  <c r="K58" i="77"/>
  <c r="N38" i="85"/>
  <c r="P29" i="85"/>
  <c r="N38" i="81"/>
  <c r="N38" i="82"/>
  <c r="N38" i="16"/>
  <c r="P26" i="81"/>
  <c r="P29" i="81"/>
  <c r="P29" i="82"/>
  <c r="G58" i="89"/>
  <c r="N91" i="89"/>
  <c r="I91" i="89"/>
  <c r="S87" i="89"/>
  <c r="K91" i="89" s="1"/>
  <c r="H91" i="89"/>
  <c r="G91" i="89"/>
  <c r="S54" i="89"/>
  <c r="J37" i="89"/>
  <c r="S55" i="89" s="1"/>
  <c r="Q36" i="89"/>
  <c r="J36" i="89"/>
  <c r="R36" i="6"/>
  <c r="R35" i="6"/>
  <c r="C75" i="38"/>
  <c r="F63" i="38"/>
  <c r="F62" i="38"/>
  <c r="E50" i="38"/>
  <c r="S31" i="38"/>
  <c r="S28" i="38"/>
  <c r="S26" i="38"/>
  <c r="E53" i="38" s="1"/>
  <c r="T20" i="38"/>
  <c r="G46" i="16"/>
  <c r="G43" i="16"/>
  <c r="P29" i="16"/>
  <c r="J38" i="16" s="1"/>
  <c r="Q98" i="79"/>
  <c r="L70" i="79"/>
  <c r="Q33" i="13"/>
  <c r="Q32" i="13"/>
  <c r="K124" i="11"/>
  <c r="M124" i="11"/>
  <c r="O124" i="11"/>
  <c r="S124" i="11"/>
  <c r="S125" i="11"/>
  <c r="K58" i="90"/>
  <c r="K57" i="77"/>
  <c r="K66" i="77" s="1"/>
  <c r="Q103" i="11" l="1"/>
  <c r="I103" i="11"/>
  <c r="R159" i="91"/>
  <c r="R279" i="91" s="1"/>
  <c r="R323" i="91" s="1"/>
  <c r="S31" i="115"/>
  <c r="S33" i="116"/>
  <c r="G51" i="116" s="1"/>
  <c r="G52" i="116" s="1"/>
  <c r="G59" i="116" s="1"/>
  <c r="R36" i="118"/>
  <c r="S31" i="117"/>
  <c r="G52" i="117" s="1"/>
  <c r="G53" i="117" s="1"/>
  <c r="G60" i="117" s="1"/>
  <c r="S30" i="114"/>
  <c r="G103" i="91"/>
  <c r="G110" i="91"/>
  <c r="G96" i="91"/>
  <c r="S303" i="91"/>
  <c r="S167" i="91"/>
  <c r="M351" i="91"/>
  <c r="M178" i="91"/>
  <c r="Q179" i="91"/>
  <c r="R198" i="91"/>
  <c r="G222" i="91" s="1"/>
  <c r="R199" i="91"/>
  <c r="S216" i="91" s="1"/>
  <c r="R200" i="91"/>
  <c r="M222" i="91" s="1"/>
  <c r="D102" i="92"/>
  <c r="D100" i="104"/>
  <c r="J100" i="104"/>
  <c r="S179" i="91"/>
  <c r="D101" i="104"/>
  <c r="P21" i="104"/>
  <c r="S29" i="104" s="1"/>
  <c r="F75" i="104" s="1"/>
  <c r="D102" i="104"/>
  <c r="I47" i="91"/>
  <c r="T246" i="91"/>
  <c r="D257" i="91" s="1"/>
  <c r="Q48" i="91"/>
  <c r="S48" i="91"/>
  <c r="E51" i="104"/>
  <c r="I53" i="91"/>
  <c r="Q60" i="91"/>
  <c r="I59" i="91"/>
  <c r="K75" i="104"/>
  <c r="R36" i="91"/>
  <c r="J174" i="92"/>
  <c r="M53" i="91"/>
  <c r="I48" i="91"/>
  <c r="I54" i="91"/>
  <c r="R75" i="91"/>
  <c r="G111" i="91" s="1"/>
  <c r="P103" i="104"/>
  <c r="S111" i="104" s="1"/>
  <c r="F156" i="104" s="1"/>
  <c r="S113" i="104"/>
  <c r="S195" i="104" s="1"/>
  <c r="M224" i="104" s="1"/>
  <c r="M225" i="104" s="1"/>
  <c r="G235" i="104" s="1"/>
  <c r="O174" i="104"/>
  <c r="K143" i="104"/>
  <c r="R102" i="104"/>
  <c r="E133" i="104"/>
  <c r="M225" i="92"/>
  <c r="G235" i="92" s="1"/>
  <c r="P102" i="92"/>
  <c r="K75" i="92"/>
  <c r="R102" i="92"/>
  <c r="J100" i="92"/>
  <c r="E133" i="92"/>
  <c r="O174" i="92"/>
  <c r="K143" i="92"/>
  <c r="I297" i="91"/>
  <c r="I291" i="91"/>
  <c r="R318" i="91"/>
  <c r="I303" i="91"/>
  <c r="M363" i="91"/>
  <c r="T260" i="91"/>
  <c r="R140" i="91"/>
  <c r="T140" i="91"/>
  <c r="R83" i="91"/>
  <c r="R43" i="91"/>
  <c r="J137" i="91"/>
  <c r="D138" i="91"/>
  <c r="I296" i="91"/>
  <c r="I302" i="91"/>
  <c r="I290" i="91"/>
  <c r="S291" i="91"/>
  <c r="S297" i="91"/>
  <c r="Q297" i="91"/>
  <c r="Q303" i="91"/>
  <c r="D139" i="91"/>
  <c r="T248" i="91"/>
  <c r="D259" i="91" s="1"/>
  <c r="R154" i="91"/>
  <c r="M234" i="91"/>
  <c r="J249" i="91"/>
  <c r="G344" i="91"/>
  <c r="G358" i="91"/>
  <c r="G351" i="91"/>
  <c r="I178" i="91"/>
  <c r="I172" i="91"/>
  <c r="S173" i="91"/>
  <c r="Q173" i="91"/>
  <c r="M290" i="91"/>
  <c r="S54" i="91"/>
  <c r="Q54" i="91"/>
  <c r="R80" i="91"/>
  <c r="I166" i="91"/>
  <c r="R81" i="91"/>
  <c r="M166" i="91"/>
  <c r="M302" i="91"/>
  <c r="M47" i="91"/>
  <c r="Q167" i="91"/>
  <c r="M358" i="91"/>
  <c r="G205" i="11"/>
  <c r="G206" i="11"/>
  <c r="G194" i="11"/>
  <c r="G195" i="11"/>
  <c r="E196" i="11"/>
  <c r="F196" i="11"/>
  <c r="K17" i="77"/>
  <c r="K19" i="77"/>
  <c r="K18" i="77"/>
  <c r="K16" i="77"/>
  <c r="N206" i="11"/>
  <c r="L206" i="11"/>
  <c r="I206" i="11"/>
  <c r="H206" i="11"/>
  <c r="F206" i="11"/>
  <c r="E206" i="11"/>
  <c r="C206" i="11"/>
  <c r="N144" i="90"/>
  <c r="L144" i="90"/>
  <c r="L211" i="11" s="1"/>
  <c r="K144" i="90"/>
  <c r="J144" i="90"/>
  <c r="I144" i="90"/>
  <c r="F144" i="90"/>
  <c r="E144" i="90"/>
  <c r="C144" i="90"/>
  <c r="A144" i="90"/>
  <c r="A211" i="11" s="1"/>
  <c r="D125" i="90"/>
  <c r="N116" i="90"/>
  <c r="K108" i="90"/>
  <c r="K116" i="90" s="1"/>
  <c r="D83" i="90"/>
  <c r="N74" i="90"/>
  <c r="K57" i="90"/>
  <c r="K66" i="90" s="1"/>
  <c r="B50" i="90"/>
  <c r="D40" i="90"/>
  <c r="N31" i="90"/>
  <c r="AG16" i="90"/>
  <c r="AG15" i="90"/>
  <c r="R5" i="90"/>
  <c r="O5" i="90"/>
  <c r="G5" i="90"/>
  <c r="D5" i="90"/>
  <c r="C5" i="90"/>
  <c r="A5" i="90"/>
  <c r="R4" i="90"/>
  <c r="O4" i="90"/>
  <c r="R3" i="90"/>
  <c r="O3" i="90"/>
  <c r="H3" i="90"/>
  <c r="R2" i="90"/>
  <c r="O2" i="90"/>
  <c r="H2" i="90"/>
  <c r="R1" i="90"/>
  <c r="O1" i="90"/>
  <c r="H1" i="90"/>
  <c r="K162" i="11"/>
  <c r="M162" i="11"/>
  <c r="O162" i="11"/>
  <c r="S162" i="11"/>
  <c r="D163" i="11"/>
  <c r="K163" i="11"/>
  <c r="M163" i="11"/>
  <c r="O163" i="11"/>
  <c r="S163" i="11"/>
  <c r="D157" i="11"/>
  <c r="K157" i="11"/>
  <c r="M157" i="11"/>
  <c r="O157" i="11"/>
  <c r="S157" i="11"/>
  <c r="D158" i="11"/>
  <c r="K158" i="11"/>
  <c r="M158" i="11"/>
  <c r="O158" i="11"/>
  <c r="S158" i="11"/>
  <c r="O108" i="11"/>
  <c r="K109" i="11"/>
  <c r="M109" i="11"/>
  <c r="O109" i="11"/>
  <c r="S109" i="11"/>
  <c r="K110" i="11"/>
  <c r="M110" i="11"/>
  <c r="O110" i="11"/>
  <c r="S110" i="11"/>
  <c r="H286" i="84"/>
  <c r="K104" i="11"/>
  <c r="M104" i="11"/>
  <c r="S104" i="11"/>
  <c r="K105" i="11"/>
  <c r="M105" i="11"/>
  <c r="O105" i="11"/>
  <c r="S105" i="11"/>
  <c r="K91" i="11"/>
  <c r="M91" i="11"/>
  <c r="O91" i="11"/>
  <c r="S91" i="11"/>
  <c r="D92" i="11"/>
  <c r="K92" i="11"/>
  <c r="M92" i="11"/>
  <c r="O92" i="11"/>
  <c r="S92" i="11"/>
  <c r="D86" i="11"/>
  <c r="K86" i="11"/>
  <c r="M86" i="11"/>
  <c r="O86" i="11"/>
  <c r="S86" i="11"/>
  <c r="D87" i="11"/>
  <c r="K87" i="11"/>
  <c r="M87" i="11"/>
  <c r="O87" i="11"/>
  <c r="S87" i="11"/>
  <c r="K81" i="11"/>
  <c r="M81" i="11"/>
  <c r="O81" i="11"/>
  <c r="S81" i="11"/>
  <c r="D82" i="11"/>
  <c r="K82" i="11"/>
  <c r="M82" i="11"/>
  <c r="O82" i="11"/>
  <c r="S82" i="11"/>
  <c r="K76" i="11"/>
  <c r="M76" i="11"/>
  <c r="O76" i="11"/>
  <c r="S76" i="11"/>
  <c r="S77" i="11"/>
  <c r="R67" i="89"/>
  <c r="R66" i="89"/>
  <c r="I58" i="89"/>
  <c r="Q285" i="89"/>
  <c r="O285" i="89"/>
  <c r="M285" i="89"/>
  <c r="K285" i="89"/>
  <c r="H285" i="89"/>
  <c r="H98" i="79"/>
  <c r="G285" i="89"/>
  <c r="F285" i="89"/>
  <c r="D285" i="89"/>
  <c r="B285" i="89"/>
  <c r="A285" i="89"/>
  <c r="I285" i="89"/>
  <c r="G81" i="89"/>
  <c r="L98" i="89"/>
  <c r="I82" i="89"/>
  <c r="S79" i="89"/>
  <c r="S76" i="89"/>
  <c r="S81" i="89" s="1"/>
  <c r="S74" i="89"/>
  <c r="O81" i="89" s="1"/>
  <c r="S73" i="89"/>
  <c r="I59" i="89"/>
  <c r="S53" i="89"/>
  <c r="S58" i="89" s="1"/>
  <c r="J18" i="89"/>
  <c r="J114" i="89" s="1"/>
  <c r="J202" i="89" s="1"/>
  <c r="H3" i="89"/>
  <c r="H318" i="89" s="1"/>
  <c r="B587" i="89"/>
  <c r="A587" i="89"/>
  <c r="B586" i="89"/>
  <c r="T585" i="89"/>
  <c r="S585" i="89"/>
  <c r="R585" i="89"/>
  <c r="Q585" i="89"/>
  <c r="P585" i="89"/>
  <c r="O585" i="89"/>
  <c r="N585" i="89"/>
  <c r="M585" i="89"/>
  <c r="L585" i="89"/>
  <c r="I585" i="89"/>
  <c r="H585" i="89"/>
  <c r="J570" i="89"/>
  <c r="E557" i="89"/>
  <c r="G552" i="89"/>
  <c r="S543" i="89"/>
  <c r="O552" i="89" s="1"/>
  <c r="J482" i="89"/>
  <c r="E469" i="89"/>
  <c r="G464" i="89"/>
  <c r="S455" i="89"/>
  <c r="O464" i="89" s="1"/>
  <c r="J418" i="89"/>
  <c r="J506" i="89" s="1"/>
  <c r="J417" i="89"/>
  <c r="J505" i="89" s="1"/>
  <c r="J409" i="89"/>
  <c r="J585" i="89" s="1"/>
  <c r="O408" i="89"/>
  <c r="S457" i="89" s="1"/>
  <c r="L408" i="89"/>
  <c r="L496" i="89" s="1"/>
  <c r="J408" i="89"/>
  <c r="S454" i="89" s="1"/>
  <c r="H408" i="89"/>
  <c r="H496" i="89" s="1"/>
  <c r="T407" i="89"/>
  <c r="D418" i="89" s="1"/>
  <c r="T406" i="89"/>
  <c r="D417" i="89" s="1"/>
  <c r="B406" i="89"/>
  <c r="B494" i="89" s="1"/>
  <c r="D405" i="89"/>
  <c r="D493" i="89" s="1"/>
  <c r="C585" i="89" s="1"/>
  <c r="B405" i="89"/>
  <c r="B493" i="89" s="1"/>
  <c r="A585" i="89" s="1"/>
  <c r="J394" i="89"/>
  <c r="E381" i="89"/>
  <c r="G376" i="89"/>
  <c r="S369" i="89"/>
  <c r="J389" i="89" s="1"/>
  <c r="S367" i="89"/>
  <c r="O376" i="89" s="1"/>
  <c r="S366" i="89"/>
  <c r="G388" i="89" s="1"/>
  <c r="O348" i="89"/>
  <c r="Q351" i="89" s="1"/>
  <c r="S341" i="89"/>
  <c r="Q341" i="89"/>
  <c r="D335" i="89"/>
  <c r="D334" i="89"/>
  <c r="H320" i="89"/>
  <c r="J268" i="89"/>
  <c r="E255" i="89"/>
  <c r="G250" i="89"/>
  <c r="S241" i="89"/>
  <c r="O250" i="89" s="1"/>
  <c r="J180" i="89"/>
  <c r="E167" i="89"/>
  <c r="G162" i="89"/>
  <c r="S153" i="89"/>
  <c r="O162" i="89" s="1"/>
  <c r="O128" i="89"/>
  <c r="O216" i="89" s="1"/>
  <c r="O127" i="89"/>
  <c r="O346" i="89" s="1"/>
  <c r="J116" i="89"/>
  <c r="J204" i="89" s="1"/>
  <c r="J115" i="89"/>
  <c r="J203" i="89" s="1"/>
  <c r="J107" i="89"/>
  <c r="L195" i="89" s="1"/>
  <c r="O106" i="89"/>
  <c r="L106" i="89"/>
  <c r="L194" i="89" s="1"/>
  <c r="J106" i="89"/>
  <c r="S152" i="89" s="1"/>
  <c r="H106" i="89"/>
  <c r="H194" i="89" s="1"/>
  <c r="T105" i="89"/>
  <c r="D116" i="89" s="1"/>
  <c r="T104" i="89"/>
  <c r="D115" i="89" s="1"/>
  <c r="B104" i="89"/>
  <c r="T103" i="89"/>
  <c r="D114" i="89" s="1"/>
  <c r="H103" i="89"/>
  <c r="H191" i="89" s="1"/>
  <c r="H322" i="89" s="1"/>
  <c r="H405" i="89" s="1"/>
  <c r="H493" i="89" s="1"/>
  <c r="D103" i="89"/>
  <c r="D191" i="89" s="1"/>
  <c r="B103" i="89"/>
  <c r="B191" i="89" s="1"/>
  <c r="S56" i="89"/>
  <c r="S158" i="89" s="1"/>
  <c r="S51" i="89"/>
  <c r="O58" i="89" s="1"/>
  <c r="S50" i="89"/>
  <c r="O129" i="89"/>
  <c r="S26" i="89"/>
  <c r="Q26" i="89"/>
  <c r="D20" i="89"/>
  <c r="D19" i="89"/>
  <c r="D18" i="89"/>
  <c r="R5" i="89"/>
  <c r="R320" i="89" s="1"/>
  <c r="O5" i="89"/>
  <c r="O320" i="89" s="1"/>
  <c r="G5" i="89"/>
  <c r="G320" i="89" s="1"/>
  <c r="D5" i="89"/>
  <c r="D320" i="89" s="1"/>
  <c r="C5" i="89"/>
  <c r="C320" i="89" s="1"/>
  <c r="A5" i="89"/>
  <c r="A320" i="89" s="1"/>
  <c r="R4" i="89"/>
  <c r="R319" i="89" s="1"/>
  <c r="O4" i="89"/>
  <c r="O319" i="89" s="1"/>
  <c r="R3" i="89"/>
  <c r="R318" i="89" s="1"/>
  <c r="O3" i="89"/>
  <c r="O318" i="89" s="1"/>
  <c r="A3" i="89"/>
  <c r="A318" i="89" s="1"/>
  <c r="R2" i="89"/>
  <c r="R317" i="89" s="1"/>
  <c r="O2" i="89"/>
  <c r="O317" i="89" s="1"/>
  <c r="H2" i="89"/>
  <c r="H317" i="89" s="1"/>
  <c r="R1" i="89"/>
  <c r="R316" i="89" s="1"/>
  <c r="O1" i="89"/>
  <c r="O316" i="89" s="1"/>
  <c r="H1" i="89"/>
  <c r="H316" i="89" s="1"/>
  <c r="A1" i="89"/>
  <c r="A316" i="89" s="1"/>
  <c r="Q144" i="88"/>
  <c r="M144" i="88"/>
  <c r="K144" i="88"/>
  <c r="H144" i="88"/>
  <c r="G144" i="88"/>
  <c r="G125" i="88"/>
  <c r="N120" i="88"/>
  <c r="J120" i="88"/>
  <c r="T109" i="88"/>
  <c r="D109" i="88"/>
  <c r="G89" i="88"/>
  <c r="G86" i="88"/>
  <c r="N81" i="88"/>
  <c r="J81" i="88"/>
  <c r="S75" i="88"/>
  <c r="S113" i="88" s="1"/>
  <c r="G128" i="88" s="1"/>
  <c r="P71" i="88"/>
  <c r="P69" i="88"/>
  <c r="P68" i="88"/>
  <c r="T64" i="88"/>
  <c r="J64" i="88"/>
  <c r="J109" i="88" s="1"/>
  <c r="D64" i="88"/>
  <c r="J63" i="88"/>
  <c r="J108" i="88" s="1"/>
  <c r="J54" i="88"/>
  <c r="L99" i="88" s="1"/>
  <c r="I144" i="88" s="1"/>
  <c r="O53" i="88"/>
  <c r="R64" i="88" s="1"/>
  <c r="L53" i="88"/>
  <c r="L98" i="88" s="1"/>
  <c r="J53" i="88"/>
  <c r="J98" i="88" s="1"/>
  <c r="D145" i="88" s="1"/>
  <c r="D162" i="11" s="1"/>
  <c r="H53" i="88"/>
  <c r="H98" i="88" s="1"/>
  <c r="D144" i="88" s="1"/>
  <c r="D161" i="11" s="1"/>
  <c r="B51" i="88"/>
  <c r="B96" i="88" s="1"/>
  <c r="T50" i="88"/>
  <c r="H50" i="88"/>
  <c r="H95" i="88" s="1"/>
  <c r="D50" i="88"/>
  <c r="D95" i="88" s="1"/>
  <c r="B144" i="88" s="1"/>
  <c r="B161" i="11" s="1"/>
  <c r="B50" i="88"/>
  <c r="B95" i="88" s="1"/>
  <c r="A144" i="88" s="1"/>
  <c r="G46" i="88"/>
  <c r="G43" i="88"/>
  <c r="N38" i="88"/>
  <c r="J38" i="88"/>
  <c r="P28" i="88"/>
  <c r="P26" i="88"/>
  <c r="P25" i="88"/>
  <c r="T21" i="88"/>
  <c r="R21" i="88"/>
  <c r="P21" i="88"/>
  <c r="D21" i="88"/>
  <c r="D20" i="88"/>
  <c r="D63" i="88" s="1"/>
  <c r="D108" i="88" s="1"/>
  <c r="J19" i="88"/>
  <c r="J62" i="88" s="1"/>
  <c r="J107" i="88" s="1"/>
  <c r="D19" i="88"/>
  <c r="D62" i="88" s="1"/>
  <c r="D107" i="88" s="1"/>
  <c r="J18" i="88"/>
  <c r="J61" i="88" s="1"/>
  <c r="J106" i="88" s="1"/>
  <c r="D18" i="88"/>
  <c r="D61" i="88" s="1"/>
  <c r="D106" i="88" s="1"/>
  <c r="R5" i="88"/>
  <c r="O5" i="88"/>
  <c r="G5" i="88"/>
  <c r="D5" i="88"/>
  <c r="C5" i="88"/>
  <c r="A5" i="88"/>
  <c r="R4" i="88"/>
  <c r="O4" i="88"/>
  <c r="R3" i="88"/>
  <c r="O3" i="88"/>
  <c r="H3" i="88"/>
  <c r="R2" i="88"/>
  <c r="O2" i="88"/>
  <c r="H2" i="88"/>
  <c r="R1" i="88"/>
  <c r="O1" i="88"/>
  <c r="H1" i="88"/>
  <c r="Q286" i="87"/>
  <c r="O286" i="87"/>
  <c r="M286" i="87"/>
  <c r="K286" i="87"/>
  <c r="I286" i="87"/>
  <c r="G286" i="87"/>
  <c r="F286" i="87"/>
  <c r="D286" i="87"/>
  <c r="B286" i="87"/>
  <c r="A286" i="87"/>
  <c r="G242" i="87"/>
  <c r="M227" i="87"/>
  <c r="S219" i="87"/>
  <c r="H227" i="87" s="1"/>
  <c r="T206" i="87"/>
  <c r="G154" i="87"/>
  <c r="M139" i="87"/>
  <c r="S131" i="87"/>
  <c r="H139" i="87" s="1"/>
  <c r="T118" i="87"/>
  <c r="J109" i="87"/>
  <c r="L197" i="87" s="1"/>
  <c r="O108" i="87"/>
  <c r="O196" i="87" s="1"/>
  <c r="L108" i="87"/>
  <c r="L196" i="87" s="1"/>
  <c r="S218" i="87" s="1"/>
  <c r="J238" i="87" s="1"/>
  <c r="J108" i="87"/>
  <c r="S130" i="87" s="1"/>
  <c r="J150" i="87" s="1"/>
  <c r="H108" i="87"/>
  <c r="H196" i="87" s="1"/>
  <c r="T107" i="87"/>
  <c r="D118" i="87" s="1"/>
  <c r="T106" i="87"/>
  <c r="T194" i="87" s="1"/>
  <c r="D205" i="87" s="1"/>
  <c r="T105" i="87"/>
  <c r="D116" i="87" s="1"/>
  <c r="H105" i="87"/>
  <c r="H193" i="87" s="1"/>
  <c r="D105" i="87"/>
  <c r="D193" i="87" s="1"/>
  <c r="B105" i="87"/>
  <c r="B193" i="87" s="1"/>
  <c r="L71" i="87"/>
  <c r="D64" i="87"/>
  <c r="S60" i="87"/>
  <c r="M64" i="87" s="1"/>
  <c r="S58" i="87"/>
  <c r="I64" i="87" s="1"/>
  <c r="S57" i="87"/>
  <c r="S33" i="87"/>
  <c r="M37" i="87" s="1"/>
  <c r="S32" i="87"/>
  <c r="S59" i="87" s="1"/>
  <c r="S31" i="87"/>
  <c r="I37" i="87" s="1"/>
  <c r="S30" i="87"/>
  <c r="T20" i="87"/>
  <c r="R20" i="87"/>
  <c r="P20" i="87"/>
  <c r="J20" i="87"/>
  <c r="J118" i="87" s="1"/>
  <c r="J206" i="87" s="1"/>
  <c r="D20" i="87"/>
  <c r="J19" i="87"/>
  <c r="J117" i="87" s="1"/>
  <c r="J205" i="87" s="1"/>
  <c r="D19" i="87"/>
  <c r="J18" i="87"/>
  <c r="J116" i="87" s="1"/>
  <c r="D18" i="87"/>
  <c r="W13" i="87"/>
  <c r="R5" i="87"/>
  <c r="O5" i="87"/>
  <c r="G5" i="87"/>
  <c r="D5" i="87"/>
  <c r="C5" i="87"/>
  <c r="A5" i="87"/>
  <c r="R4" i="87"/>
  <c r="O4" i="87"/>
  <c r="R3" i="87"/>
  <c r="O3" i="87"/>
  <c r="H3" i="87"/>
  <c r="R2" i="87"/>
  <c r="O2" i="87"/>
  <c r="H2" i="87"/>
  <c r="R1" i="87"/>
  <c r="O1" i="87"/>
  <c r="H1" i="87"/>
  <c r="S352" i="91" l="1"/>
  <c r="S359" i="91"/>
  <c r="Q359" i="91"/>
  <c r="Q291" i="91"/>
  <c r="Q230" i="91"/>
  <c r="S230" i="91"/>
  <c r="Q216" i="91"/>
  <c r="Q345" i="91"/>
  <c r="S345" i="91"/>
  <c r="Q352" i="91"/>
  <c r="M97" i="117"/>
  <c r="M57" i="11" s="1"/>
  <c r="R202" i="118"/>
  <c r="R76" i="118"/>
  <c r="F47" i="118"/>
  <c r="S111" i="114"/>
  <c r="G48" i="114"/>
  <c r="G49" i="114" s="1"/>
  <c r="G56" i="114" s="1"/>
  <c r="M85" i="11"/>
  <c r="S116" i="115"/>
  <c r="G52" i="115"/>
  <c r="G53" i="115" s="1"/>
  <c r="G60" i="115" s="1"/>
  <c r="H205" i="11"/>
  <c r="H211" i="11"/>
  <c r="C205" i="11"/>
  <c r="B211" i="11"/>
  <c r="E205" i="11"/>
  <c r="E211" i="11"/>
  <c r="F205" i="11"/>
  <c r="F211" i="11"/>
  <c r="I205" i="11"/>
  <c r="I211" i="11"/>
  <c r="L205" i="11"/>
  <c r="N205" i="11"/>
  <c r="N211" i="11"/>
  <c r="K21" i="77"/>
  <c r="J182" i="104"/>
  <c r="K156" i="104"/>
  <c r="I38" i="87"/>
  <c r="S29" i="87"/>
  <c r="M215" i="91"/>
  <c r="M229" i="91"/>
  <c r="S223" i="91"/>
  <c r="Q223" i="91"/>
  <c r="G215" i="91"/>
  <c r="G229" i="91"/>
  <c r="I65" i="87"/>
  <c r="S56" i="87"/>
  <c r="F64" i="87" s="1"/>
  <c r="F47" i="91"/>
  <c r="R155" i="91"/>
  <c r="R76" i="91"/>
  <c r="G97" i="91"/>
  <c r="G104" i="91"/>
  <c r="R184" i="104"/>
  <c r="P184" i="104"/>
  <c r="S200" i="104"/>
  <c r="K205" i="104" s="1"/>
  <c r="S200" i="92"/>
  <c r="K205" i="92" s="1"/>
  <c r="R184" i="92"/>
  <c r="P184" i="92"/>
  <c r="P185" i="92" s="1"/>
  <c r="S198" i="92" s="1"/>
  <c r="J182" i="92"/>
  <c r="K156" i="92"/>
  <c r="P103" i="92"/>
  <c r="S111" i="92" s="1"/>
  <c r="F156" i="92" s="1"/>
  <c r="J257" i="91"/>
  <c r="Q59" i="91"/>
  <c r="R162" i="91"/>
  <c r="Q47" i="91"/>
  <c r="Q53" i="91" s="1"/>
  <c r="Q96" i="91"/>
  <c r="Q110" i="91"/>
  <c r="Q103" i="91"/>
  <c r="M110" i="91"/>
  <c r="M103" i="91"/>
  <c r="M96" i="91"/>
  <c r="S97" i="91"/>
  <c r="Q97" i="91"/>
  <c r="S111" i="91"/>
  <c r="Q111" i="91"/>
  <c r="S104" i="91"/>
  <c r="Q104" i="91"/>
  <c r="I173" i="91"/>
  <c r="I167" i="91"/>
  <c r="I179" i="91"/>
  <c r="R194" i="91"/>
  <c r="G359" i="91"/>
  <c r="G352" i="91"/>
  <c r="G345" i="91"/>
  <c r="O98" i="88"/>
  <c r="P22" i="88"/>
  <c r="P38" i="88" s="1"/>
  <c r="P64" i="88"/>
  <c r="P65" i="88" s="1"/>
  <c r="L81" i="88" s="1"/>
  <c r="K117" i="90"/>
  <c r="K120" i="90" s="1"/>
  <c r="J196" i="87"/>
  <c r="F37" i="87"/>
  <c r="D117" i="87"/>
  <c r="S38" i="87"/>
  <c r="P118" i="87"/>
  <c r="R118" i="87"/>
  <c r="T193" i="87"/>
  <c r="D204" i="87" s="1"/>
  <c r="T195" i="87"/>
  <c r="D206" i="87" s="1"/>
  <c r="Q38" i="87"/>
  <c r="P21" i="87"/>
  <c r="K31" i="90"/>
  <c r="K32" i="90" s="1"/>
  <c r="K74" i="90"/>
  <c r="K75" i="90" s="1"/>
  <c r="K78" i="90" s="1"/>
  <c r="D26" i="89"/>
  <c r="Q122" i="89"/>
  <c r="S122" i="89"/>
  <c r="S155" i="89"/>
  <c r="J175" i="89" s="1"/>
  <c r="O194" i="89"/>
  <c r="S243" i="89" s="1"/>
  <c r="S250" i="89" s="1"/>
  <c r="D122" i="89"/>
  <c r="O347" i="89"/>
  <c r="O430" i="89" s="1"/>
  <c r="O518" i="89" s="1"/>
  <c r="T494" i="89"/>
  <c r="D505" i="89" s="1"/>
  <c r="D585" i="89"/>
  <c r="S376" i="89"/>
  <c r="L377" i="89"/>
  <c r="F26" i="89"/>
  <c r="F122" i="89" s="1"/>
  <c r="F341" i="89" s="1"/>
  <c r="F424" i="89" s="1"/>
  <c r="F512" i="89" s="1"/>
  <c r="S424" i="89"/>
  <c r="T495" i="89"/>
  <c r="D506" i="89" s="1"/>
  <c r="Q424" i="89"/>
  <c r="J352" i="89"/>
  <c r="S371" i="89" s="1"/>
  <c r="O429" i="89"/>
  <c r="J434" i="89" s="1"/>
  <c r="J351" i="89"/>
  <c r="J132" i="89"/>
  <c r="O215" i="89"/>
  <c r="J220" i="89" s="1"/>
  <c r="T191" i="89"/>
  <c r="D202" i="89" s="1"/>
  <c r="B192" i="89"/>
  <c r="B585" i="89"/>
  <c r="A586" i="89"/>
  <c r="G476" i="89"/>
  <c r="L465" i="89"/>
  <c r="S542" i="89"/>
  <c r="F585" i="89"/>
  <c r="S464" i="89"/>
  <c r="J477" i="89"/>
  <c r="Q132" i="89"/>
  <c r="O217" i="89"/>
  <c r="Q220" i="89" s="1"/>
  <c r="J133" i="89"/>
  <c r="G174" i="89"/>
  <c r="L163" i="89"/>
  <c r="S240" i="89"/>
  <c r="D210" i="89"/>
  <c r="J333" i="89"/>
  <c r="S372" i="89"/>
  <c r="J174" i="89"/>
  <c r="S246" i="89"/>
  <c r="J262" i="89" s="1"/>
  <c r="T193" i="89"/>
  <c r="D204" i="89" s="1"/>
  <c r="O431" i="89"/>
  <c r="G585" i="89"/>
  <c r="E585" i="89"/>
  <c r="T192" i="89"/>
  <c r="D203" i="89" s="1"/>
  <c r="J496" i="89"/>
  <c r="O496" i="89"/>
  <c r="J194" i="89"/>
  <c r="L497" i="89"/>
  <c r="H26" i="89"/>
  <c r="H122" i="89" s="1"/>
  <c r="J204" i="87"/>
  <c r="Q65" i="87"/>
  <c r="S65" i="87"/>
  <c r="S222" i="87"/>
  <c r="K227" i="87" s="1"/>
  <c r="R206" i="87"/>
  <c r="P206" i="87"/>
  <c r="P207" i="87" s="1"/>
  <c r="S220" i="87" s="1"/>
  <c r="S62" i="87"/>
  <c r="Q64" i="87" s="1"/>
  <c r="S134" i="87"/>
  <c r="K139" i="87" s="1"/>
  <c r="S35" i="87"/>
  <c r="Q37" i="87" s="1"/>
  <c r="Q144" i="85"/>
  <c r="M144" i="85"/>
  <c r="M108" i="11" s="1"/>
  <c r="K144" i="85"/>
  <c r="K108" i="11" s="1"/>
  <c r="H144" i="85"/>
  <c r="G144" i="85"/>
  <c r="G125" i="85"/>
  <c r="N120" i="85"/>
  <c r="J120" i="85"/>
  <c r="T109" i="85"/>
  <c r="D109" i="85"/>
  <c r="G89" i="85"/>
  <c r="G86" i="85"/>
  <c r="N81" i="85"/>
  <c r="J81" i="85"/>
  <c r="S75" i="85"/>
  <c r="S113" i="85" s="1"/>
  <c r="G128" i="85" s="1"/>
  <c r="P69" i="85"/>
  <c r="T64" i="85"/>
  <c r="J64" i="85"/>
  <c r="J109" i="85" s="1"/>
  <c r="D64" i="85"/>
  <c r="J63" i="85"/>
  <c r="J108" i="85" s="1"/>
  <c r="J54" i="85"/>
  <c r="L99" i="85" s="1"/>
  <c r="I144" i="85" s="1"/>
  <c r="O53" i="85"/>
  <c r="O98" i="85" s="1"/>
  <c r="L53" i="85"/>
  <c r="L98" i="85" s="1"/>
  <c r="J53" i="85"/>
  <c r="J98" i="85" s="1"/>
  <c r="D145" i="85" s="1"/>
  <c r="H53" i="85"/>
  <c r="H98" i="85" s="1"/>
  <c r="D144" i="85" s="1"/>
  <c r="B51" i="85"/>
  <c r="B96" i="85" s="1"/>
  <c r="T50" i="85"/>
  <c r="H50" i="85"/>
  <c r="H95" i="85" s="1"/>
  <c r="D50" i="85"/>
  <c r="D95" i="85" s="1"/>
  <c r="B144" i="85" s="1"/>
  <c r="B50" i="85"/>
  <c r="B95" i="85" s="1"/>
  <c r="A144" i="85" s="1"/>
  <c r="G46" i="85"/>
  <c r="G43" i="85"/>
  <c r="J38" i="85"/>
  <c r="P28" i="85"/>
  <c r="P26" i="85"/>
  <c r="P25" i="85"/>
  <c r="T21" i="85"/>
  <c r="R21" i="85"/>
  <c r="P21" i="85"/>
  <c r="P22" i="85" s="1"/>
  <c r="D21" i="85"/>
  <c r="D20" i="85"/>
  <c r="D63" i="85" s="1"/>
  <c r="D108" i="85" s="1"/>
  <c r="J19" i="85"/>
  <c r="J62" i="85" s="1"/>
  <c r="J107" i="85" s="1"/>
  <c r="D19" i="85"/>
  <c r="D62" i="85" s="1"/>
  <c r="D107" i="85" s="1"/>
  <c r="J18" i="85"/>
  <c r="J61" i="85" s="1"/>
  <c r="J106" i="85" s="1"/>
  <c r="D18" i="85"/>
  <c r="D61" i="85" s="1"/>
  <c r="D106" i="85" s="1"/>
  <c r="R5" i="85"/>
  <c r="O5" i="85"/>
  <c r="G5" i="85"/>
  <c r="D5" i="85"/>
  <c r="C5" i="85"/>
  <c r="A5" i="85"/>
  <c r="R4" i="85"/>
  <c r="O4" i="85"/>
  <c r="R3" i="85"/>
  <c r="O3" i="85"/>
  <c r="H3" i="85"/>
  <c r="R2" i="85"/>
  <c r="O2" i="85"/>
  <c r="H2" i="85"/>
  <c r="R1" i="85"/>
  <c r="O1" i="85"/>
  <c r="H1" i="85"/>
  <c r="Q286" i="84"/>
  <c r="O286" i="84"/>
  <c r="M286" i="84"/>
  <c r="K286" i="84"/>
  <c r="I286" i="84"/>
  <c r="G286" i="84"/>
  <c r="F286" i="84"/>
  <c r="D286" i="84"/>
  <c r="B286" i="84"/>
  <c r="A286" i="84"/>
  <c r="G242" i="84"/>
  <c r="M227" i="84"/>
  <c r="S219" i="84"/>
  <c r="H227" i="84" s="1"/>
  <c r="T206" i="84"/>
  <c r="G154" i="84"/>
  <c r="M139" i="84"/>
  <c r="S131" i="84"/>
  <c r="H139" i="84" s="1"/>
  <c r="T118" i="84"/>
  <c r="J109" i="84"/>
  <c r="L197" i="84" s="1"/>
  <c r="O108" i="84"/>
  <c r="R118" i="84" s="1"/>
  <c r="L108" i="84"/>
  <c r="L196" i="84" s="1"/>
  <c r="S218" i="84" s="1"/>
  <c r="J238" i="84" s="1"/>
  <c r="J108" i="84"/>
  <c r="J196" i="84" s="1"/>
  <c r="H108" i="84"/>
  <c r="H196" i="84" s="1"/>
  <c r="T107" i="84"/>
  <c r="D118" i="84" s="1"/>
  <c r="T106" i="84"/>
  <c r="D117" i="84" s="1"/>
  <c r="T105" i="84"/>
  <c r="D116" i="84" s="1"/>
  <c r="H105" i="84"/>
  <c r="H193" i="84" s="1"/>
  <c r="D105" i="84"/>
  <c r="D193" i="84" s="1"/>
  <c r="B105" i="84"/>
  <c r="B193" i="84" s="1"/>
  <c r="L70" i="84"/>
  <c r="D63" i="84"/>
  <c r="S59" i="84"/>
  <c r="M63" i="84" s="1"/>
  <c r="S57" i="84"/>
  <c r="I63" i="84" s="1"/>
  <c r="S56" i="84"/>
  <c r="S33" i="84"/>
  <c r="M37" i="84" s="1"/>
  <c r="S32" i="84"/>
  <c r="S38" i="84" s="1"/>
  <c r="S31" i="84"/>
  <c r="I37" i="84" s="1"/>
  <c r="S30" i="84"/>
  <c r="T20" i="84"/>
  <c r="R20" i="84"/>
  <c r="P20" i="84"/>
  <c r="J20" i="84"/>
  <c r="D20" i="84"/>
  <c r="J19" i="84"/>
  <c r="J117" i="84" s="1"/>
  <c r="J205" i="84" s="1"/>
  <c r="D19" i="84"/>
  <c r="J18" i="84"/>
  <c r="J116" i="84" s="1"/>
  <c r="D18" i="84"/>
  <c r="W13" i="84"/>
  <c r="R5" i="84"/>
  <c r="O5" i="84"/>
  <c r="G5" i="84"/>
  <c r="D5" i="84"/>
  <c r="C5" i="84"/>
  <c r="A5" i="84"/>
  <c r="R4" i="84"/>
  <c r="O4" i="84"/>
  <c r="R3" i="84"/>
  <c r="O3" i="84"/>
  <c r="H3" i="84"/>
  <c r="R2" i="84"/>
  <c r="O2" i="84"/>
  <c r="H2" i="84"/>
  <c r="R1" i="84"/>
  <c r="O1" i="84"/>
  <c r="H1" i="84"/>
  <c r="Q144" i="82"/>
  <c r="M144" i="82"/>
  <c r="K144" i="82"/>
  <c r="H144" i="82"/>
  <c r="G144" i="82"/>
  <c r="G125" i="82"/>
  <c r="N120" i="82"/>
  <c r="J120" i="82"/>
  <c r="S113" i="82"/>
  <c r="G128" i="82" s="1"/>
  <c r="T109" i="82"/>
  <c r="D109" i="82"/>
  <c r="G89" i="82"/>
  <c r="G86" i="82"/>
  <c r="N81" i="82"/>
  <c r="J81" i="82"/>
  <c r="S75" i="82"/>
  <c r="P69" i="82"/>
  <c r="T64" i="82"/>
  <c r="J64" i="82"/>
  <c r="J109" i="82" s="1"/>
  <c r="D64" i="82"/>
  <c r="J63" i="82"/>
  <c r="J108" i="82" s="1"/>
  <c r="J62" i="82"/>
  <c r="J107" i="82" s="1"/>
  <c r="J54" i="82"/>
  <c r="L99" i="82" s="1"/>
  <c r="I144" i="82" s="1"/>
  <c r="O53" i="82"/>
  <c r="P71" i="82" s="1"/>
  <c r="L53" i="82"/>
  <c r="L98" i="82" s="1"/>
  <c r="J53" i="82"/>
  <c r="J98" i="82" s="1"/>
  <c r="D145" i="82" s="1"/>
  <c r="D91" i="11" s="1"/>
  <c r="H53" i="82"/>
  <c r="H98" i="82" s="1"/>
  <c r="D144" i="82" s="1"/>
  <c r="B51" i="82"/>
  <c r="B96" i="82" s="1"/>
  <c r="T50" i="82"/>
  <c r="H50" i="82"/>
  <c r="H95" i="82" s="1"/>
  <c r="D50" i="82"/>
  <c r="D95" i="82" s="1"/>
  <c r="B144" i="82" s="1"/>
  <c r="B50" i="82"/>
  <c r="B95" i="82" s="1"/>
  <c r="A144" i="82" s="1"/>
  <c r="G46" i="82"/>
  <c r="G43" i="82"/>
  <c r="J38" i="82"/>
  <c r="P28" i="82"/>
  <c r="P26" i="82"/>
  <c r="P25" i="82"/>
  <c r="T21" i="82"/>
  <c r="R21" i="82"/>
  <c r="P21" i="82"/>
  <c r="D21" i="82"/>
  <c r="D20" i="82"/>
  <c r="D63" i="82" s="1"/>
  <c r="D108" i="82" s="1"/>
  <c r="D19" i="82"/>
  <c r="D62" i="82" s="1"/>
  <c r="D107" i="82" s="1"/>
  <c r="J18" i="82"/>
  <c r="D18" i="82"/>
  <c r="D61" i="82" s="1"/>
  <c r="D106" i="82" s="1"/>
  <c r="R5" i="82"/>
  <c r="O5" i="82"/>
  <c r="G5" i="82"/>
  <c r="D5" i="82"/>
  <c r="C5" i="82"/>
  <c r="A5" i="82"/>
  <c r="R4" i="82"/>
  <c r="O4" i="82"/>
  <c r="R3" i="82"/>
  <c r="O3" i="82"/>
  <c r="H3" i="82"/>
  <c r="R2" i="82"/>
  <c r="O2" i="82"/>
  <c r="H2" i="82"/>
  <c r="R1" i="82"/>
  <c r="O1" i="82"/>
  <c r="H1" i="82"/>
  <c r="J19" i="81"/>
  <c r="J62" i="81" s="1"/>
  <c r="J107" i="81" s="1"/>
  <c r="Q144" i="81"/>
  <c r="M144" i="81"/>
  <c r="K144" i="81"/>
  <c r="H144" i="81"/>
  <c r="G144" i="81"/>
  <c r="G125" i="81"/>
  <c r="N120" i="81"/>
  <c r="J120" i="81"/>
  <c r="T109" i="81"/>
  <c r="D109" i="81"/>
  <c r="H98" i="81"/>
  <c r="D144" i="81" s="1"/>
  <c r="G89" i="81"/>
  <c r="G86" i="81"/>
  <c r="N81" i="81"/>
  <c r="J81" i="81"/>
  <c r="S75" i="81"/>
  <c r="S113" i="81" s="1"/>
  <c r="G128" i="81" s="1"/>
  <c r="P69" i="81"/>
  <c r="T64" i="81"/>
  <c r="J64" i="81"/>
  <c r="J109" i="81" s="1"/>
  <c r="D64" i="81"/>
  <c r="J63" i="81"/>
  <c r="J108" i="81" s="1"/>
  <c r="D63" i="81"/>
  <c r="D108" i="81" s="1"/>
  <c r="J54" i="81"/>
  <c r="L99" i="81" s="1"/>
  <c r="I144" i="81" s="1"/>
  <c r="O53" i="81"/>
  <c r="O98" i="81" s="1"/>
  <c r="L53" i="81"/>
  <c r="L98" i="81" s="1"/>
  <c r="J53" i="81"/>
  <c r="J98" i="81" s="1"/>
  <c r="D145" i="81" s="1"/>
  <c r="H53" i="81"/>
  <c r="B51" i="81"/>
  <c r="B96" i="81" s="1"/>
  <c r="T50" i="81"/>
  <c r="H50" i="81"/>
  <c r="H95" i="81" s="1"/>
  <c r="D50" i="81"/>
  <c r="D95" i="81" s="1"/>
  <c r="B144" i="81" s="1"/>
  <c r="B50" i="81"/>
  <c r="B95" i="81" s="1"/>
  <c r="A144" i="81" s="1"/>
  <c r="G46" i="81"/>
  <c r="G43" i="81"/>
  <c r="J38" i="81"/>
  <c r="P28" i="81"/>
  <c r="P25" i="81"/>
  <c r="T21" i="81"/>
  <c r="R21" i="81"/>
  <c r="P21" i="81"/>
  <c r="D21" i="81"/>
  <c r="D20" i="81"/>
  <c r="D19" i="81"/>
  <c r="D62" i="81" s="1"/>
  <c r="D107" i="81" s="1"/>
  <c r="J18" i="81"/>
  <c r="J61" i="81" s="1"/>
  <c r="J106" i="81" s="1"/>
  <c r="D18" i="81"/>
  <c r="D61" i="81" s="1"/>
  <c r="D106" i="81" s="1"/>
  <c r="R5" i="81"/>
  <c r="O5" i="81"/>
  <c r="G5" i="81"/>
  <c r="D5" i="81"/>
  <c r="C5" i="81"/>
  <c r="A5" i="81"/>
  <c r="R4" i="81"/>
  <c r="O4" i="81"/>
  <c r="R3" i="81"/>
  <c r="O3" i="81"/>
  <c r="H3" i="81"/>
  <c r="R2" i="81"/>
  <c r="O2" i="81"/>
  <c r="H2" i="81"/>
  <c r="R1" i="81"/>
  <c r="O1" i="81"/>
  <c r="H1" i="81"/>
  <c r="Q286" i="80"/>
  <c r="O286" i="80"/>
  <c r="M286" i="80"/>
  <c r="K286" i="80"/>
  <c r="I286" i="80"/>
  <c r="G286" i="80"/>
  <c r="F286" i="80"/>
  <c r="D286" i="80"/>
  <c r="B286" i="80"/>
  <c r="A286" i="80"/>
  <c r="G242" i="80"/>
  <c r="M227" i="80"/>
  <c r="S219" i="80"/>
  <c r="H227" i="80" s="1"/>
  <c r="T206" i="80"/>
  <c r="G154" i="80"/>
  <c r="M139" i="80"/>
  <c r="S131" i="80"/>
  <c r="H139" i="80" s="1"/>
  <c r="T118" i="80"/>
  <c r="J109" i="80"/>
  <c r="L197" i="80" s="1"/>
  <c r="O108" i="80"/>
  <c r="R118" i="80" s="1"/>
  <c r="L108" i="80"/>
  <c r="L196" i="80" s="1"/>
  <c r="S218" i="80" s="1"/>
  <c r="J238" i="80" s="1"/>
  <c r="J108" i="80"/>
  <c r="J196" i="80" s="1"/>
  <c r="H108" i="80"/>
  <c r="H196" i="80" s="1"/>
  <c r="T107" i="80"/>
  <c r="D118" i="80" s="1"/>
  <c r="T106" i="80"/>
  <c r="D117" i="80" s="1"/>
  <c r="T105" i="80"/>
  <c r="D116" i="80" s="1"/>
  <c r="H105" i="80"/>
  <c r="H193" i="80" s="1"/>
  <c r="D105" i="80"/>
  <c r="D193" i="80" s="1"/>
  <c r="B105" i="80"/>
  <c r="B193" i="80" s="1"/>
  <c r="L70" i="80"/>
  <c r="D63" i="80"/>
  <c r="S59" i="80"/>
  <c r="M63" i="80" s="1"/>
  <c r="S57" i="80"/>
  <c r="I63" i="80" s="1"/>
  <c r="S56" i="80"/>
  <c r="S33" i="80"/>
  <c r="M37" i="80" s="1"/>
  <c r="S32" i="80"/>
  <c r="Q38" i="80" s="1"/>
  <c r="S31" i="80"/>
  <c r="I37" i="80" s="1"/>
  <c r="S30" i="80"/>
  <c r="T20" i="80"/>
  <c r="R20" i="80"/>
  <c r="P20" i="80"/>
  <c r="J20" i="80"/>
  <c r="J118" i="80" s="1"/>
  <c r="J206" i="80" s="1"/>
  <c r="D20" i="80"/>
  <c r="J19" i="80"/>
  <c r="J117" i="80" s="1"/>
  <c r="J205" i="80" s="1"/>
  <c r="D19" i="80"/>
  <c r="J18" i="80"/>
  <c r="J116" i="80" s="1"/>
  <c r="D18" i="80"/>
  <c r="W13" i="80"/>
  <c r="R5" i="80"/>
  <c r="O5" i="80"/>
  <c r="G5" i="80"/>
  <c r="D5" i="80"/>
  <c r="C5" i="80"/>
  <c r="A5" i="80"/>
  <c r="R4" i="80"/>
  <c r="O4" i="80"/>
  <c r="R3" i="80"/>
  <c r="O3" i="80"/>
  <c r="H3" i="80"/>
  <c r="R2" i="80"/>
  <c r="O2" i="80"/>
  <c r="H2" i="80"/>
  <c r="R1" i="80"/>
  <c r="O1" i="80"/>
  <c r="H1" i="80"/>
  <c r="J18" i="6"/>
  <c r="D63" i="11"/>
  <c r="M63" i="11"/>
  <c r="O63" i="11"/>
  <c r="S63" i="11"/>
  <c r="D64" i="11"/>
  <c r="K64" i="11"/>
  <c r="M64" i="11"/>
  <c r="O64" i="11"/>
  <c r="S64" i="11"/>
  <c r="O98" i="79"/>
  <c r="M98" i="79"/>
  <c r="K98" i="79"/>
  <c r="I98" i="79"/>
  <c r="G98" i="79"/>
  <c r="F98" i="79"/>
  <c r="D98" i="79"/>
  <c r="B98" i="79"/>
  <c r="A98" i="79"/>
  <c r="K58" i="11"/>
  <c r="M58" i="11"/>
  <c r="O58" i="11"/>
  <c r="S58" i="11"/>
  <c r="S59" i="11"/>
  <c r="D63" i="79"/>
  <c r="S59" i="79"/>
  <c r="S33" i="79"/>
  <c r="M37" i="79" s="1"/>
  <c r="S57" i="79"/>
  <c r="I63" i="79" s="1"/>
  <c r="S56" i="79"/>
  <c r="I64" i="79" s="1"/>
  <c r="S32" i="79"/>
  <c r="S38" i="79" s="1"/>
  <c r="S31" i="79"/>
  <c r="I37" i="79" s="1"/>
  <c r="S30" i="79"/>
  <c r="S29" i="79" s="1"/>
  <c r="F37" i="79" s="1"/>
  <c r="T20" i="79"/>
  <c r="J18" i="79"/>
  <c r="R20" i="79"/>
  <c r="P20" i="79"/>
  <c r="D20" i="79"/>
  <c r="D19" i="79"/>
  <c r="D18" i="79"/>
  <c r="R5" i="79"/>
  <c r="O5" i="79"/>
  <c r="G5" i="79"/>
  <c r="D5" i="79"/>
  <c r="C5" i="79"/>
  <c r="A5" i="79"/>
  <c r="R4" i="79"/>
  <c r="O4" i="79"/>
  <c r="R3" i="79"/>
  <c r="O3" i="79"/>
  <c r="R2" i="79"/>
  <c r="O2" i="79"/>
  <c r="H2" i="79"/>
  <c r="R1" i="79"/>
  <c r="O1" i="79"/>
  <c r="H1" i="79"/>
  <c r="Z123" i="14"/>
  <c r="J18" i="14"/>
  <c r="R43" i="14" s="1"/>
  <c r="R5" i="78"/>
  <c r="O5" i="78"/>
  <c r="G5" i="78"/>
  <c r="D5" i="78"/>
  <c r="C5" i="78"/>
  <c r="A5" i="78"/>
  <c r="R4" i="78"/>
  <c r="O4" i="78"/>
  <c r="R3" i="78"/>
  <c r="O3" i="78"/>
  <c r="H3" i="78"/>
  <c r="R2" i="78"/>
  <c r="O2" i="78"/>
  <c r="H2" i="78"/>
  <c r="R1" i="78"/>
  <c r="O1" i="78"/>
  <c r="H1" i="78"/>
  <c r="T270" i="78"/>
  <c r="S270" i="78"/>
  <c r="R270" i="78"/>
  <c r="Q270" i="78"/>
  <c r="P270" i="78"/>
  <c r="O270" i="78"/>
  <c r="N270" i="78"/>
  <c r="M270" i="78"/>
  <c r="L270" i="78"/>
  <c r="I270" i="78"/>
  <c r="H270" i="78"/>
  <c r="G227" i="78"/>
  <c r="M212" i="78"/>
  <c r="S204" i="78"/>
  <c r="H212" i="78" s="1"/>
  <c r="T191" i="78"/>
  <c r="J190" i="78"/>
  <c r="D178" i="78"/>
  <c r="C270" i="78" s="1"/>
  <c r="G139" i="78"/>
  <c r="M124" i="78"/>
  <c r="S116" i="78"/>
  <c r="H124" i="78" s="1"/>
  <c r="T103" i="78"/>
  <c r="J103" i="78"/>
  <c r="J191" i="78" s="1"/>
  <c r="J102" i="78"/>
  <c r="J101" i="78"/>
  <c r="J189" i="78" s="1"/>
  <c r="J94" i="78"/>
  <c r="L182" i="78" s="1"/>
  <c r="J270" i="78" s="1"/>
  <c r="O93" i="78"/>
  <c r="O181" i="78" s="1"/>
  <c r="L93" i="78"/>
  <c r="L181" i="78" s="1"/>
  <c r="J93" i="78"/>
  <c r="S115" i="78" s="1"/>
  <c r="J135" i="78" s="1"/>
  <c r="H93" i="78"/>
  <c r="H181" i="78" s="1"/>
  <c r="D270" i="78" s="1"/>
  <c r="T92" i="78"/>
  <c r="T180" i="78" s="1"/>
  <c r="T91" i="78"/>
  <c r="T179" i="78" s="1"/>
  <c r="T90" i="78"/>
  <c r="T178" i="78" s="1"/>
  <c r="H90" i="78"/>
  <c r="H178" i="78" s="1"/>
  <c r="D90" i="78"/>
  <c r="B90" i="78"/>
  <c r="B178" i="78" s="1"/>
  <c r="B270" i="78" s="1"/>
  <c r="G51" i="78"/>
  <c r="M41" i="78"/>
  <c r="S36" i="78"/>
  <c r="K41" i="78" s="1"/>
  <c r="S33" i="78"/>
  <c r="H41" i="78" s="1"/>
  <c r="S32" i="78"/>
  <c r="J47" i="78" s="1"/>
  <c r="S31" i="78"/>
  <c r="S114" i="78" s="1"/>
  <c r="J21" i="78"/>
  <c r="J22" i="78" s="1"/>
  <c r="S35" i="78" s="1"/>
  <c r="O51" i="78" s="1"/>
  <c r="T20" i="78"/>
  <c r="R20" i="78"/>
  <c r="P20" i="78"/>
  <c r="P21" i="78" s="1"/>
  <c r="S34" i="78" s="1"/>
  <c r="D20" i="78"/>
  <c r="D19" i="78"/>
  <c r="D18" i="78"/>
  <c r="R35" i="14"/>
  <c r="R75" i="14" s="1"/>
  <c r="Q41" i="13"/>
  <c r="Q40" i="13"/>
  <c r="Q43" i="13" s="1"/>
  <c r="Q44" i="13" s="1"/>
  <c r="S15" i="4"/>
  <c r="N138" i="77"/>
  <c r="I138" i="77"/>
  <c r="H138" i="77"/>
  <c r="F138" i="77"/>
  <c r="E138" i="77"/>
  <c r="C138" i="77"/>
  <c r="N137" i="77"/>
  <c r="L137" i="77"/>
  <c r="K137" i="77"/>
  <c r="J137" i="77"/>
  <c r="I137" i="77"/>
  <c r="H137" i="77"/>
  <c r="F137" i="77"/>
  <c r="E137" i="77"/>
  <c r="C137" i="77"/>
  <c r="A137" i="77"/>
  <c r="D118" i="77"/>
  <c r="N109" i="77"/>
  <c r="K101" i="77"/>
  <c r="K109" i="77" s="1"/>
  <c r="K110" i="77" s="1"/>
  <c r="K113" i="77" s="1"/>
  <c r="D83" i="77"/>
  <c r="N74" i="77"/>
  <c r="L138" i="77"/>
  <c r="D38" i="77"/>
  <c r="N29" i="77"/>
  <c r="R5" i="77"/>
  <c r="O5" i="77"/>
  <c r="G5" i="77"/>
  <c r="D5" i="77"/>
  <c r="C5" i="77"/>
  <c r="A5" i="77"/>
  <c r="R4" i="77"/>
  <c r="O4" i="77"/>
  <c r="R3" i="77"/>
  <c r="O3" i="77"/>
  <c r="H3" i="77"/>
  <c r="R2" i="77"/>
  <c r="O2" i="77"/>
  <c r="H2" i="77"/>
  <c r="R1" i="77"/>
  <c r="O1" i="77"/>
  <c r="H1" i="77"/>
  <c r="G137" i="115" l="1"/>
  <c r="G138" i="115" s="1"/>
  <c r="G145" i="115" s="1"/>
  <c r="S204" i="115"/>
  <c r="G225" i="115" s="1"/>
  <c r="G226" i="115" s="1"/>
  <c r="G233" i="115" s="1"/>
  <c r="M166" i="11"/>
  <c r="D96" i="118"/>
  <c r="R135" i="118"/>
  <c r="F144" i="118" s="1"/>
  <c r="R322" i="118"/>
  <c r="R242" i="118"/>
  <c r="D262" i="118" s="1"/>
  <c r="F213" i="118"/>
  <c r="S199" i="114"/>
  <c r="G220" i="114" s="1"/>
  <c r="G221" i="114" s="1"/>
  <c r="G228" i="114" s="1"/>
  <c r="G132" i="114"/>
  <c r="G133" i="114" s="1"/>
  <c r="G140" i="114" s="1"/>
  <c r="M123" i="11"/>
  <c r="I38" i="80"/>
  <c r="S29" i="80"/>
  <c r="I64" i="80"/>
  <c r="S55" i="80"/>
  <c r="D96" i="91"/>
  <c r="F166" i="91"/>
  <c r="R275" i="91"/>
  <c r="R195" i="91"/>
  <c r="D215" i="91" s="1"/>
  <c r="P185" i="104"/>
  <c r="S198" i="104" s="1"/>
  <c r="J230" i="92"/>
  <c r="O205" i="92"/>
  <c r="E206" i="92" s="1"/>
  <c r="L230" i="92" s="1"/>
  <c r="N230" i="92"/>
  <c r="G216" i="91"/>
  <c r="G230" i="91"/>
  <c r="G223" i="91"/>
  <c r="Q166" i="91"/>
  <c r="Q172" i="91" s="1"/>
  <c r="R202" i="91"/>
  <c r="R282" i="91"/>
  <c r="Q178" i="91"/>
  <c r="R109" i="88"/>
  <c r="F144" i="88"/>
  <c r="F161" i="11" s="1"/>
  <c r="P109" i="88"/>
  <c r="P81" i="88"/>
  <c r="L38" i="88"/>
  <c r="P21" i="84"/>
  <c r="I64" i="84"/>
  <c r="S55" i="84"/>
  <c r="F63" i="84" s="1"/>
  <c r="I38" i="84"/>
  <c r="S29" i="84"/>
  <c r="F37" i="84" s="1"/>
  <c r="P64" i="81"/>
  <c r="P22" i="81"/>
  <c r="P38" i="81" s="1"/>
  <c r="P71" i="81"/>
  <c r="S35" i="79"/>
  <c r="Q37" i="79" s="1"/>
  <c r="K35" i="90"/>
  <c r="S129" i="87"/>
  <c r="G150" i="87" s="1"/>
  <c r="G151" i="87" s="1"/>
  <c r="G158" i="87" s="1"/>
  <c r="P119" i="87"/>
  <c r="S132" i="87" s="1"/>
  <c r="S217" i="87"/>
  <c r="G238" i="87" s="1"/>
  <c r="G239" i="87" s="1"/>
  <c r="G246" i="87" s="1"/>
  <c r="P64" i="85"/>
  <c r="R64" i="85"/>
  <c r="S130" i="84"/>
  <c r="J150" i="84" s="1"/>
  <c r="S134" i="84"/>
  <c r="K139" i="84" s="1"/>
  <c r="O196" i="84"/>
  <c r="S222" i="84" s="1"/>
  <c r="K227" i="84" s="1"/>
  <c r="S61" i="84"/>
  <c r="Q63" i="84" s="1"/>
  <c r="S58" i="84"/>
  <c r="S64" i="84" s="1"/>
  <c r="P22" i="82"/>
  <c r="L38" i="82" s="1"/>
  <c r="J61" i="82"/>
  <c r="J106" i="82" s="1"/>
  <c r="P68" i="82"/>
  <c r="F63" i="80"/>
  <c r="F37" i="80"/>
  <c r="S61" i="80"/>
  <c r="Q63" i="80" s="1"/>
  <c r="S130" i="80"/>
  <c r="J150" i="80" s="1"/>
  <c r="S58" i="80"/>
  <c r="S64" i="80" s="1"/>
  <c r="P21" i="80"/>
  <c r="S38" i="80"/>
  <c r="S134" i="80"/>
  <c r="K139" i="80" s="1"/>
  <c r="J263" i="89"/>
  <c r="P21" i="79"/>
  <c r="S162" i="89"/>
  <c r="S210" i="89"/>
  <c r="O67" i="89"/>
  <c r="O68" i="89" s="1"/>
  <c r="S77" i="89" s="1"/>
  <c r="S78" i="89"/>
  <c r="Q210" i="89"/>
  <c r="O517" i="89"/>
  <c r="J522" i="89" s="1"/>
  <c r="F210" i="89"/>
  <c r="T322" i="89"/>
  <c r="T405" i="89" s="1"/>
  <c r="O357" i="89"/>
  <c r="O358" i="89" s="1"/>
  <c r="S370" i="89" s="1"/>
  <c r="I376" i="89" s="1"/>
  <c r="G389" i="89"/>
  <c r="D123" i="89"/>
  <c r="M125" i="89" s="1"/>
  <c r="O519" i="89"/>
  <c r="Q522" i="89" s="1"/>
  <c r="Q434" i="89"/>
  <c r="S157" i="89"/>
  <c r="O138" i="89"/>
  <c r="O139" i="89" s="1"/>
  <c r="S156" i="89" s="1"/>
  <c r="I162" i="89" s="1"/>
  <c r="G175" i="89"/>
  <c r="G177" i="89" s="1"/>
  <c r="H210" i="89"/>
  <c r="H341" i="89"/>
  <c r="H424" i="89" s="1"/>
  <c r="H512" i="89" s="1"/>
  <c r="J221" i="89"/>
  <c r="S512" i="89"/>
  <c r="Q512" i="89"/>
  <c r="S545" i="89"/>
  <c r="S460" i="89"/>
  <c r="J388" i="89"/>
  <c r="G564" i="89"/>
  <c r="L553" i="89"/>
  <c r="J435" i="89"/>
  <c r="D341" i="89"/>
  <c r="J416" i="89"/>
  <c r="G262" i="89"/>
  <c r="L251" i="89"/>
  <c r="D27" i="89"/>
  <c r="M29" i="89" s="1"/>
  <c r="M242" i="87"/>
  <c r="O227" i="87"/>
  <c r="E228" i="87" s="1"/>
  <c r="K242" i="87" s="1"/>
  <c r="I242" i="87"/>
  <c r="P38" i="85"/>
  <c r="L38" i="85"/>
  <c r="R109" i="85"/>
  <c r="P109" i="85"/>
  <c r="P110" i="85" s="1"/>
  <c r="F144" i="85"/>
  <c r="P68" i="85"/>
  <c r="P71" i="85"/>
  <c r="S129" i="84"/>
  <c r="S217" i="84" s="1"/>
  <c r="G238" i="84" s="1"/>
  <c r="G239" i="84" s="1"/>
  <c r="G246" i="84" s="1"/>
  <c r="J204" i="84"/>
  <c r="T193" i="84"/>
  <c r="D204" i="84" s="1"/>
  <c r="T194" i="84"/>
  <c r="D205" i="84" s="1"/>
  <c r="T195" i="84"/>
  <c r="D206" i="84" s="1"/>
  <c r="S35" i="84"/>
  <c r="Q37" i="84" s="1"/>
  <c r="J118" i="84"/>
  <c r="J206" i="84" s="1"/>
  <c r="P118" i="84"/>
  <c r="P119" i="84" s="1"/>
  <c r="S132" i="84" s="1"/>
  <c r="Q38" i="84"/>
  <c r="O98" i="82"/>
  <c r="P64" i="82"/>
  <c r="R64" i="82"/>
  <c r="F144" i="81"/>
  <c r="R109" i="81"/>
  <c r="P109" i="81"/>
  <c r="P110" i="81" s="1"/>
  <c r="R64" i="81"/>
  <c r="P65" i="81" s="1"/>
  <c r="P68" i="81"/>
  <c r="L38" i="81"/>
  <c r="J204" i="80"/>
  <c r="T193" i="80"/>
  <c r="D204" i="80" s="1"/>
  <c r="T194" i="80"/>
  <c r="D205" i="80" s="1"/>
  <c r="T195" i="80"/>
  <c r="D206" i="80" s="1"/>
  <c r="S35" i="80"/>
  <c r="Q37" i="80" s="1"/>
  <c r="O196" i="80"/>
  <c r="P118" i="80"/>
  <c r="P119" i="80" s="1"/>
  <c r="S132" i="80" s="1"/>
  <c r="A270" i="78"/>
  <c r="D101" i="78"/>
  <c r="D102" i="78"/>
  <c r="D103" i="78"/>
  <c r="U272" i="78"/>
  <c r="D191" i="78"/>
  <c r="J181" i="78"/>
  <c r="E270" i="78" s="1"/>
  <c r="J104" i="78"/>
  <c r="J192" i="78" s="1"/>
  <c r="J193" i="78" s="1"/>
  <c r="S206" i="78" s="1"/>
  <c r="O227" i="78" s="1"/>
  <c r="S55" i="79"/>
  <c r="F63" i="79" s="1"/>
  <c r="S58" i="79"/>
  <c r="Q64" i="79" s="1"/>
  <c r="S61" i="79"/>
  <c r="Q63" i="79" s="1"/>
  <c r="I38" i="79"/>
  <c r="Q38" i="79"/>
  <c r="G47" i="78"/>
  <c r="G48" i="78" s="1"/>
  <c r="G55" i="78" s="1"/>
  <c r="D190" i="78"/>
  <c r="U271" i="78"/>
  <c r="S207" i="78"/>
  <c r="K212" i="78" s="1"/>
  <c r="R191" i="78"/>
  <c r="P191" i="78"/>
  <c r="G270" i="78"/>
  <c r="S203" i="78"/>
  <c r="J223" i="78" s="1"/>
  <c r="F270" i="78"/>
  <c r="O41" i="78"/>
  <c r="E42" i="78" s="1"/>
  <c r="K51" i="78" s="1"/>
  <c r="M51" i="78"/>
  <c r="I51" i="78"/>
  <c r="G135" i="78"/>
  <c r="G136" i="78" s="1"/>
  <c r="G143" i="78" s="1"/>
  <c r="S202" i="78"/>
  <c r="G223" i="78" s="1"/>
  <c r="U270" i="78"/>
  <c r="D189" i="78"/>
  <c r="P103" i="78"/>
  <c r="S119" i="78"/>
  <c r="K124" i="78" s="1"/>
  <c r="R103" i="78"/>
  <c r="K29" i="77"/>
  <c r="K30" i="77" s="1"/>
  <c r="K33" i="77" s="1"/>
  <c r="K74" i="77"/>
  <c r="K75" i="77" s="1"/>
  <c r="K78" i="77" s="1"/>
  <c r="S24" i="15"/>
  <c r="F337" i="118" l="1"/>
  <c r="R366" i="118"/>
  <c r="D391" i="118" s="1"/>
  <c r="P110" i="88"/>
  <c r="G224" i="78"/>
  <c r="G231" i="78" s="1"/>
  <c r="P192" i="78"/>
  <c r="S205" i="78" s="1"/>
  <c r="F290" i="91"/>
  <c r="R319" i="91"/>
  <c r="D344" i="91" s="1"/>
  <c r="J230" i="104"/>
  <c r="O205" i="104"/>
  <c r="E206" i="104" s="1"/>
  <c r="L230" i="104" s="1"/>
  <c r="N230" i="104"/>
  <c r="Q215" i="91"/>
  <c r="Q229" i="91"/>
  <c r="Q222" i="91"/>
  <c r="R326" i="91"/>
  <c r="Q302" i="91"/>
  <c r="Q290" i="91"/>
  <c r="Q296" i="91" s="1"/>
  <c r="I154" i="87"/>
  <c r="O139" i="87"/>
  <c r="E140" i="87" s="1"/>
  <c r="K154" i="87" s="1"/>
  <c r="M154" i="87"/>
  <c r="P65" i="85"/>
  <c r="Q64" i="84"/>
  <c r="R206" i="84"/>
  <c r="P206" i="84"/>
  <c r="G150" i="84"/>
  <c r="G151" i="84" s="1"/>
  <c r="G158" i="84" s="1"/>
  <c r="P38" i="82"/>
  <c r="S129" i="80"/>
  <c r="G150" i="80" s="1"/>
  <c r="G151" i="80" s="1"/>
  <c r="G158" i="80" s="1"/>
  <c r="Q64" i="80"/>
  <c r="S217" i="80"/>
  <c r="G238" i="80" s="1"/>
  <c r="G239" i="80" s="1"/>
  <c r="G246" i="80" s="1"/>
  <c r="I81" i="89"/>
  <c r="G391" i="89"/>
  <c r="E394" i="89" s="1"/>
  <c r="D333" i="89"/>
  <c r="D211" i="89"/>
  <c r="M213" i="89" s="1"/>
  <c r="G477" i="89"/>
  <c r="O440" i="89"/>
  <c r="O441" i="89" s="1"/>
  <c r="S458" i="89" s="1"/>
  <c r="I464" i="89" s="1"/>
  <c r="S459" i="89"/>
  <c r="J504" i="89"/>
  <c r="D512" i="89" s="1"/>
  <c r="D513" i="89" s="1"/>
  <c r="M515" i="89" s="1"/>
  <c r="D424" i="89"/>
  <c r="D425" i="89" s="1"/>
  <c r="M427" i="89" s="1"/>
  <c r="D342" i="89"/>
  <c r="M344" i="89" s="1"/>
  <c r="I180" i="89"/>
  <c r="F180" i="89"/>
  <c r="E180" i="89"/>
  <c r="S548" i="89"/>
  <c r="J564" i="89" s="1"/>
  <c r="J476" i="89"/>
  <c r="J565" i="89"/>
  <c r="S552" i="89"/>
  <c r="J523" i="89"/>
  <c r="T493" i="89"/>
  <c r="D504" i="89" s="1"/>
  <c r="D416" i="89"/>
  <c r="U585" i="89" s="1"/>
  <c r="S245" i="89"/>
  <c r="O226" i="89"/>
  <c r="O227" i="89" s="1"/>
  <c r="S244" i="89" s="1"/>
  <c r="I250" i="89" s="1"/>
  <c r="G263" i="89"/>
  <c r="G265" i="89" s="1"/>
  <c r="P120" i="85"/>
  <c r="L120" i="85"/>
  <c r="J116" i="85"/>
  <c r="M154" i="84"/>
  <c r="I154" i="84"/>
  <c r="O139" i="84"/>
  <c r="E140" i="84" s="1"/>
  <c r="K154" i="84" s="1"/>
  <c r="F144" i="82"/>
  <c r="R109" i="82"/>
  <c r="P109" i="82"/>
  <c r="P110" i="82" s="1"/>
  <c r="P65" i="82"/>
  <c r="P120" i="81"/>
  <c r="L120" i="81"/>
  <c r="J116" i="81"/>
  <c r="P81" i="81"/>
  <c r="L81" i="81"/>
  <c r="M154" i="80"/>
  <c r="I154" i="80"/>
  <c r="O139" i="80"/>
  <c r="E140" i="80" s="1"/>
  <c r="K154" i="80" s="1"/>
  <c r="P206" i="80"/>
  <c r="S222" i="80"/>
  <c r="K227" i="80" s="1"/>
  <c r="R206" i="80"/>
  <c r="G52" i="78"/>
  <c r="D55" i="78" s="1"/>
  <c r="F54" i="78" s="1"/>
  <c r="G56" i="78" s="1"/>
  <c r="W13" i="78" s="1"/>
  <c r="J105" i="78"/>
  <c r="S118" i="78" s="1"/>
  <c r="O139" i="78" s="1"/>
  <c r="S64" i="79"/>
  <c r="W13" i="79"/>
  <c r="P104" i="78"/>
  <c r="S117" i="78" s="1"/>
  <c r="M227" i="78"/>
  <c r="I227" i="78"/>
  <c r="O212" i="78"/>
  <c r="E213" i="78" s="1"/>
  <c r="K227" i="78" s="1"/>
  <c r="Q144" i="10"/>
  <c r="K102" i="76"/>
  <c r="K101" i="76"/>
  <c r="K99" i="76"/>
  <c r="K100" i="76"/>
  <c r="K58" i="76"/>
  <c r="K60" i="76"/>
  <c r="K59" i="76"/>
  <c r="K57" i="76"/>
  <c r="K16" i="76"/>
  <c r="K21" i="76" s="1"/>
  <c r="K29" i="76" s="1"/>
  <c r="N136" i="76"/>
  <c r="L136" i="76"/>
  <c r="I136" i="76"/>
  <c r="H136" i="76"/>
  <c r="F136" i="76"/>
  <c r="E136" i="76"/>
  <c r="C136" i="76"/>
  <c r="D38" i="76"/>
  <c r="N135" i="76"/>
  <c r="I135" i="76"/>
  <c r="H135" i="76"/>
  <c r="F135" i="76"/>
  <c r="E135" i="76"/>
  <c r="C135" i="76"/>
  <c r="N134" i="76"/>
  <c r="L134" i="76"/>
  <c r="K134" i="76"/>
  <c r="J134" i="76"/>
  <c r="I134" i="76"/>
  <c r="H134" i="76"/>
  <c r="F134" i="76"/>
  <c r="E134" i="76"/>
  <c r="C134" i="76"/>
  <c r="A134" i="76"/>
  <c r="D121" i="76"/>
  <c r="N112" i="76"/>
  <c r="D79" i="76"/>
  <c r="N70" i="76"/>
  <c r="L135" i="76"/>
  <c r="B50" i="76"/>
  <c r="B91" i="76" s="1"/>
  <c r="B49" i="76"/>
  <c r="B90" i="76" s="1"/>
  <c r="B48" i="76"/>
  <c r="B89" i="76" s="1"/>
  <c r="N29" i="76"/>
  <c r="R5" i="76"/>
  <c r="O5" i="76"/>
  <c r="G5" i="76"/>
  <c r="D5" i="76"/>
  <c r="C5" i="76"/>
  <c r="A5" i="76"/>
  <c r="R4" i="76"/>
  <c r="O4" i="76"/>
  <c r="R3" i="76"/>
  <c r="O3" i="76"/>
  <c r="H3" i="76"/>
  <c r="R2" i="76"/>
  <c r="O2" i="76"/>
  <c r="H2" i="76"/>
  <c r="R1" i="76"/>
  <c r="O1" i="76"/>
  <c r="H1" i="76"/>
  <c r="T50" i="17"/>
  <c r="T51" i="17"/>
  <c r="T51" i="10"/>
  <c r="T50" i="10"/>
  <c r="T50" i="9"/>
  <c r="S178" i="11"/>
  <c r="L120" i="88" l="1"/>
  <c r="J116" i="88"/>
  <c r="P120" i="88"/>
  <c r="Q358" i="91"/>
  <c r="Q351" i="91"/>
  <c r="Q344" i="91"/>
  <c r="P81" i="85"/>
  <c r="L81" i="85"/>
  <c r="P207" i="84"/>
  <c r="S220" i="84" s="1"/>
  <c r="I394" i="89"/>
  <c r="H396" i="89" s="1"/>
  <c r="F394" i="89"/>
  <c r="H182" i="89"/>
  <c r="F55" i="78"/>
  <c r="I268" i="89"/>
  <c r="F268" i="89"/>
  <c r="E268" i="89"/>
  <c r="S547" i="89"/>
  <c r="O528" i="89"/>
  <c r="O529" i="89" s="1"/>
  <c r="S546" i="89" s="1"/>
  <c r="I552" i="89" s="1"/>
  <c r="G565" i="89"/>
  <c r="G567" i="89" s="1"/>
  <c r="G479" i="89"/>
  <c r="P81" i="82"/>
  <c r="L81" i="82"/>
  <c r="J116" i="82"/>
  <c r="P120" i="82"/>
  <c r="L120" i="82"/>
  <c r="P207" i="80"/>
  <c r="S220" i="80" s="1"/>
  <c r="G228" i="78"/>
  <c r="D231" i="78" s="1"/>
  <c r="F230" i="78" s="1"/>
  <c r="O124" i="78"/>
  <c r="E125" i="78" s="1"/>
  <c r="K139" i="78" s="1"/>
  <c r="I139" i="78"/>
  <c r="M139" i="78"/>
  <c r="K30" i="76"/>
  <c r="K33" i="76" s="1"/>
  <c r="K104" i="76"/>
  <c r="K62" i="76"/>
  <c r="K70" i="76" s="1"/>
  <c r="K71" i="76" s="1"/>
  <c r="K74" i="76" s="1"/>
  <c r="O142" i="38"/>
  <c r="F146" i="38" s="1"/>
  <c r="F147" i="38" s="1"/>
  <c r="O113" i="11"/>
  <c r="O114" i="11"/>
  <c r="L134" i="40"/>
  <c r="L196" i="11" s="1"/>
  <c r="I134" i="40"/>
  <c r="I196" i="11" s="1"/>
  <c r="H134" i="40"/>
  <c r="H196" i="11" s="1"/>
  <c r="N133" i="40"/>
  <c r="N195" i="11" s="1"/>
  <c r="L133" i="40"/>
  <c r="L195" i="11" s="1"/>
  <c r="I133" i="40"/>
  <c r="I195" i="11" s="1"/>
  <c r="H133" i="40"/>
  <c r="H195" i="11" s="1"/>
  <c r="F133" i="40"/>
  <c r="F195" i="11" s="1"/>
  <c r="E133" i="40"/>
  <c r="E195" i="11" s="1"/>
  <c r="C133" i="40"/>
  <c r="B195" i="11" s="1"/>
  <c r="N132" i="40"/>
  <c r="N194" i="11" s="1"/>
  <c r="L132" i="40"/>
  <c r="L194" i="11" s="1"/>
  <c r="K132" i="40"/>
  <c r="J132" i="40"/>
  <c r="I132" i="40"/>
  <c r="I194" i="11" s="1"/>
  <c r="H132" i="40"/>
  <c r="H194" i="11" s="1"/>
  <c r="F132" i="40"/>
  <c r="F194" i="11" s="1"/>
  <c r="E132" i="40"/>
  <c r="E194" i="11" s="1"/>
  <c r="C132" i="40"/>
  <c r="B194" i="11" s="1"/>
  <c r="A132" i="40"/>
  <c r="A194" i="11" s="1"/>
  <c r="D117" i="40"/>
  <c r="N108" i="40"/>
  <c r="K100" i="40"/>
  <c r="K108" i="40" s="1"/>
  <c r="D80" i="40"/>
  <c r="N71" i="40"/>
  <c r="B47" i="40"/>
  <c r="D38" i="40"/>
  <c r="N29" i="40"/>
  <c r="AG16" i="40"/>
  <c r="AG15" i="40"/>
  <c r="K29" i="40"/>
  <c r="R5" i="40"/>
  <c r="O5" i="40"/>
  <c r="G5" i="40"/>
  <c r="D5" i="40"/>
  <c r="C5" i="40"/>
  <c r="A5" i="40"/>
  <c r="R4" i="40"/>
  <c r="O4" i="40"/>
  <c r="R3" i="40"/>
  <c r="O3" i="40"/>
  <c r="H3" i="40"/>
  <c r="R2" i="40"/>
  <c r="O2" i="40"/>
  <c r="H2" i="40"/>
  <c r="R1" i="40"/>
  <c r="O1" i="40"/>
  <c r="H1" i="40"/>
  <c r="O267" i="38"/>
  <c r="M267" i="38"/>
  <c r="K267" i="38"/>
  <c r="D267" i="38"/>
  <c r="D266" i="38"/>
  <c r="Q265" i="38"/>
  <c r="Q67" i="11" s="1"/>
  <c r="O265" i="38"/>
  <c r="O67" i="11" s="1"/>
  <c r="M265" i="38"/>
  <c r="M67" i="11" s="1"/>
  <c r="K265" i="38"/>
  <c r="K67" i="11" s="1"/>
  <c r="J265" i="38"/>
  <c r="I265" i="38"/>
  <c r="I67" i="11" s="1"/>
  <c r="H265" i="38"/>
  <c r="F265" i="38"/>
  <c r="F67" i="11" s="1"/>
  <c r="D265" i="38"/>
  <c r="D67" i="11" s="1"/>
  <c r="B265" i="38"/>
  <c r="B67" i="11" s="1"/>
  <c r="A265" i="38"/>
  <c r="A67" i="11" s="1"/>
  <c r="H231" i="38"/>
  <c r="H228" i="38"/>
  <c r="M228" i="38" s="1"/>
  <c r="G237" i="38" s="1"/>
  <c r="M206" i="38"/>
  <c r="S198" i="38"/>
  <c r="H206" i="38" s="1"/>
  <c r="T185" i="38"/>
  <c r="E133" i="38"/>
  <c r="S111" i="38"/>
  <c r="J164" i="38" s="1"/>
  <c r="T103" i="38"/>
  <c r="J103" i="38"/>
  <c r="J185" i="38" s="1"/>
  <c r="J102" i="38"/>
  <c r="J184" i="38" s="1"/>
  <c r="W96" i="38"/>
  <c r="J94" i="38"/>
  <c r="L176" i="38" s="1"/>
  <c r="O93" i="38"/>
  <c r="S114" i="38" s="1"/>
  <c r="S196" i="38" s="1"/>
  <c r="M225" i="38" s="1"/>
  <c r="L93" i="38"/>
  <c r="L175" i="38" s="1"/>
  <c r="S197" i="38" s="1"/>
  <c r="R225" i="38" s="1"/>
  <c r="J93" i="38"/>
  <c r="J175" i="38" s="1"/>
  <c r="H93" i="38"/>
  <c r="H175" i="38" s="1"/>
  <c r="T92" i="38"/>
  <c r="D103" i="38" s="1"/>
  <c r="T91" i="38"/>
  <c r="D102" i="38" s="1"/>
  <c r="T90" i="38"/>
  <c r="D101" i="38" s="1"/>
  <c r="H90" i="38"/>
  <c r="H172" i="38" s="1"/>
  <c r="D90" i="38"/>
  <c r="D172" i="38" s="1"/>
  <c r="B90" i="38"/>
  <c r="B172" i="38" s="1"/>
  <c r="I82" i="38"/>
  <c r="R20" i="38"/>
  <c r="P20" i="38"/>
  <c r="P21" i="38" s="1"/>
  <c r="S29" i="38" s="1"/>
  <c r="D20" i="38"/>
  <c r="D19" i="38"/>
  <c r="J18" i="38"/>
  <c r="K75" i="38" s="1"/>
  <c r="D18" i="38"/>
  <c r="W13" i="38"/>
  <c r="R5" i="38"/>
  <c r="O5" i="38"/>
  <c r="G5" i="38"/>
  <c r="D5" i="38"/>
  <c r="C5" i="38"/>
  <c r="A5" i="38"/>
  <c r="R4" i="38"/>
  <c r="O4" i="38"/>
  <c r="R3" i="38"/>
  <c r="O3" i="38"/>
  <c r="R2" i="38"/>
  <c r="O2" i="38"/>
  <c r="R1" i="38"/>
  <c r="O1" i="38"/>
  <c r="H1" i="38"/>
  <c r="M114" i="11"/>
  <c r="K114" i="11"/>
  <c r="M113" i="11"/>
  <c r="K113" i="11"/>
  <c r="M145" i="17"/>
  <c r="K145" i="17"/>
  <c r="Q144" i="17"/>
  <c r="M144" i="17"/>
  <c r="K144" i="17"/>
  <c r="H144" i="17"/>
  <c r="G144" i="17"/>
  <c r="G125" i="17"/>
  <c r="N120" i="17"/>
  <c r="J120" i="17"/>
  <c r="T109" i="17"/>
  <c r="D109" i="17"/>
  <c r="G89" i="17"/>
  <c r="G86" i="17"/>
  <c r="N81" i="17"/>
  <c r="J81" i="17"/>
  <c r="S75" i="17"/>
  <c r="S113" i="17" s="1"/>
  <c r="G128" i="17" s="1"/>
  <c r="P69" i="17"/>
  <c r="T64" i="17"/>
  <c r="J64" i="17"/>
  <c r="J109" i="17" s="1"/>
  <c r="D64" i="17"/>
  <c r="J63" i="17"/>
  <c r="J108" i="17" s="1"/>
  <c r="J54" i="17"/>
  <c r="L99" i="17" s="1"/>
  <c r="I144" i="17" s="1"/>
  <c r="O53" i="17"/>
  <c r="O98" i="17" s="1"/>
  <c r="L53" i="17"/>
  <c r="L98" i="17" s="1"/>
  <c r="J53" i="17"/>
  <c r="J98" i="17" s="1"/>
  <c r="D145" i="17" s="1"/>
  <c r="H53" i="17"/>
  <c r="H98" i="17" s="1"/>
  <c r="D144" i="17" s="1"/>
  <c r="B51" i="17"/>
  <c r="B96" i="17" s="1"/>
  <c r="H50" i="17"/>
  <c r="H95" i="17" s="1"/>
  <c r="D50" i="17"/>
  <c r="D95" i="17" s="1"/>
  <c r="B144" i="17" s="1"/>
  <c r="B50" i="17"/>
  <c r="B95" i="17" s="1"/>
  <c r="A144" i="17" s="1"/>
  <c r="G46" i="17"/>
  <c r="G43" i="17"/>
  <c r="N38" i="17"/>
  <c r="J38" i="17"/>
  <c r="P28" i="17"/>
  <c r="P26" i="17"/>
  <c r="P25" i="17"/>
  <c r="T21" i="17"/>
  <c r="R21" i="17"/>
  <c r="P21" i="17"/>
  <c r="D21" i="17"/>
  <c r="D20" i="17"/>
  <c r="D63" i="17" s="1"/>
  <c r="D108" i="17" s="1"/>
  <c r="J19" i="17"/>
  <c r="J62" i="17" s="1"/>
  <c r="J107" i="17" s="1"/>
  <c r="D19" i="17"/>
  <c r="D62" i="17" s="1"/>
  <c r="D107" i="17" s="1"/>
  <c r="J18" i="17"/>
  <c r="D18" i="17"/>
  <c r="D61" i="17" s="1"/>
  <c r="D106" i="17" s="1"/>
  <c r="R5" i="17"/>
  <c r="O5" i="17"/>
  <c r="G5" i="17"/>
  <c r="D5" i="17"/>
  <c r="C5" i="17"/>
  <c r="A5" i="17"/>
  <c r="R4" i="17"/>
  <c r="O4" i="17"/>
  <c r="R3" i="17"/>
  <c r="O3" i="17"/>
  <c r="H3" i="17"/>
  <c r="R2" i="17"/>
  <c r="O2" i="17"/>
  <c r="H2" i="17"/>
  <c r="R1" i="17"/>
  <c r="O1" i="17"/>
  <c r="H1" i="17"/>
  <c r="Q55" i="16"/>
  <c r="Q138" i="11" s="1"/>
  <c r="M55" i="16"/>
  <c r="M138" i="11" s="1"/>
  <c r="K55" i="16"/>
  <c r="K138" i="11" s="1"/>
  <c r="H55" i="16"/>
  <c r="G55" i="16"/>
  <c r="P28" i="16"/>
  <c r="P26" i="16"/>
  <c r="P25" i="16"/>
  <c r="T21" i="16"/>
  <c r="R21" i="16"/>
  <c r="P21" i="16"/>
  <c r="D21" i="16"/>
  <c r="D20" i="16"/>
  <c r="D19" i="16"/>
  <c r="J18" i="16"/>
  <c r="D18" i="16"/>
  <c r="R5" i="16"/>
  <c r="O5" i="16"/>
  <c r="G5" i="16"/>
  <c r="D5" i="16"/>
  <c r="C5" i="16"/>
  <c r="A5" i="16"/>
  <c r="R4" i="16"/>
  <c r="O4" i="16"/>
  <c r="R3" i="16"/>
  <c r="O3" i="16"/>
  <c r="H3" i="16"/>
  <c r="R2" i="16"/>
  <c r="O2" i="16"/>
  <c r="H2" i="16"/>
  <c r="R1" i="16"/>
  <c r="O1" i="16"/>
  <c r="H1" i="16"/>
  <c r="M139" i="15"/>
  <c r="K139" i="15"/>
  <c r="Q138" i="15"/>
  <c r="M138" i="15"/>
  <c r="K138" i="15"/>
  <c r="H138" i="15"/>
  <c r="G138" i="15"/>
  <c r="S111" i="15"/>
  <c r="K118" i="15" s="1"/>
  <c r="T102" i="15"/>
  <c r="S71" i="15"/>
  <c r="K78" i="15" s="1"/>
  <c r="S65" i="15"/>
  <c r="T62" i="15"/>
  <c r="J61" i="15"/>
  <c r="J60" i="15"/>
  <c r="J101" i="15" s="1"/>
  <c r="K52" i="15"/>
  <c r="J52" i="15"/>
  <c r="L93" i="15" s="1"/>
  <c r="I138" i="15" s="1"/>
  <c r="T51" i="15"/>
  <c r="D61" i="15" s="1"/>
  <c r="O51" i="15"/>
  <c r="R62" i="15" s="1"/>
  <c r="L51" i="15"/>
  <c r="L92" i="15" s="1"/>
  <c r="S66" i="15"/>
  <c r="J74" i="15" s="1"/>
  <c r="H51" i="15"/>
  <c r="H92" i="15" s="1"/>
  <c r="D138" i="15" s="1"/>
  <c r="T50" i="15"/>
  <c r="D60" i="15" s="1"/>
  <c r="T49" i="15"/>
  <c r="D59" i="15" s="1"/>
  <c r="B49" i="15"/>
  <c r="B90" i="15" s="1"/>
  <c r="T48" i="15"/>
  <c r="D58" i="15" s="1"/>
  <c r="H48" i="15"/>
  <c r="H89" i="15" s="1"/>
  <c r="D48" i="15"/>
  <c r="D89" i="15" s="1"/>
  <c r="B138" i="15" s="1"/>
  <c r="B48" i="15"/>
  <c r="B89" i="15" s="1"/>
  <c r="A138" i="15" s="1"/>
  <c r="G33" i="15"/>
  <c r="S30" i="15"/>
  <c r="K37" i="15" s="1"/>
  <c r="S29" i="15"/>
  <c r="G37" i="15" s="1"/>
  <c r="S28" i="15"/>
  <c r="S25" i="15"/>
  <c r="J33" i="15" s="1"/>
  <c r="T21" i="15"/>
  <c r="R21" i="15"/>
  <c r="P21" i="15"/>
  <c r="D19" i="15"/>
  <c r="J59" i="15"/>
  <c r="J100" i="15" s="1"/>
  <c r="D18" i="15"/>
  <c r="J17" i="15"/>
  <c r="J58" i="15" s="1"/>
  <c r="D17" i="15"/>
  <c r="O433" i="14"/>
  <c r="O59" i="11" s="1"/>
  <c r="M433" i="14"/>
  <c r="K433" i="14"/>
  <c r="K59" i="11" s="1"/>
  <c r="D433" i="14"/>
  <c r="D59" i="11" s="1"/>
  <c r="D432" i="14"/>
  <c r="Q431" i="14"/>
  <c r="O431" i="14"/>
  <c r="M431" i="14"/>
  <c r="K431" i="14"/>
  <c r="I431" i="14"/>
  <c r="H431" i="14"/>
  <c r="G431" i="14"/>
  <c r="F431" i="14"/>
  <c r="D431" i="14"/>
  <c r="B431" i="14"/>
  <c r="A431" i="14"/>
  <c r="E417" i="14"/>
  <c r="T414" i="14"/>
  <c r="M398" i="14"/>
  <c r="R371" i="14"/>
  <c r="M405" i="14" s="1"/>
  <c r="R327" i="14"/>
  <c r="M349" i="14" s="1"/>
  <c r="F293" i="14"/>
  <c r="E288" i="14"/>
  <c r="T285" i="14"/>
  <c r="R207" i="14"/>
  <c r="J186" i="14"/>
  <c r="J306" i="14" s="1"/>
  <c r="J185" i="14"/>
  <c r="J305" i="14" s="1"/>
  <c r="J177" i="14"/>
  <c r="L297" i="14" s="1"/>
  <c r="O176" i="14"/>
  <c r="O296" i="14" s="1"/>
  <c r="L176" i="14"/>
  <c r="L296" i="14" s="1"/>
  <c r="M410" i="14" s="1"/>
  <c r="J176" i="14"/>
  <c r="M281" i="14" s="1"/>
  <c r="H176" i="14"/>
  <c r="H296" i="14" s="1"/>
  <c r="T175" i="14"/>
  <c r="T295" i="14" s="1"/>
  <c r="D306" i="14" s="1"/>
  <c r="T174" i="14"/>
  <c r="T294" i="14" s="1"/>
  <c r="D305" i="14" s="1"/>
  <c r="B174" i="14"/>
  <c r="B294" i="14" s="1"/>
  <c r="T173" i="14"/>
  <c r="T293" i="14" s="1"/>
  <c r="D304" i="14" s="1"/>
  <c r="H173" i="14"/>
  <c r="H293" i="14" s="1"/>
  <c r="F173" i="14"/>
  <c r="D173" i="14"/>
  <c r="D293" i="14" s="1"/>
  <c r="B173" i="14"/>
  <c r="B293" i="14" s="1"/>
  <c r="E155" i="14"/>
  <c r="T152" i="14"/>
  <c r="R143" i="14"/>
  <c r="R140" i="14"/>
  <c r="Q144" i="14" s="1"/>
  <c r="E122" i="14"/>
  <c r="T119" i="14"/>
  <c r="M115" i="14"/>
  <c r="R41" i="14"/>
  <c r="R81" i="14" s="1"/>
  <c r="R40" i="14"/>
  <c r="R206" i="14" s="1"/>
  <c r="R39" i="14"/>
  <c r="I59" i="14" s="1"/>
  <c r="I60" i="14"/>
  <c r="T20" i="14"/>
  <c r="R20" i="14"/>
  <c r="D19" i="14"/>
  <c r="J184" i="14"/>
  <c r="D18" i="14"/>
  <c r="R5" i="14"/>
  <c r="O5" i="14"/>
  <c r="G5" i="14"/>
  <c r="D5" i="14"/>
  <c r="C5" i="14"/>
  <c r="A5" i="14"/>
  <c r="R4" i="14"/>
  <c r="O4" i="14"/>
  <c r="R3" i="14"/>
  <c r="O3" i="14"/>
  <c r="H3" i="14"/>
  <c r="R2" i="14"/>
  <c r="O2" i="14"/>
  <c r="H2" i="14"/>
  <c r="R1" i="14"/>
  <c r="O1" i="14"/>
  <c r="H1" i="14"/>
  <c r="Q138" i="13"/>
  <c r="Q130" i="13"/>
  <c r="P129" i="13"/>
  <c r="Q115" i="13"/>
  <c r="Q109" i="13"/>
  <c r="P108" i="13"/>
  <c r="Q99" i="13"/>
  <c r="Q90" i="13"/>
  <c r="P89" i="13"/>
  <c r="Q75" i="13"/>
  <c r="Q69" i="13"/>
  <c r="P68" i="13"/>
  <c r="Q58" i="13"/>
  <c r="Q57" i="13"/>
  <c r="I38" i="13"/>
  <c r="Q35" i="13"/>
  <c r="Q34" i="13"/>
  <c r="O27" i="13"/>
  <c r="O29" i="13" s="1"/>
  <c r="L27" i="13"/>
  <c r="L29" i="13" s="1"/>
  <c r="O26" i="13"/>
  <c r="O28" i="13" s="1"/>
  <c r="L26" i="13"/>
  <c r="G202" i="11"/>
  <c r="Z75" i="11"/>
  <c r="S69" i="11"/>
  <c r="O69" i="11"/>
  <c r="M69" i="11"/>
  <c r="K69" i="11"/>
  <c r="D69" i="11"/>
  <c r="O68" i="11"/>
  <c r="S53" i="11"/>
  <c r="O53" i="11"/>
  <c r="M53" i="11"/>
  <c r="K53" i="11"/>
  <c r="D53" i="11"/>
  <c r="S52" i="11"/>
  <c r="O52" i="11"/>
  <c r="M52" i="11"/>
  <c r="K52" i="11"/>
  <c r="D52" i="11"/>
  <c r="W51" i="11"/>
  <c r="S51" i="11"/>
  <c r="Q51" i="11"/>
  <c r="O51" i="11"/>
  <c r="M51" i="11"/>
  <c r="K51" i="11"/>
  <c r="J51" i="11"/>
  <c r="I51" i="11"/>
  <c r="H51" i="11"/>
  <c r="G51" i="11"/>
  <c r="F51" i="11"/>
  <c r="D51" i="11"/>
  <c r="B51" i="11"/>
  <c r="A51" i="11"/>
  <c r="S46" i="11"/>
  <c r="Q46" i="11"/>
  <c r="M46" i="11"/>
  <c r="K46" i="11"/>
  <c r="I46" i="11"/>
  <c r="H46" i="11"/>
  <c r="G46" i="11"/>
  <c r="F46" i="11"/>
  <c r="D46" i="11"/>
  <c r="B46" i="11"/>
  <c r="A46" i="11"/>
  <c r="S43" i="11"/>
  <c r="O43" i="11"/>
  <c r="M43" i="11"/>
  <c r="K43" i="11"/>
  <c r="D43" i="11"/>
  <c r="S42" i="11"/>
  <c r="O42" i="11"/>
  <c r="M42" i="11"/>
  <c r="K42" i="11"/>
  <c r="D42" i="11"/>
  <c r="W41" i="11"/>
  <c r="S41" i="11"/>
  <c r="Q41" i="11"/>
  <c r="O41" i="11"/>
  <c r="M41" i="11"/>
  <c r="K41" i="11"/>
  <c r="I41" i="11"/>
  <c r="H41" i="11"/>
  <c r="G41" i="11"/>
  <c r="F41" i="11"/>
  <c r="D41" i="11"/>
  <c r="B41" i="11"/>
  <c r="A41" i="11"/>
  <c r="S40" i="11"/>
  <c r="O40" i="11"/>
  <c r="M40" i="11"/>
  <c r="K40" i="11"/>
  <c r="D40" i="11"/>
  <c r="S39" i="11"/>
  <c r="O39" i="11"/>
  <c r="M39" i="11"/>
  <c r="K39" i="11"/>
  <c r="D39" i="11"/>
  <c r="W38" i="11"/>
  <c r="S38" i="11"/>
  <c r="Q38" i="11"/>
  <c r="O38" i="11"/>
  <c r="M38" i="11"/>
  <c r="K38" i="11"/>
  <c r="I38" i="11"/>
  <c r="H38" i="11"/>
  <c r="G38" i="11"/>
  <c r="F38" i="11"/>
  <c r="D38" i="11"/>
  <c r="B38" i="11"/>
  <c r="A38" i="11"/>
  <c r="S37" i="11"/>
  <c r="O37" i="11"/>
  <c r="M37" i="11"/>
  <c r="K37" i="11"/>
  <c r="D37" i="11"/>
  <c r="S36" i="11"/>
  <c r="O36" i="11"/>
  <c r="M36" i="11"/>
  <c r="K36" i="11"/>
  <c r="D36" i="11"/>
  <c r="W35" i="11"/>
  <c r="S35" i="11"/>
  <c r="Q35" i="11"/>
  <c r="O35" i="11"/>
  <c r="M35" i="11"/>
  <c r="K35" i="11"/>
  <c r="I35" i="11"/>
  <c r="H35" i="11"/>
  <c r="G35" i="11"/>
  <c r="F35" i="11"/>
  <c r="D35" i="11"/>
  <c r="B35" i="11"/>
  <c r="A35" i="11"/>
  <c r="S28" i="11"/>
  <c r="O28" i="11"/>
  <c r="M28" i="11"/>
  <c r="K28" i="11"/>
  <c r="D28" i="11"/>
  <c r="S27" i="11"/>
  <c r="O27" i="11"/>
  <c r="M27" i="11"/>
  <c r="K27" i="11"/>
  <c r="D27" i="11"/>
  <c r="W26" i="11"/>
  <c r="S26" i="11"/>
  <c r="Q26" i="11"/>
  <c r="O26" i="11"/>
  <c r="M26" i="11"/>
  <c r="K26" i="11"/>
  <c r="I26" i="11"/>
  <c r="H26" i="11"/>
  <c r="G26" i="11"/>
  <c r="F26" i="11"/>
  <c r="D26" i="11"/>
  <c r="B26" i="11"/>
  <c r="A26" i="11"/>
  <c r="S23" i="11"/>
  <c r="O23" i="11"/>
  <c r="M23" i="11"/>
  <c r="K23" i="11"/>
  <c r="D23" i="11"/>
  <c r="S22" i="11"/>
  <c r="O22" i="11"/>
  <c r="M22" i="11"/>
  <c r="K22" i="11"/>
  <c r="D22" i="11"/>
  <c r="W21" i="11"/>
  <c r="S21" i="11"/>
  <c r="Q21" i="11"/>
  <c r="O21" i="11"/>
  <c r="M21" i="11"/>
  <c r="K21" i="11"/>
  <c r="I21" i="11"/>
  <c r="H21" i="11"/>
  <c r="G21" i="11"/>
  <c r="F21" i="11"/>
  <c r="D21" i="11"/>
  <c r="B21" i="11"/>
  <c r="A21" i="11"/>
  <c r="S18" i="11"/>
  <c r="O18" i="11"/>
  <c r="M18" i="11"/>
  <c r="K18" i="11"/>
  <c r="D18" i="11"/>
  <c r="S17" i="11"/>
  <c r="O17" i="11"/>
  <c r="M17" i="11"/>
  <c r="K17" i="11"/>
  <c r="D17" i="11"/>
  <c r="W16" i="11"/>
  <c r="S16" i="11"/>
  <c r="Q16" i="11"/>
  <c r="O16" i="11"/>
  <c r="M16" i="11"/>
  <c r="K16" i="11"/>
  <c r="I16" i="11"/>
  <c r="H16" i="11"/>
  <c r="G16" i="11"/>
  <c r="F16" i="11"/>
  <c r="D16" i="11"/>
  <c r="B16" i="11"/>
  <c r="A16" i="11"/>
  <c r="S13" i="11"/>
  <c r="O13" i="11"/>
  <c r="M13" i="11"/>
  <c r="K13" i="11"/>
  <c r="D13" i="11"/>
  <c r="O12" i="11"/>
  <c r="M12" i="11"/>
  <c r="K12" i="11"/>
  <c r="D12" i="11"/>
  <c r="W11" i="11"/>
  <c r="S11" i="11"/>
  <c r="Q11" i="11"/>
  <c r="O11" i="11"/>
  <c r="M11" i="11"/>
  <c r="K11" i="11"/>
  <c r="I11" i="11"/>
  <c r="H11" i="11"/>
  <c r="G11" i="11"/>
  <c r="F11" i="11"/>
  <c r="D11" i="11"/>
  <c r="B11" i="11"/>
  <c r="A11" i="11"/>
  <c r="W5" i="11"/>
  <c r="T5" i="11"/>
  <c r="G5" i="11"/>
  <c r="D5" i="11"/>
  <c r="C5" i="11"/>
  <c r="A5" i="11"/>
  <c r="W4" i="11"/>
  <c r="T4" i="11"/>
  <c r="W3" i="11"/>
  <c r="T3" i="11"/>
  <c r="H3" i="11"/>
  <c r="W2" i="11"/>
  <c r="T2" i="11"/>
  <c r="W1" i="11"/>
  <c r="T1" i="11"/>
  <c r="H1" i="11"/>
  <c r="M145" i="10"/>
  <c r="K145" i="10"/>
  <c r="M144" i="10"/>
  <c r="K144" i="10"/>
  <c r="H144" i="10"/>
  <c r="G144" i="10"/>
  <c r="G125" i="10"/>
  <c r="N120" i="10"/>
  <c r="J120" i="10"/>
  <c r="T109" i="10"/>
  <c r="D109" i="10"/>
  <c r="G89" i="10"/>
  <c r="G86" i="10"/>
  <c r="N81" i="10"/>
  <c r="J81" i="10"/>
  <c r="S75" i="10"/>
  <c r="S113" i="10" s="1"/>
  <c r="G128" i="10" s="1"/>
  <c r="P69" i="10"/>
  <c r="T64" i="10"/>
  <c r="J64" i="10"/>
  <c r="J109" i="10" s="1"/>
  <c r="D64" i="10"/>
  <c r="J63" i="10"/>
  <c r="J108" i="10" s="1"/>
  <c r="J54" i="10"/>
  <c r="L99" i="10" s="1"/>
  <c r="I144" i="10" s="1"/>
  <c r="O53" i="10"/>
  <c r="O98" i="10" s="1"/>
  <c r="R109" i="10" s="1"/>
  <c r="L53" i="10"/>
  <c r="L98" i="10" s="1"/>
  <c r="J53" i="10"/>
  <c r="J98" i="10" s="1"/>
  <c r="D145" i="10" s="1"/>
  <c r="H53" i="10"/>
  <c r="H98" i="10" s="1"/>
  <c r="D144" i="10" s="1"/>
  <c r="B51" i="10"/>
  <c r="B96" i="10" s="1"/>
  <c r="H50" i="10"/>
  <c r="H95" i="10" s="1"/>
  <c r="D50" i="10"/>
  <c r="D95" i="10" s="1"/>
  <c r="B144" i="10" s="1"/>
  <c r="B50" i="10"/>
  <c r="B95" i="10" s="1"/>
  <c r="A144" i="10" s="1"/>
  <c r="G46" i="10"/>
  <c r="G43" i="10"/>
  <c r="N38" i="10"/>
  <c r="J38" i="10"/>
  <c r="P28" i="10"/>
  <c r="P26" i="10"/>
  <c r="P25" i="10"/>
  <c r="T21" i="10"/>
  <c r="R21" i="10"/>
  <c r="P21" i="10"/>
  <c r="D21" i="10"/>
  <c r="D20" i="10"/>
  <c r="D63" i="10" s="1"/>
  <c r="D108" i="10" s="1"/>
  <c r="J19" i="10"/>
  <c r="J62" i="10" s="1"/>
  <c r="J107" i="10" s="1"/>
  <c r="D19" i="10"/>
  <c r="D62" i="10" s="1"/>
  <c r="D107" i="10" s="1"/>
  <c r="J18" i="10"/>
  <c r="J61" i="10" s="1"/>
  <c r="J106" i="10" s="1"/>
  <c r="D18" i="10"/>
  <c r="D61" i="10" s="1"/>
  <c r="D106" i="10" s="1"/>
  <c r="R5" i="10"/>
  <c r="O5" i="10"/>
  <c r="G5" i="10"/>
  <c r="D5" i="10"/>
  <c r="C5" i="10"/>
  <c r="A5" i="10"/>
  <c r="R4" i="10"/>
  <c r="O4" i="10"/>
  <c r="R3" i="10"/>
  <c r="O3" i="10"/>
  <c r="H3" i="10"/>
  <c r="R2" i="10"/>
  <c r="O2" i="10"/>
  <c r="H2" i="10"/>
  <c r="R1" i="10"/>
  <c r="O1" i="10"/>
  <c r="H1" i="10"/>
  <c r="M145" i="9"/>
  <c r="K145" i="9"/>
  <c r="Q144" i="9"/>
  <c r="M144" i="9"/>
  <c r="K144" i="9"/>
  <c r="H144" i="9"/>
  <c r="G144" i="9"/>
  <c r="G125" i="9"/>
  <c r="N120" i="9"/>
  <c r="J120" i="9"/>
  <c r="T109" i="9"/>
  <c r="D109" i="9"/>
  <c r="G89" i="9"/>
  <c r="G86" i="9"/>
  <c r="N81" i="9"/>
  <c r="J81" i="9"/>
  <c r="S75" i="9"/>
  <c r="S113" i="9" s="1"/>
  <c r="G128" i="9" s="1"/>
  <c r="P69" i="9"/>
  <c r="T64" i="9"/>
  <c r="J64" i="9"/>
  <c r="J109" i="9" s="1"/>
  <c r="D64" i="9"/>
  <c r="J63" i="9"/>
  <c r="J108" i="9" s="1"/>
  <c r="J62" i="9"/>
  <c r="J107" i="9" s="1"/>
  <c r="J54" i="9"/>
  <c r="L99" i="9" s="1"/>
  <c r="I144" i="9" s="1"/>
  <c r="O53" i="9"/>
  <c r="P71" i="9" s="1"/>
  <c r="L53" i="9"/>
  <c r="L98" i="9" s="1"/>
  <c r="J53" i="9"/>
  <c r="P68" i="9" s="1"/>
  <c r="H53" i="9"/>
  <c r="H98" i="9" s="1"/>
  <c r="D144" i="9" s="1"/>
  <c r="B51" i="9"/>
  <c r="B96" i="9" s="1"/>
  <c r="H50" i="9"/>
  <c r="H95" i="9" s="1"/>
  <c r="D50" i="9"/>
  <c r="D95" i="9" s="1"/>
  <c r="B144" i="9" s="1"/>
  <c r="B50" i="9"/>
  <c r="B95" i="9" s="1"/>
  <c r="A144" i="9" s="1"/>
  <c r="G46" i="9"/>
  <c r="G43" i="9"/>
  <c r="N38" i="9"/>
  <c r="J38" i="9"/>
  <c r="P28" i="9"/>
  <c r="P26" i="9"/>
  <c r="P25" i="9"/>
  <c r="T21" i="9"/>
  <c r="R21" i="9"/>
  <c r="P21" i="9"/>
  <c r="D21" i="9"/>
  <c r="D20" i="9"/>
  <c r="D63" i="9" s="1"/>
  <c r="D108" i="9" s="1"/>
  <c r="D19" i="9"/>
  <c r="D62" i="9" s="1"/>
  <c r="D107" i="9" s="1"/>
  <c r="J18" i="9"/>
  <c r="D18" i="9"/>
  <c r="D61" i="9" s="1"/>
  <c r="D106" i="9" s="1"/>
  <c r="R5" i="9"/>
  <c r="O5" i="9"/>
  <c r="G5" i="9"/>
  <c r="D5" i="9"/>
  <c r="C5" i="9"/>
  <c r="A5" i="9"/>
  <c r="R4" i="9"/>
  <c r="O4" i="9"/>
  <c r="R3" i="9"/>
  <c r="O3" i="9"/>
  <c r="H3" i="9"/>
  <c r="R2" i="9"/>
  <c r="O2" i="9"/>
  <c r="H2" i="9"/>
  <c r="R1" i="9"/>
  <c r="O1" i="9"/>
  <c r="H1" i="9"/>
  <c r="M139" i="8"/>
  <c r="K139" i="8"/>
  <c r="Q138" i="8"/>
  <c r="M138" i="8"/>
  <c r="K138" i="8"/>
  <c r="H138" i="8"/>
  <c r="G138" i="8"/>
  <c r="S111" i="8"/>
  <c r="K118" i="8" s="1"/>
  <c r="T102" i="8"/>
  <c r="S71" i="8"/>
  <c r="K78" i="8" s="1"/>
  <c r="S65" i="8"/>
  <c r="G74" i="8" s="1"/>
  <c r="T62" i="8"/>
  <c r="K52" i="8"/>
  <c r="S70" i="8" s="1"/>
  <c r="G78" i="8" s="1"/>
  <c r="J52" i="8"/>
  <c r="L93" i="8" s="1"/>
  <c r="I138" i="8" s="1"/>
  <c r="T51" i="8"/>
  <c r="D61" i="8" s="1"/>
  <c r="O51" i="8"/>
  <c r="S69" i="8" s="1"/>
  <c r="L51" i="8"/>
  <c r="L92" i="8" s="1"/>
  <c r="J51" i="8"/>
  <c r="S66" i="8" s="1"/>
  <c r="J74" i="8" s="1"/>
  <c r="H51" i="8"/>
  <c r="H92" i="8" s="1"/>
  <c r="D138" i="8" s="1"/>
  <c r="T50" i="8"/>
  <c r="D60" i="8" s="1"/>
  <c r="T49" i="8"/>
  <c r="D59" i="8" s="1"/>
  <c r="B49" i="8"/>
  <c r="B90" i="8" s="1"/>
  <c r="T48" i="8"/>
  <c r="T89" i="8" s="1"/>
  <c r="D99" i="8" s="1"/>
  <c r="H48" i="8"/>
  <c r="H89" i="8" s="1"/>
  <c r="D48" i="8"/>
  <c r="D89" i="8" s="1"/>
  <c r="B138" i="8" s="1"/>
  <c r="B48" i="8"/>
  <c r="B89" i="8" s="1"/>
  <c r="A138" i="8" s="1"/>
  <c r="G33" i="8"/>
  <c r="S30" i="8"/>
  <c r="K37" i="8" s="1"/>
  <c r="S29" i="8"/>
  <c r="G37" i="8" s="1"/>
  <c r="S28" i="8"/>
  <c r="S25" i="8"/>
  <c r="J33" i="8" s="1"/>
  <c r="T21" i="8"/>
  <c r="R21" i="8"/>
  <c r="P21" i="8"/>
  <c r="J20" i="8"/>
  <c r="J19" i="8"/>
  <c r="J60" i="8" s="1"/>
  <c r="J101" i="8" s="1"/>
  <c r="D19" i="8"/>
  <c r="J18" i="8"/>
  <c r="J59" i="8" s="1"/>
  <c r="J100" i="8" s="1"/>
  <c r="D18" i="8"/>
  <c r="J17" i="8"/>
  <c r="J58" i="8" s="1"/>
  <c r="D17" i="8"/>
  <c r="R5" i="8"/>
  <c r="O5" i="8"/>
  <c r="G5" i="8"/>
  <c r="D5" i="8"/>
  <c r="C5" i="8"/>
  <c r="A5" i="8"/>
  <c r="R4" i="8"/>
  <c r="O4" i="8"/>
  <c r="R3" i="8"/>
  <c r="O3" i="8"/>
  <c r="H3" i="8"/>
  <c r="R2" i="8"/>
  <c r="O2" i="8"/>
  <c r="H2" i="8"/>
  <c r="R1" i="8"/>
  <c r="O1" i="8"/>
  <c r="H1" i="8"/>
  <c r="B573" i="7"/>
  <c r="A573" i="7"/>
  <c r="B572" i="7"/>
  <c r="T571" i="7"/>
  <c r="S571" i="7"/>
  <c r="R571" i="7"/>
  <c r="Q571" i="7"/>
  <c r="P571" i="7"/>
  <c r="O571" i="7"/>
  <c r="N571" i="7"/>
  <c r="M571" i="7"/>
  <c r="L571" i="7"/>
  <c r="I571" i="7"/>
  <c r="H571" i="7"/>
  <c r="E546" i="7"/>
  <c r="S529" i="7"/>
  <c r="J540" i="7" s="1"/>
  <c r="E458" i="7"/>
  <c r="S441" i="7"/>
  <c r="J452" i="7" s="1"/>
  <c r="J404" i="7"/>
  <c r="J492" i="7" s="1"/>
  <c r="J403" i="7"/>
  <c r="J491" i="7" s="1"/>
  <c r="J395" i="7"/>
  <c r="J571" i="7" s="1"/>
  <c r="O394" i="7"/>
  <c r="Q410" i="7" s="1"/>
  <c r="L394" i="7"/>
  <c r="L482" i="7" s="1"/>
  <c r="J394" i="7"/>
  <c r="S440" i="7" s="1"/>
  <c r="H394" i="7"/>
  <c r="D571" i="7" s="1"/>
  <c r="T393" i="7"/>
  <c r="D404" i="7" s="1"/>
  <c r="T392" i="7"/>
  <c r="D403" i="7" s="1"/>
  <c r="B392" i="7"/>
  <c r="B480" i="7" s="1"/>
  <c r="D391" i="7"/>
  <c r="D479" i="7" s="1"/>
  <c r="C571" i="7" s="1"/>
  <c r="B391" i="7"/>
  <c r="B479" i="7" s="1"/>
  <c r="A571" i="7" s="1"/>
  <c r="E370" i="7"/>
  <c r="S353" i="7"/>
  <c r="J364" i="7" s="1"/>
  <c r="S352" i="7"/>
  <c r="O334" i="7"/>
  <c r="O417" i="7" s="1"/>
  <c r="S327" i="7"/>
  <c r="Q327" i="7"/>
  <c r="D321" i="7"/>
  <c r="D320" i="7"/>
  <c r="H306" i="7"/>
  <c r="A304" i="7"/>
  <c r="A302" i="7"/>
  <c r="D266" i="7"/>
  <c r="O265" i="7"/>
  <c r="M265" i="7"/>
  <c r="K265" i="7"/>
  <c r="D265" i="7"/>
  <c r="Q264" i="7"/>
  <c r="O264" i="7"/>
  <c r="M264" i="7"/>
  <c r="K264" i="7"/>
  <c r="I264" i="7"/>
  <c r="H264" i="7"/>
  <c r="G264" i="7"/>
  <c r="F264" i="7"/>
  <c r="D264" i="7"/>
  <c r="B264" i="7"/>
  <c r="A264" i="7"/>
  <c r="E238" i="7"/>
  <c r="S221" i="7"/>
  <c r="J232" i="7" s="1"/>
  <c r="E153" i="7"/>
  <c r="S136" i="7"/>
  <c r="J147" i="7" s="1"/>
  <c r="O115" i="7"/>
  <c r="Q118" i="7" s="1"/>
  <c r="O114" i="7"/>
  <c r="O333" i="7" s="1"/>
  <c r="O416" i="7" s="1"/>
  <c r="O504" i="7" s="1"/>
  <c r="O113" i="7"/>
  <c r="O195" i="7" s="1"/>
  <c r="J102" i="7"/>
  <c r="J184" i="7" s="1"/>
  <c r="J101" i="7"/>
  <c r="J183" i="7" s="1"/>
  <c r="J93" i="7"/>
  <c r="L175" i="7" s="1"/>
  <c r="O92" i="7"/>
  <c r="O174" i="7" s="1"/>
  <c r="L92" i="7"/>
  <c r="L174" i="7" s="1"/>
  <c r="S220" i="7" s="1"/>
  <c r="J92" i="7"/>
  <c r="J174" i="7" s="1"/>
  <c r="H92" i="7"/>
  <c r="H174" i="7" s="1"/>
  <c r="T91" i="7"/>
  <c r="T173" i="7" s="1"/>
  <c r="D184" i="7" s="1"/>
  <c r="T90" i="7"/>
  <c r="D101" i="7" s="1"/>
  <c r="B90" i="7"/>
  <c r="B172" i="7" s="1"/>
  <c r="T89" i="7"/>
  <c r="D100" i="7" s="1"/>
  <c r="H89" i="7"/>
  <c r="H171" i="7" s="1"/>
  <c r="H308" i="7" s="1"/>
  <c r="H391" i="7" s="1"/>
  <c r="H479" i="7" s="1"/>
  <c r="D89" i="7"/>
  <c r="D171" i="7" s="1"/>
  <c r="B89" i="7"/>
  <c r="B171" i="7" s="1"/>
  <c r="E71" i="7"/>
  <c r="S58" i="7"/>
  <c r="S357" i="7" s="1"/>
  <c r="S445" i="7" s="1"/>
  <c r="S533" i="7" s="1"/>
  <c r="S54" i="7"/>
  <c r="J65" i="7" s="1"/>
  <c r="S53" i="7"/>
  <c r="J37" i="7"/>
  <c r="O42" i="7" s="1"/>
  <c r="O43" i="7" s="1"/>
  <c r="S57" i="7" s="1"/>
  <c r="F65" i="7" s="1"/>
  <c r="Q36" i="7"/>
  <c r="J36" i="7"/>
  <c r="S26" i="7"/>
  <c r="Q26" i="7"/>
  <c r="D20" i="7"/>
  <c r="D19" i="7"/>
  <c r="J18" i="7"/>
  <c r="J100" i="7" s="1"/>
  <c r="D108" i="7" s="1"/>
  <c r="D18" i="7"/>
  <c r="R5" i="7"/>
  <c r="R306" i="7" s="1"/>
  <c r="O5" i="7"/>
  <c r="O306" i="7" s="1"/>
  <c r="G5" i="7"/>
  <c r="G306" i="7" s="1"/>
  <c r="D5" i="7"/>
  <c r="D306" i="7" s="1"/>
  <c r="C5" i="7"/>
  <c r="C306" i="7" s="1"/>
  <c r="A5" i="7"/>
  <c r="A306" i="7" s="1"/>
  <c r="R4" i="7"/>
  <c r="R305" i="7" s="1"/>
  <c r="O4" i="7"/>
  <c r="O305" i="7" s="1"/>
  <c r="R3" i="7"/>
  <c r="R304" i="7" s="1"/>
  <c r="O3" i="7"/>
  <c r="O304" i="7" s="1"/>
  <c r="H3" i="7"/>
  <c r="H304" i="7" s="1"/>
  <c r="R2" i="7"/>
  <c r="R303" i="7" s="1"/>
  <c r="O2" i="7"/>
  <c r="O303" i="7" s="1"/>
  <c r="H2" i="7"/>
  <c r="H303" i="7" s="1"/>
  <c r="R1" i="7"/>
  <c r="R302" i="7" s="1"/>
  <c r="O1" i="7"/>
  <c r="O302" i="7" s="1"/>
  <c r="H1" i="7"/>
  <c r="H302" i="7" s="1"/>
  <c r="B855" i="6"/>
  <c r="A855" i="6"/>
  <c r="B854" i="6"/>
  <c r="T853" i="6"/>
  <c r="S853" i="6"/>
  <c r="R853" i="6"/>
  <c r="Q853" i="6"/>
  <c r="P853" i="6"/>
  <c r="O853" i="6"/>
  <c r="N853" i="6"/>
  <c r="M853" i="6"/>
  <c r="L853" i="6"/>
  <c r="I853" i="6"/>
  <c r="H853" i="6"/>
  <c r="E815" i="6"/>
  <c r="T811" i="6"/>
  <c r="R784" i="6"/>
  <c r="M788" i="6" s="1"/>
  <c r="E683" i="6"/>
  <c r="T679" i="6"/>
  <c r="R652" i="6"/>
  <c r="M656" i="6" s="1"/>
  <c r="M641" i="6"/>
  <c r="J598" i="6"/>
  <c r="J730" i="6" s="1"/>
  <c r="J597" i="6"/>
  <c r="J729" i="6" s="1"/>
  <c r="J589" i="6"/>
  <c r="L721" i="6" s="1"/>
  <c r="O588" i="6"/>
  <c r="O720" i="6" s="1"/>
  <c r="L588" i="6"/>
  <c r="L720" i="6" s="1"/>
  <c r="J588" i="6"/>
  <c r="J720" i="6" s="1"/>
  <c r="H588" i="6"/>
  <c r="H720" i="6" s="1"/>
  <c r="T587" i="6"/>
  <c r="D598" i="6" s="1"/>
  <c r="T586" i="6"/>
  <c r="T718" i="6" s="1"/>
  <c r="D729" i="6" s="1"/>
  <c r="B586" i="6"/>
  <c r="B718" i="6" s="1"/>
  <c r="D585" i="6"/>
  <c r="D717" i="6" s="1"/>
  <c r="C853" i="6" s="1"/>
  <c r="B585" i="6"/>
  <c r="B717" i="6" s="1"/>
  <c r="A853" i="6" s="1"/>
  <c r="E551" i="6"/>
  <c r="T547" i="6"/>
  <c r="H537" i="6"/>
  <c r="R520" i="6"/>
  <c r="M524" i="6" s="1"/>
  <c r="R519" i="6"/>
  <c r="S530" i="6" s="1"/>
  <c r="R518" i="6"/>
  <c r="I534" i="6" s="1"/>
  <c r="R516" i="6"/>
  <c r="F534" i="6" s="1"/>
  <c r="R512" i="6"/>
  <c r="I530" i="6" s="1"/>
  <c r="P478" i="6"/>
  <c r="Q481" i="6" s="1"/>
  <c r="T472" i="6"/>
  <c r="R472" i="6"/>
  <c r="D471" i="6"/>
  <c r="D470" i="6"/>
  <c r="H456" i="6"/>
  <c r="A454" i="6"/>
  <c r="A452" i="6"/>
  <c r="O420" i="6"/>
  <c r="O77" i="11" s="1"/>
  <c r="M420" i="6"/>
  <c r="M77" i="11" s="1"/>
  <c r="K420" i="6"/>
  <c r="K77" i="11" s="1"/>
  <c r="D420" i="6"/>
  <c r="D419" i="6"/>
  <c r="O418" i="6"/>
  <c r="M418" i="6"/>
  <c r="K418" i="6"/>
  <c r="I418" i="6"/>
  <c r="H418" i="6"/>
  <c r="G418" i="6"/>
  <c r="F418" i="6"/>
  <c r="D418" i="6"/>
  <c r="B418" i="6"/>
  <c r="B75" i="11" s="1"/>
  <c r="A418" i="6"/>
  <c r="E379" i="6"/>
  <c r="T375" i="6"/>
  <c r="R348" i="6"/>
  <c r="M362" i="6" s="1"/>
  <c r="L285" i="6"/>
  <c r="E250" i="6"/>
  <c r="T246" i="6"/>
  <c r="R208" i="6"/>
  <c r="M217" i="6" s="1"/>
  <c r="M197" i="6"/>
  <c r="P163" i="6"/>
  <c r="P301" i="6" s="1"/>
  <c r="Q304" i="6" s="1"/>
  <c r="P162" i="6"/>
  <c r="P300" i="6" s="1"/>
  <c r="P161" i="6"/>
  <c r="P299" i="6" s="1"/>
  <c r="J156" i="6"/>
  <c r="J294" i="6" s="1"/>
  <c r="J155" i="6"/>
  <c r="J293" i="6" s="1"/>
  <c r="O146" i="6"/>
  <c r="O284" i="6" s="1"/>
  <c r="L146" i="6"/>
  <c r="L284" i="6" s="1"/>
  <c r="R340" i="6" s="1"/>
  <c r="J146" i="6"/>
  <c r="J284" i="6" s="1"/>
  <c r="H146" i="6"/>
  <c r="H284" i="6" s="1"/>
  <c r="T145" i="6"/>
  <c r="T283" i="6" s="1"/>
  <c r="D294" i="6" s="1"/>
  <c r="T144" i="6"/>
  <c r="D155" i="6" s="1"/>
  <c r="B144" i="6"/>
  <c r="B282" i="6" s="1"/>
  <c r="T143" i="6"/>
  <c r="T458" i="6" s="1"/>
  <c r="H143" i="6"/>
  <c r="H281" i="6" s="1"/>
  <c r="H458" i="6" s="1"/>
  <c r="H585" i="6" s="1"/>
  <c r="H717" i="6" s="1"/>
  <c r="D143" i="6"/>
  <c r="D281" i="6" s="1"/>
  <c r="B143" i="6"/>
  <c r="B281" i="6" s="1"/>
  <c r="E110" i="6"/>
  <c r="T106" i="6"/>
  <c r="H98" i="6"/>
  <c r="R70" i="6"/>
  <c r="M79" i="6" s="1"/>
  <c r="R69" i="6"/>
  <c r="R207" i="6" s="1"/>
  <c r="R68" i="6"/>
  <c r="I79" i="6" s="1"/>
  <c r="R66" i="6"/>
  <c r="R204" i="6" s="1"/>
  <c r="R62" i="6"/>
  <c r="I80" i="6" s="1"/>
  <c r="J31" i="6"/>
  <c r="Q30" i="6"/>
  <c r="J30" i="6"/>
  <c r="T21" i="6"/>
  <c r="R21" i="6"/>
  <c r="D20" i="6"/>
  <c r="D19" i="6"/>
  <c r="R72" i="6"/>
  <c r="Q79" i="6" s="1"/>
  <c r="D18" i="6"/>
  <c r="R5" i="6"/>
  <c r="R456" i="6" s="1"/>
  <c r="O5" i="6"/>
  <c r="O456" i="6" s="1"/>
  <c r="G5" i="6"/>
  <c r="G456" i="6" s="1"/>
  <c r="D5" i="6"/>
  <c r="D456" i="6" s="1"/>
  <c r="C5" i="6"/>
  <c r="C456" i="6" s="1"/>
  <c r="A5" i="6"/>
  <c r="A456" i="6" s="1"/>
  <c r="R4" i="6"/>
  <c r="R455" i="6" s="1"/>
  <c r="O4" i="6"/>
  <c r="O455" i="6" s="1"/>
  <c r="R3" i="6"/>
  <c r="R454" i="6" s="1"/>
  <c r="O3" i="6"/>
  <c r="O454" i="6" s="1"/>
  <c r="H3" i="6"/>
  <c r="H454" i="6" s="1"/>
  <c r="R2" i="6"/>
  <c r="R453" i="6" s="1"/>
  <c r="O2" i="6"/>
  <c r="O453" i="6" s="1"/>
  <c r="H2" i="6"/>
  <c r="H453" i="6" s="1"/>
  <c r="R1" i="6"/>
  <c r="R452" i="6" s="1"/>
  <c r="O1" i="6"/>
  <c r="O452" i="6" s="1"/>
  <c r="H1" i="6"/>
  <c r="H452" i="6" s="1"/>
  <c r="AC93" i="4"/>
  <c r="AB93" i="4"/>
  <c r="AB48" i="4"/>
  <c r="S33" i="4"/>
  <c r="S34" i="4" s="1"/>
  <c r="X15" i="4"/>
  <c r="S16" i="4"/>
  <c r="S21" i="4" s="1"/>
  <c r="S22" i="4" s="1"/>
  <c r="R5" i="3"/>
  <c r="O5" i="3"/>
  <c r="G5" i="3"/>
  <c r="D5" i="3"/>
  <c r="C5" i="3"/>
  <c r="A5" i="3"/>
  <c r="R4" i="3"/>
  <c r="O4" i="3"/>
  <c r="R3" i="3"/>
  <c r="O3" i="3"/>
  <c r="H3" i="3"/>
  <c r="R2" i="3"/>
  <c r="O2" i="3"/>
  <c r="H2" i="3"/>
  <c r="R1" i="3"/>
  <c r="O1" i="3"/>
  <c r="H1" i="3"/>
  <c r="R5" i="2"/>
  <c r="O5" i="2"/>
  <c r="G5" i="2"/>
  <c r="D5" i="2"/>
  <c r="C5" i="2"/>
  <c r="A5" i="2"/>
  <c r="R4" i="2"/>
  <c r="O4" i="2"/>
  <c r="R3" i="2"/>
  <c r="O3" i="2"/>
  <c r="H3" i="2"/>
  <c r="R2" i="2"/>
  <c r="O2" i="2"/>
  <c r="H2" i="2"/>
  <c r="R1" i="2"/>
  <c r="O1" i="2"/>
  <c r="H1" i="2"/>
  <c r="P36" i="1"/>
  <c r="E17" i="1"/>
  <c r="J21" i="130" l="1"/>
  <c r="J22" i="130" s="1"/>
  <c r="S27" i="130" s="1"/>
  <c r="M36" i="130" s="1"/>
  <c r="J22" i="122"/>
  <c r="J23" i="122" s="1"/>
  <c r="J21" i="117"/>
  <c r="J22" i="117" s="1"/>
  <c r="S35" i="117" s="1"/>
  <c r="O56" i="117" s="1"/>
  <c r="G57" i="117" s="1"/>
  <c r="D60" i="117" s="1"/>
  <c r="J21" i="118"/>
  <c r="J23" i="116"/>
  <c r="J24" i="116" s="1"/>
  <c r="S37" i="116" s="1"/>
  <c r="O55" i="116" s="1"/>
  <c r="G56" i="116" s="1"/>
  <c r="D59" i="116" s="1"/>
  <c r="J21" i="119"/>
  <c r="J22" i="119" s="1"/>
  <c r="O26" i="119" s="1"/>
  <c r="O27" i="119" s="1"/>
  <c r="P29" i="119" s="1"/>
  <c r="S29" i="119" s="1"/>
  <c r="T62" i="119" s="1"/>
  <c r="J22" i="124"/>
  <c r="J22" i="123"/>
  <c r="J21" i="115"/>
  <c r="J21" i="114"/>
  <c r="A138" i="11"/>
  <c r="B138" i="11"/>
  <c r="D138" i="11"/>
  <c r="I138" i="11"/>
  <c r="O125" i="11"/>
  <c r="J21" i="107"/>
  <c r="J21" i="105"/>
  <c r="J21" i="109"/>
  <c r="J21" i="91"/>
  <c r="J21" i="112"/>
  <c r="J21" i="104"/>
  <c r="J21" i="110"/>
  <c r="J21" i="92"/>
  <c r="O36" i="6"/>
  <c r="R63" i="6"/>
  <c r="S135" i="7"/>
  <c r="Q59" i="13"/>
  <c r="L95" i="118" s="1"/>
  <c r="D184" i="14"/>
  <c r="D125" i="11"/>
  <c r="K125" i="11"/>
  <c r="M125" i="11"/>
  <c r="L28" i="13"/>
  <c r="P50" i="13" s="1"/>
  <c r="J51" i="13" s="1"/>
  <c r="D124" i="11"/>
  <c r="S39" i="4"/>
  <c r="S38" i="4"/>
  <c r="J21" i="87"/>
  <c r="J22" i="88"/>
  <c r="J21" i="89"/>
  <c r="J22" i="82"/>
  <c r="J22" i="85"/>
  <c r="J21" i="84"/>
  <c r="F75" i="38"/>
  <c r="O227" i="84"/>
  <c r="E228" i="84" s="1"/>
  <c r="K242" i="84" s="1"/>
  <c r="M242" i="84"/>
  <c r="I242" i="84"/>
  <c r="H270" i="89"/>
  <c r="I482" i="89"/>
  <c r="F482" i="89"/>
  <c r="E482" i="89"/>
  <c r="I570" i="89"/>
  <c r="E570" i="89"/>
  <c r="F570" i="89"/>
  <c r="O227" i="80"/>
  <c r="E228" i="80" s="1"/>
  <c r="K242" i="80" s="1"/>
  <c r="M242" i="80"/>
  <c r="I242" i="80"/>
  <c r="O197" i="7"/>
  <c r="Q200" i="7" s="1"/>
  <c r="T480" i="7"/>
  <c r="D491" i="7" s="1"/>
  <c r="R187" i="14"/>
  <c r="O196" i="7"/>
  <c r="J119" i="7"/>
  <c r="O124" i="7" s="1"/>
  <c r="O125" i="7" s="1"/>
  <c r="S139" i="7" s="1"/>
  <c r="F147" i="7" s="1"/>
  <c r="T187" i="14"/>
  <c r="T481" i="7"/>
  <c r="D492" i="7" s="1"/>
  <c r="D102" i="7"/>
  <c r="F571" i="7"/>
  <c r="S528" i="7"/>
  <c r="D58" i="11"/>
  <c r="P22" i="16"/>
  <c r="P38" i="16" s="1"/>
  <c r="S24" i="4"/>
  <c r="J21" i="7" s="1"/>
  <c r="M59" i="11"/>
  <c r="H482" i="7"/>
  <c r="J482" i="7"/>
  <c r="M391" i="14"/>
  <c r="M68" i="13"/>
  <c r="Q38" i="13"/>
  <c r="E51" i="13" s="1"/>
  <c r="D185" i="14"/>
  <c r="E571" i="7"/>
  <c r="S109" i="38"/>
  <c r="G140" i="78"/>
  <c r="D143" i="78" s="1"/>
  <c r="F142" i="78" s="1"/>
  <c r="G232" i="78"/>
  <c r="W184" i="78" s="1"/>
  <c r="F231" i="78"/>
  <c r="R321" i="14"/>
  <c r="I350" i="14" s="1"/>
  <c r="R36" i="14"/>
  <c r="R201" i="14"/>
  <c r="I226" i="14" s="1"/>
  <c r="J296" i="14"/>
  <c r="R134" i="14"/>
  <c r="I145" i="14" s="1"/>
  <c r="D156" i="6"/>
  <c r="R599" i="6"/>
  <c r="R644" i="6"/>
  <c r="I662" i="6" s="1"/>
  <c r="R157" i="6"/>
  <c r="T599" i="6"/>
  <c r="T157" i="6"/>
  <c r="M793" i="6"/>
  <c r="M798" i="6"/>
  <c r="F853" i="6"/>
  <c r="R776" i="6"/>
  <c r="I799" i="6" s="1"/>
  <c r="F74" i="6"/>
  <c r="I74" i="6"/>
  <c r="I525" i="6"/>
  <c r="T719" i="6"/>
  <c r="D730" i="6" s="1"/>
  <c r="M534" i="6"/>
  <c r="M666" i="6"/>
  <c r="I75" i="6"/>
  <c r="R200" i="6"/>
  <c r="I218" i="6" s="1"/>
  <c r="M222" i="6"/>
  <c r="J166" i="6"/>
  <c r="Q166" i="6"/>
  <c r="J167" i="6"/>
  <c r="I529" i="6"/>
  <c r="I95" i="6"/>
  <c r="T282" i="6"/>
  <c r="D293" i="6" s="1"/>
  <c r="G853" i="6"/>
  <c r="M352" i="6"/>
  <c r="D597" i="6"/>
  <c r="D154" i="6"/>
  <c r="Q418" i="6" s="1"/>
  <c r="M357" i="6"/>
  <c r="M212" i="6"/>
  <c r="M74" i="6"/>
  <c r="K112" i="76"/>
  <c r="K113" i="76" s="1"/>
  <c r="K116" i="76" s="1"/>
  <c r="O178" i="11"/>
  <c r="D177" i="11"/>
  <c r="E51" i="38"/>
  <c r="K177" i="11"/>
  <c r="M177" i="11"/>
  <c r="O177" i="11"/>
  <c r="P103" i="38"/>
  <c r="D178" i="11"/>
  <c r="R103" i="38"/>
  <c r="K178" i="11"/>
  <c r="M178" i="11"/>
  <c r="P68" i="17"/>
  <c r="T89" i="15"/>
  <c r="D99" i="15" s="1"/>
  <c r="T91" i="15"/>
  <c r="D101" i="15" s="1"/>
  <c r="P22" i="15"/>
  <c r="S26" i="15" s="1"/>
  <c r="I37" i="15" s="1"/>
  <c r="T90" i="15"/>
  <c r="D100" i="15" s="1"/>
  <c r="J92" i="15"/>
  <c r="O92" i="15"/>
  <c r="R102" i="15" s="1"/>
  <c r="P68" i="10"/>
  <c r="P22" i="9"/>
  <c r="P38" i="9" s="1"/>
  <c r="J98" i="9"/>
  <c r="D145" i="9" s="1"/>
  <c r="P64" i="9"/>
  <c r="M93" i="8"/>
  <c r="J138" i="8" s="1"/>
  <c r="P62" i="8"/>
  <c r="S105" i="8"/>
  <c r="G114" i="8" s="1"/>
  <c r="D58" i="8"/>
  <c r="G34" i="8"/>
  <c r="G41" i="8" s="1"/>
  <c r="R62" i="8"/>
  <c r="P22" i="8"/>
  <c r="S26" i="8" s="1"/>
  <c r="I37" i="8" s="1"/>
  <c r="K63" i="40"/>
  <c r="K30" i="40"/>
  <c r="K33" i="40" s="1"/>
  <c r="K109" i="40"/>
  <c r="K112" i="40" s="1"/>
  <c r="K144" i="38"/>
  <c r="P80" i="13"/>
  <c r="R120" i="13"/>
  <c r="S80" i="6"/>
  <c r="Q535" i="6"/>
  <c r="S535" i="6"/>
  <c r="D26" i="7"/>
  <c r="J154" i="6"/>
  <c r="R210" i="6" s="1"/>
  <c r="Q222" i="6" s="1"/>
  <c r="H26" i="7"/>
  <c r="H108" i="7" s="1"/>
  <c r="H190" i="7" s="1"/>
  <c r="S140" i="7"/>
  <c r="S225" i="7" s="1"/>
  <c r="Q75" i="6"/>
  <c r="S75" i="6"/>
  <c r="I53" i="14"/>
  <c r="R83" i="14"/>
  <c r="J182" i="7"/>
  <c r="J319" i="7" s="1"/>
  <c r="D327" i="7" s="1"/>
  <c r="S525" i="6"/>
  <c r="J101" i="38"/>
  <c r="J183" i="38" s="1"/>
  <c r="Q525" i="6"/>
  <c r="Q80" i="6"/>
  <c r="S20" i="4"/>
  <c r="Q96" i="6"/>
  <c r="S96" i="6"/>
  <c r="R651" i="6"/>
  <c r="Q662" i="6" s="1"/>
  <c r="F222" i="6"/>
  <c r="R344" i="6"/>
  <c r="F362" i="6" s="1"/>
  <c r="F95" i="6"/>
  <c r="S190" i="7"/>
  <c r="Q190" i="7"/>
  <c r="A854" i="6"/>
  <c r="B853" i="6"/>
  <c r="T585" i="6"/>
  <c r="D469" i="6"/>
  <c r="J304" i="6"/>
  <c r="J305" i="6"/>
  <c r="R782" i="6"/>
  <c r="T731" i="6"/>
  <c r="R731" i="6"/>
  <c r="J99" i="8"/>
  <c r="Z21" i="4"/>
  <c r="X21" i="4"/>
  <c r="I358" i="6"/>
  <c r="M369" i="6"/>
  <c r="I363" i="6"/>
  <c r="I353" i="6"/>
  <c r="J201" i="7"/>
  <c r="O206" i="7" s="1"/>
  <c r="O207" i="7" s="1"/>
  <c r="S224" i="7" s="1"/>
  <c r="F232" i="7" s="1"/>
  <c r="J200" i="7"/>
  <c r="O505" i="7"/>
  <c r="Q508" i="7" s="1"/>
  <c r="Q420" i="7"/>
  <c r="R346" i="6"/>
  <c r="T295" i="6"/>
  <c r="R295" i="6"/>
  <c r="G75" i="8"/>
  <c r="G82" i="8" s="1"/>
  <c r="Q218" i="6"/>
  <c r="R347" i="6"/>
  <c r="S223" i="6"/>
  <c r="Q223" i="6"/>
  <c r="S213" i="6"/>
  <c r="Q213" i="6"/>
  <c r="S218" i="6"/>
  <c r="A572" i="7"/>
  <c r="B571" i="7"/>
  <c r="Q337" i="7"/>
  <c r="T90" i="8"/>
  <c r="D100" i="8" s="1"/>
  <c r="P22" i="10"/>
  <c r="I344" i="14"/>
  <c r="R365" i="14"/>
  <c r="I535" i="6"/>
  <c r="T91" i="8"/>
  <c r="D101" i="8" s="1"/>
  <c r="J61" i="8"/>
  <c r="I667" i="6"/>
  <c r="M773" i="6"/>
  <c r="S105" i="15"/>
  <c r="G114" i="15" s="1"/>
  <c r="G74" i="15"/>
  <c r="G75" i="15" s="1"/>
  <c r="G82" i="15" s="1"/>
  <c r="Q74" i="6"/>
  <c r="M95" i="6"/>
  <c r="M337" i="6"/>
  <c r="F26" i="7"/>
  <c r="F108" i="7" s="1"/>
  <c r="T171" i="7"/>
  <c r="O482" i="7"/>
  <c r="J92" i="8"/>
  <c r="J61" i="9"/>
  <c r="J106" i="9" s="1"/>
  <c r="S226" i="14"/>
  <c r="Q226" i="14"/>
  <c r="S214" i="14"/>
  <c r="Q214" i="14"/>
  <c r="R326" i="14"/>
  <c r="R246" i="14"/>
  <c r="S220" i="14"/>
  <c r="Q220" i="14"/>
  <c r="I338" i="14"/>
  <c r="L483" i="7"/>
  <c r="G571" i="7"/>
  <c r="M225" i="14"/>
  <c r="M213" i="14"/>
  <c r="R247" i="14"/>
  <c r="M219" i="14"/>
  <c r="Q95" i="6"/>
  <c r="T281" i="6"/>
  <c r="D292" i="6" s="1"/>
  <c r="M529" i="6"/>
  <c r="R648" i="6"/>
  <c r="D853" i="6"/>
  <c r="T172" i="7"/>
  <c r="D183" i="7" s="1"/>
  <c r="O92" i="8"/>
  <c r="I96" i="6"/>
  <c r="M541" i="6"/>
  <c r="R650" i="6"/>
  <c r="M661" i="6"/>
  <c r="H669" i="6"/>
  <c r="E853" i="6"/>
  <c r="Q108" i="7"/>
  <c r="P109" i="10"/>
  <c r="P110" i="10" s="1"/>
  <c r="F144" i="10"/>
  <c r="P63" i="13"/>
  <c r="R104" i="13"/>
  <c r="M673" i="6"/>
  <c r="S108" i="7"/>
  <c r="M80" i="13"/>
  <c r="O120" i="13"/>
  <c r="G34" i="15"/>
  <c r="G41" i="15" s="1"/>
  <c r="R206" i="6"/>
  <c r="H225" i="6"/>
  <c r="P476" i="6"/>
  <c r="Q530" i="6"/>
  <c r="S110" i="8"/>
  <c r="G118" i="8" s="1"/>
  <c r="S70" i="15"/>
  <c r="G78" i="15" s="1"/>
  <c r="M93" i="15"/>
  <c r="S410" i="7"/>
  <c r="P477" i="6"/>
  <c r="P604" i="6" s="1"/>
  <c r="P736" i="6" s="1"/>
  <c r="S60" i="14"/>
  <c r="Q60" i="14"/>
  <c r="S48" i="14"/>
  <c r="Q48" i="14"/>
  <c r="R80" i="14"/>
  <c r="S54" i="14"/>
  <c r="Q54" i="14"/>
  <c r="M100" i="6"/>
  <c r="I524" i="6"/>
  <c r="P605" i="6"/>
  <c r="J853" i="6"/>
  <c r="M108" i="13"/>
  <c r="M89" i="13"/>
  <c r="M129" i="13"/>
  <c r="M59" i="14"/>
  <c r="M47" i="14"/>
  <c r="M53" i="14"/>
  <c r="J304" i="14"/>
  <c r="J99" i="15"/>
  <c r="O332" i="7"/>
  <c r="T307" i="14"/>
  <c r="R307" i="14"/>
  <c r="J118" i="7"/>
  <c r="R205" i="14"/>
  <c r="R109" i="17"/>
  <c r="P109" i="17"/>
  <c r="F144" i="17"/>
  <c r="R64" i="9"/>
  <c r="P65" i="9" s="1"/>
  <c r="I54" i="14"/>
  <c r="S69" i="15"/>
  <c r="O98" i="9"/>
  <c r="P71" i="10"/>
  <c r="R79" i="14"/>
  <c r="D186" i="14"/>
  <c r="M343" i="14"/>
  <c r="I47" i="14"/>
  <c r="R64" i="17"/>
  <c r="P64" i="17"/>
  <c r="P71" i="17"/>
  <c r="J61" i="17"/>
  <c r="J106" i="17" s="1"/>
  <c r="I48" i="14"/>
  <c r="P62" i="15"/>
  <c r="P63" i="15" s="1"/>
  <c r="S67" i="15" s="1"/>
  <c r="P64" i="10"/>
  <c r="R64" i="10"/>
  <c r="M337" i="14"/>
  <c r="P22" i="17"/>
  <c r="M226" i="38"/>
  <c r="G236" i="38" s="1"/>
  <c r="T172" i="38"/>
  <c r="D183" i="38" s="1"/>
  <c r="T173" i="38"/>
  <c r="D184" i="38" s="1"/>
  <c r="T174" i="38"/>
  <c r="D185" i="38" s="1"/>
  <c r="O175" i="38"/>
  <c r="L95" i="91" l="1"/>
  <c r="O104" i="13"/>
  <c r="M63" i="13"/>
  <c r="E52" i="13"/>
  <c r="H97" i="119" s="1"/>
  <c r="K97" i="119" s="1"/>
  <c r="W85" i="11"/>
  <c r="F58" i="116"/>
  <c r="J101" i="114"/>
  <c r="J22" i="114"/>
  <c r="S34" i="114" s="1"/>
  <c r="O52" i="114" s="1"/>
  <c r="G53" i="114" s="1"/>
  <c r="D56" i="114" s="1"/>
  <c r="J187" i="118"/>
  <c r="J22" i="118"/>
  <c r="P20" i="118" s="1"/>
  <c r="P21" i="118" s="1"/>
  <c r="R42" i="118" s="1"/>
  <c r="J65" i="123"/>
  <c r="J110" i="123" s="1"/>
  <c r="J23" i="123"/>
  <c r="Q105" i="119"/>
  <c r="H106" i="119" s="1"/>
  <c r="Q115" i="119"/>
  <c r="L89" i="119"/>
  <c r="F90" i="119" s="1"/>
  <c r="G92" i="119" s="1"/>
  <c r="O97" i="117"/>
  <c r="W57" i="11" s="1"/>
  <c r="F59" i="117"/>
  <c r="J106" i="115"/>
  <c r="J22" i="115"/>
  <c r="S35" i="115" s="1"/>
  <c r="O56" i="115" s="1"/>
  <c r="G57" i="115" s="1"/>
  <c r="D60" i="115" s="1"/>
  <c r="J35" i="122"/>
  <c r="J42" i="122" s="1"/>
  <c r="R38" i="122"/>
  <c r="J39" i="122" s="1"/>
  <c r="J45" i="122" s="1"/>
  <c r="P27" i="122"/>
  <c r="J65" i="124"/>
  <c r="J110" i="124" s="1"/>
  <c r="J23" i="124"/>
  <c r="Q95" i="118"/>
  <c r="J96" i="118" s="1"/>
  <c r="L261" i="118"/>
  <c r="O37" i="6"/>
  <c r="R64" i="6" s="1"/>
  <c r="F79" i="6" s="1"/>
  <c r="J103" i="92"/>
  <c r="J22" i="92"/>
  <c r="S30" i="92" s="1"/>
  <c r="I75" i="92" s="1"/>
  <c r="D76" i="92" s="1"/>
  <c r="N79" i="92" s="1"/>
  <c r="N80" i="92" s="1"/>
  <c r="M82" i="92" s="1"/>
  <c r="W90" i="11" s="1"/>
  <c r="J102" i="110"/>
  <c r="J22" i="110"/>
  <c r="J103" i="104"/>
  <c r="J22" i="104"/>
  <c r="S30" i="104" s="1"/>
  <c r="I75" i="104" s="1"/>
  <c r="D76" i="104" s="1"/>
  <c r="N79" i="104" s="1"/>
  <c r="N80" i="104" s="1"/>
  <c r="M82" i="104" s="1"/>
  <c r="W171" i="11" s="1"/>
  <c r="J22" i="112"/>
  <c r="O26" i="112" s="1"/>
  <c r="O27" i="112" s="1"/>
  <c r="P29" i="112" s="1"/>
  <c r="S29" i="112" s="1"/>
  <c r="T63" i="112" s="1"/>
  <c r="J141" i="112"/>
  <c r="J101" i="109"/>
  <c r="J22" i="109"/>
  <c r="S27" i="109" s="1"/>
  <c r="J103" i="105"/>
  <c r="J22" i="105"/>
  <c r="S27" i="105" s="1"/>
  <c r="J101" i="107"/>
  <c r="J22" i="107"/>
  <c r="S27" i="107" s="1"/>
  <c r="Q95" i="91"/>
  <c r="J96" i="91" s="1"/>
  <c r="L214" i="91"/>
  <c r="Q47" i="13"/>
  <c r="Q48" i="13" s="1"/>
  <c r="Q46" i="13"/>
  <c r="N48" i="13" s="1"/>
  <c r="K67" i="77"/>
  <c r="K68" i="77" s="1"/>
  <c r="G83" i="77" s="1"/>
  <c r="K24" i="90"/>
  <c r="K25" i="90" s="1"/>
  <c r="G40" i="90" s="1"/>
  <c r="W211" i="11" s="1"/>
  <c r="K22" i="77"/>
  <c r="K23" i="77" s="1"/>
  <c r="G38" i="77" s="1"/>
  <c r="N35" i="90"/>
  <c r="K67" i="90"/>
  <c r="K22" i="40"/>
  <c r="J119" i="84"/>
  <c r="J22" i="84"/>
  <c r="J65" i="85"/>
  <c r="J110" i="85" s="1"/>
  <c r="J23" i="85"/>
  <c r="J65" i="82"/>
  <c r="J110" i="82" s="1"/>
  <c r="J23" i="82"/>
  <c r="J22" i="89"/>
  <c r="O26" i="89" s="1"/>
  <c r="O27" i="89" s="1"/>
  <c r="P29" i="89" s="1"/>
  <c r="S29" i="89" s="1"/>
  <c r="J117" i="89"/>
  <c r="J65" i="88"/>
  <c r="J110" i="88" s="1"/>
  <c r="J23" i="88"/>
  <c r="J119" i="87"/>
  <c r="J22" i="87"/>
  <c r="J140" i="91"/>
  <c r="J22" i="91"/>
  <c r="P20" i="91" s="1"/>
  <c r="P21" i="91" s="1"/>
  <c r="R42" i="91" s="1"/>
  <c r="H572" i="89"/>
  <c r="P104" i="38"/>
  <c r="S112" i="38" s="1"/>
  <c r="F157" i="38" s="1"/>
  <c r="H484" i="89"/>
  <c r="J21" i="80"/>
  <c r="J21" i="6"/>
  <c r="J22" i="81"/>
  <c r="I213" i="6"/>
  <c r="P63" i="8"/>
  <c r="S67" i="8" s="1"/>
  <c r="L38" i="16"/>
  <c r="I657" i="6"/>
  <c r="J21" i="14"/>
  <c r="J22" i="14" s="1"/>
  <c r="P20" i="14" s="1"/>
  <c r="P21" i="14" s="1"/>
  <c r="R42" i="14" s="1"/>
  <c r="J21" i="79"/>
  <c r="J22" i="79" s="1"/>
  <c r="P65" i="10"/>
  <c r="P81" i="10" s="1"/>
  <c r="E134" i="38"/>
  <c r="E136" i="38"/>
  <c r="E153" i="38" s="1"/>
  <c r="C157" i="38" s="1"/>
  <c r="R76" i="14"/>
  <c r="D96" i="14" s="1"/>
  <c r="G144" i="78"/>
  <c r="W96" i="78" s="1"/>
  <c r="F143" i="78"/>
  <c r="I214" i="14"/>
  <c r="I220" i="14"/>
  <c r="R241" i="14"/>
  <c r="G270" i="14" s="1"/>
  <c r="L95" i="14"/>
  <c r="Q95" i="14" s="1"/>
  <c r="F47" i="14"/>
  <c r="R202" i="14"/>
  <c r="F213" i="14" s="1"/>
  <c r="K157" i="38"/>
  <c r="N33" i="77"/>
  <c r="K63" i="76"/>
  <c r="K105" i="76"/>
  <c r="K106" i="76" s="1"/>
  <c r="G121" i="76" s="1"/>
  <c r="F120" i="76" s="1"/>
  <c r="G122" i="76" s="1"/>
  <c r="Q136" i="76" s="1"/>
  <c r="N33" i="76"/>
  <c r="K22" i="76"/>
  <c r="K23" i="76" s="1"/>
  <c r="G38" i="76" s="1"/>
  <c r="F37" i="76" s="1"/>
  <c r="G39" i="76" s="1"/>
  <c r="W13" i="76" s="1"/>
  <c r="M240" i="6"/>
  <c r="I223" i="6"/>
  <c r="R201" i="6"/>
  <c r="F212" i="6" s="1"/>
  <c r="O172" i="6"/>
  <c r="O173" i="6" s="1"/>
  <c r="I794" i="6"/>
  <c r="M805" i="6"/>
  <c r="I789" i="6"/>
  <c r="P65" i="17"/>
  <c r="P81" i="17" s="1"/>
  <c r="P110" i="17"/>
  <c r="L120" i="17" s="1"/>
  <c r="M37" i="15"/>
  <c r="F138" i="15"/>
  <c r="S109" i="15"/>
  <c r="P102" i="15"/>
  <c r="D139" i="15"/>
  <c r="S106" i="15"/>
  <c r="J114" i="15" s="1"/>
  <c r="G115" i="15" s="1"/>
  <c r="G122" i="15" s="1"/>
  <c r="P103" i="15"/>
  <c r="S107" i="15" s="1"/>
  <c r="I118" i="15" s="1"/>
  <c r="L38" i="9"/>
  <c r="M37" i="8"/>
  <c r="I78" i="8"/>
  <c r="M78" i="8"/>
  <c r="Z68" i="11"/>
  <c r="Z67" i="11"/>
  <c r="H327" i="7"/>
  <c r="H410" i="7" s="1"/>
  <c r="H498" i="7" s="1"/>
  <c r="D190" i="7"/>
  <c r="Q217" i="6"/>
  <c r="Q667" i="6"/>
  <c r="Q212" i="6"/>
  <c r="J292" i="6"/>
  <c r="R350" i="6" s="1"/>
  <c r="S667" i="6"/>
  <c r="R783" i="6"/>
  <c r="S794" i="6" s="1"/>
  <c r="S662" i="6"/>
  <c r="Q657" i="6"/>
  <c r="S657" i="6"/>
  <c r="J402" i="7"/>
  <c r="J490" i="7" s="1"/>
  <c r="D498" i="7" s="1"/>
  <c r="Q110" i="14"/>
  <c r="Q103" i="14"/>
  <c r="Q96" i="14"/>
  <c r="J481" i="6"/>
  <c r="J482" i="6"/>
  <c r="P603" i="6"/>
  <c r="M262" i="14"/>
  <c r="M269" i="14"/>
  <c r="M276" i="14"/>
  <c r="G406" i="14"/>
  <c r="G392" i="14"/>
  <c r="G399" i="14"/>
  <c r="D27" i="7"/>
  <c r="S56" i="7" s="1"/>
  <c r="N65" i="7" s="1"/>
  <c r="I217" i="6"/>
  <c r="I212" i="6"/>
  <c r="I222" i="6"/>
  <c r="F144" i="9"/>
  <c r="R109" i="9"/>
  <c r="P109" i="9"/>
  <c r="R341" i="6"/>
  <c r="F352" i="6" s="1"/>
  <c r="O310" i="6"/>
  <c r="O311" i="6" s="1"/>
  <c r="R342" i="6" s="1"/>
  <c r="F357" i="6" s="1"/>
  <c r="S358" i="6"/>
  <c r="Q358" i="6"/>
  <c r="S363" i="6"/>
  <c r="Q363" i="6"/>
  <c r="S353" i="6"/>
  <c r="Q353" i="6"/>
  <c r="N33" i="40"/>
  <c r="D139" i="8"/>
  <c r="S106" i="8"/>
  <c r="J114" i="8" s="1"/>
  <c r="G115" i="8" s="1"/>
  <c r="G122" i="8" s="1"/>
  <c r="P38" i="10"/>
  <c r="L38" i="10"/>
  <c r="L38" i="17"/>
  <c r="P38" i="17"/>
  <c r="I225" i="14"/>
  <c r="I213" i="14"/>
  <c r="R325" i="14"/>
  <c r="R245" i="14"/>
  <c r="I219" i="14"/>
  <c r="Q608" i="6"/>
  <c r="P737" i="6"/>
  <c r="Q740" i="6" s="1"/>
  <c r="S201" i="38"/>
  <c r="K206" i="38" s="1"/>
  <c r="R185" i="38"/>
  <c r="P185" i="38"/>
  <c r="G104" i="14"/>
  <c r="G111" i="14"/>
  <c r="G97" i="14"/>
  <c r="F138" i="8"/>
  <c r="S109" i="8"/>
  <c r="R102" i="8"/>
  <c r="P102" i="8"/>
  <c r="S498" i="7"/>
  <c r="Q498" i="7"/>
  <c r="D596" i="6"/>
  <c r="U853" i="6" s="1"/>
  <c r="T717" i="6"/>
  <c r="D728" i="6" s="1"/>
  <c r="K71" i="40"/>
  <c r="K72" i="40" s="1"/>
  <c r="K75" i="40" s="1"/>
  <c r="P120" i="10"/>
  <c r="L120" i="10"/>
  <c r="J116" i="10"/>
  <c r="D182" i="7"/>
  <c r="T308" i="7"/>
  <c r="H801" i="6"/>
  <c r="I788" i="6"/>
  <c r="I793" i="6"/>
  <c r="I798" i="6"/>
  <c r="X22" i="4"/>
  <c r="J337" i="7"/>
  <c r="O415" i="7"/>
  <c r="J338" i="7"/>
  <c r="O343" i="7" s="1"/>
  <c r="O344" i="7" s="1"/>
  <c r="S356" i="7" s="1"/>
  <c r="F364" i="7" s="1"/>
  <c r="M78" i="15"/>
  <c r="I78" i="15"/>
  <c r="P81" i="9"/>
  <c r="L81" i="9"/>
  <c r="F666" i="6"/>
  <c r="R780" i="6"/>
  <c r="F798" i="6" s="1"/>
  <c r="J138" i="15"/>
  <c r="S110" i="15"/>
  <c r="G118" i="15" s="1"/>
  <c r="G96" i="14"/>
  <c r="R136" i="14"/>
  <c r="I144" i="14" s="1"/>
  <c r="G103" i="14"/>
  <c r="G110" i="14"/>
  <c r="M96" i="14"/>
  <c r="R138" i="14"/>
  <c r="M103" i="14"/>
  <c r="M110" i="14"/>
  <c r="H365" i="6"/>
  <c r="I352" i="6"/>
  <c r="I357" i="6"/>
  <c r="I362" i="6"/>
  <c r="F190" i="7"/>
  <c r="F327" i="7"/>
  <c r="F410" i="7" s="1"/>
  <c r="F498" i="7" s="1"/>
  <c r="F138" i="11"/>
  <c r="Q104" i="14"/>
  <c r="S111" i="14"/>
  <c r="R137" i="14"/>
  <c r="Q111" i="14"/>
  <c r="S97" i="14"/>
  <c r="S104" i="14"/>
  <c r="Q97" i="14"/>
  <c r="Q59" i="14"/>
  <c r="Q47" i="14"/>
  <c r="Q53" i="14" s="1"/>
  <c r="R209" i="14"/>
  <c r="Q270" i="14"/>
  <c r="S277" i="14"/>
  <c r="Q277" i="14"/>
  <c r="S263" i="14"/>
  <c r="Q263" i="14"/>
  <c r="S270" i="14"/>
  <c r="I656" i="6"/>
  <c r="I666" i="6"/>
  <c r="I661" i="6"/>
  <c r="R370" i="14"/>
  <c r="S344" i="14"/>
  <c r="Q344" i="14"/>
  <c r="S350" i="14"/>
  <c r="Q338" i="14"/>
  <c r="Q350" i="14"/>
  <c r="S338" i="14"/>
  <c r="D109" i="7"/>
  <c r="S138" i="7" s="1"/>
  <c r="N147" i="7" s="1"/>
  <c r="H99" i="112" l="1"/>
  <c r="K99" i="112" s="1"/>
  <c r="R135" i="14"/>
  <c r="F144" i="14" s="1"/>
  <c r="J307" i="118"/>
  <c r="J308" i="118" s="1"/>
  <c r="P307" i="118" s="1"/>
  <c r="P308" i="118" s="1"/>
  <c r="J188" i="118"/>
  <c r="P187" i="118" s="1"/>
  <c r="P188" i="118" s="1"/>
  <c r="W123" i="11"/>
  <c r="F59" i="115"/>
  <c r="J189" i="114"/>
  <c r="J190" i="114" s="1"/>
  <c r="S203" i="114" s="1"/>
  <c r="O224" i="114" s="1"/>
  <c r="G225" i="114" s="1"/>
  <c r="D228" i="114" s="1"/>
  <c r="F227" i="114" s="1"/>
  <c r="J102" i="114"/>
  <c r="S115" i="114" s="1"/>
  <c r="O136" i="114" s="1"/>
  <c r="G137" i="114" s="1"/>
  <c r="D140" i="114" s="1"/>
  <c r="F139" i="114" s="1"/>
  <c r="F91" i="119"/>
  <c r="F92" i="119" s="1"/>
  <c r="G93" i="119" s="1"/>
  <c r="S128" i="119" s="1"/>
  <c r="S118" i="11" s="1"/>
  <c r="W118" i="11"/>
  <c r="J35" i="124"/>
  <c r="J43" i="124" s="1"/>
  <c r="P27" i="124"/>
  <c r="J66" i="124"/>
  <c r="R38" i="124"/>
  <c r="J39" i="124" s="1"/>
  <c r="J46" i="124" s="1"/>
  <c r="R38" i="123"/>
  <c r="J39" i="123" s="1"/>
  <c r="J46" i="123" s="1"/>
  <c r="P27" i="123"/>
  <c r="J35" i="123"/>
  <c r="J43" i="123" s="1"/>
  <c r="J66" i="123"/>
  <c r="O59" i="118"/>
  <c r="R208" i="118"/>
  <c r="R82" i="118"/>
  <c r="O47" i="118"/>
  <c r="D50" i="118" s="1"/>
  <c r="O53" i="118"/>
  <c r="I42" i="122"/>
  <c r="S42" i="122"/>
  <c r="W166" i="11"/>
  <c r="F55" i="114"/>
  <c r="J194" i="115"/>
  <c r="J195" i="115" s="1"/>
  <c r="S208" i="115" s="1"/>
  <c r="O229" i="115" s="1"/>
  <c r="G230" i="115" s="1"/>
  <c r="D233" i="115" s="1"/>
  <c r="F232" i="115" s="1"/>
  <c r="J107" i="115"/>
  <c r="S120" i="115" s="1"/>
  <c r="O141" i="115" s="1"/>
  <c r="G142" i="115" s="1"/>
  <c r="D145" i="115" s="1"/>
  <c r="F144" i="115" s="1"/>
  <c r="G60" i="116"/>
  <c r="F59" i="116"/>
  <c r="S45" i="122"/>
  <c r="I45" i="122"/>
  <c r="W143" i="11"/>
  <c r="G61" i="117"/>
  <c r="F60" i="117"/>
  <c r="Q261" i="118"/>
  <c r="J262" i="118" s="1"/>
  <c r="L390" i="118"/>
  <c r="Q390" i="118" s="1"/>
  <c r="J391" i="118" s="1"/>
  <c r="K42" i="107"/>
  <c r="E43" i="107" s="1"/>
  <c r="H55" i="107" s="1"/>
  <c r="M36" i="107"/>
  <c r="E37" i="107" s="1"/>
  <c r="H51" i="107" s="1"/>
  <c r="J189" i="107"/>
  <c r="J190" i="107" s="1"/>
  <c r="S195" i="107" s="1"/>
  <c r="J102" i="107"/>
  <c r="S107" i="107" s="1"/>
  <c r="K42" i="105"/>
  <c r="E43" i="105" s="1"/>
  <c r="H56" i="105" s="1"/>
  <c r="M36" i="105"/>
  <c r="E37" i="105" s="1"/>
  <c r="H52" i="105" s="1"/>
  <c r="M36" i="109"/>
  <c r="E37" i="109" s="1"/>
  <c r="H51" i="109" s="1"/>
  <c r="K42" i="109"/>
  <c r="E43" i="109" s="1"/>
  <c r="H55" i="109" s="1"/>
  <c r="J189" i="109"/>
  <c r="J190" i="109" s="1"/>
  <c r="S195" i="109" s="1"/>
  <c r="J102" i="109"/>
  <c r="S107" i="109" s="1"/>
  <c r="J264" i="112"/>
  <c r="J265" i="112" s="1"/>
  <c r="O269" i="112" s="1"/>
  <c r="O270" i="112" s="1"/>
  <c r="O272" i="112" s="1"/>
  <c r="Q272" i="112" s="1"/>
  <c r="T311" i="112" s="1"/>
  <c r="J142" i="112"/>
  <c r="O146" i="112" s="1"/>
  <c r="O147" i="112" s="1"/>
  <c r="P148" i="112" s="1"/>
  <c r="S148" i="112" s="1"/>
  <c r="T182" i="112" s="1"/>
  <c r="J191" i="105"/>
  <c r="J192" i="105" s="1"/>
  <c r="S197" i="105" s="1"/>
  <c r="J104" i="105"/>
  <c r="S109" i="105" s="1"/>
  <c r="L89" i="112"/>
  <c r="F90" i="112" s="1"/>
  <c r="G92" i="112" s="1"/>
  <c r="Q107" i="112"/>
  <c r="H108" i="112" s="1"/>
  <c r="Q116" i="112"/>
  <c r="M83" i="104"/>
  <c r="S264" i="104" s="1"/>
  <c r="S171" i="11" s="1"/>
  <c r="L81" i="104"/>
  <c r="L82" i="104"/>
  <c r="J185" i="104"/>
  <c r="J186" i="104" s="1"/>
  <c r="S199" i="104" s="1"/>
  <c r="P230" i="104" s="1"/>
  <c r="H231" i="104" s="1"/>
  <c r="J104" i="104"/>
  <c r="S112" i="104" s="1"/>
  <c r="I156" i="104" s="1"/>
  <c r="D157" i="104" s="1"/>
  <c r="N160" i="104" s="1"/>
  <c r="N161" i="104" s="1"/>
  <c r="M163" i="104" s="1"/>
  <c r="S30" i="110"/>
  <c r="I74" i="110" s="1"/>
  <c r="D75" i="110" s="1"/>
  <c r="N78" i="110" s="1"/>
  <c r="N79" i="110" s="1"/>
  <c r="M81" i="110" s="1"/>
  <c r="W133" i="11" s="1"/>
  <c r="S259" i="110"/>
  <c r="J184" i="110"/>
  <c r="J185" i="110" s="1"/>
  <c r="S198" i="110" s="1"/>
  <c r="P229" i="110" s="1"/>
  <c r="H230" i="110" s="1"/>
  <c r="J103" i="110"/>
  <c r="S111" i="110" s="1"/>
  <c r="I155" i="110" s="1"/>
  <c r="D156" i="110" s="1"/>
  <c r="N159" i="110" s="1"/>
  <c r="N160" i="110" s="1"/>
  <c r="M162" i="110" s="1"/>
  <c r="L81" i="92"/>
  <c r="M83" i="92"/>
  <c r="S264" i="92" s="1"/>
  <c r="S90" i="11" s="1"/>
  <c r="L82" i="92"/>
  <c r="J185" i="92"/>
  <c r="J186" i="92" s="1"/>
  <c r="S199" i="92" s="1"/>
  <c r="P230" i="92" s="1"/>
  <c r="H231" i="92" s="1"/>
  <c r="J104" i="92"/>
  <c r="S112" i="92" s="1"/>
  <c r="I156" i="92" s="1"/>
  <c r="D157" i="92" s="1"/>
  <c r="N160" i="92" s="1"/>
  <c r="N161" i="92" s="1"/>
  <c r="M163" i="92" s="1"/>
  <c r="L343" i="91"/>
  <c r="Q343" i="91" s="1"/>
  <c r="J344" i="91" s="1"/>
  <c r="Q214" i="91"/>
  <c r="J215" i="91" s="1"/>
  <c r="N78" i="90"/>
  <c r="K36" i="90"/>
  <c r="W205" i="11"/>
  <c r="F39" i="90"/>
  <c r="R82" i="91"/>
  <c r="O59" i="91"/>
  <c r="R161" i="91"/>
  <c r="O47" i="91"/>
  <c r="D50" i="91" s="1"/>
  <c r="O53" i="91"/>
  <c r="J260" i="91"/>
  <c r="J261" i="91" s="1"/>
  <c r="P260" i="91" s="1"/>
  <c r="P261" i="91" s="1"/>
  <c r="J141" i="91"/>
  <c r="P140" i="91" s="1"/>
  <c r="P141" i="91" s="1"/>
  <c r="J205" i="89"/>
  <c r="J118" i="89"/>
  <c r="O122" i="89" s="1"/>
  <c r="O123" i="89" s="1"/>
  <c r="P125" i="89" s="1"/>
  <c r="S125" i="89" s="1"/>
  <c r="S154" i="89" s="1"/>
  <c r="Q162" i="89" s="1"/>
  <c r="D164" i="89" s="1"/>
  <c r="R38" i="85"/>
  <c r="J35" i="85"/>
  <c r="J43" i="85" s="1"/>
  <c r="P27" i="85"/>
  <c r="J66" i="85"/>
  <c r="S34" i="87"/>
  <c r="O37" i="87" s="1"/>
  <c r="D40" i="87" s="1"/>
  <c r="S61" i="87"/>
  <c r="O64" i="87" s="1"/>
  <c r="D67" i="87" s="1"/>
  <c r="J66" i="88"/>
  <c r="J35" i="88"/>
  <c r="J43" i="88" s="1"/>
  <c r="R38" i="88"/>
  <c r="J39" i="88" s="1"/>
  <c r="P27" i="88"/>
  <c r="J35" i="82"/>
  <c r="J43" i="82" s="1"/>
  <c r="P27" i="82"/>
  <c r="J66" i="82"/>
  <c r="R38" i="82"/>
  <c r="J39" i="82" s="1"/>
  <c r="J46" i="82" s="1"/>
  <c r="S34" i="84"/>
  <c r="O37" i="84" s="1"/>
  <c r="D40" i="84" s="1"/>
  <c r="S60" i="84"/>
  <c r="O63" i="84" s="1"/>
  <c r="D66" i="84" s="1"/>
  <c r="J207" i="87"/>
  <c r="J208" i="87" s="1"/>
  <c r="S221" i="87" s="1"/>
  <c r="O242" i="87" s="1"/>
  <c r="G243" i="87" s="1"/>
  <c r="D246" i="87" s="1"/>
  <c r="F245" i="87" s="1"/>
  <c r="J120" i="87"/>
  <c r="S133" i="87" s="1"/>
  <c r="O154" i="87" s="1"/>
  <c r="G155" i="87" s="1"/>
  <c r="D158" i="87" s="1"/>
  <c r="F157" i="87" s="1"/>
  <c r="S88" i="89"/>
  <c r="M91" i="89" s="1"/>
  <c r="G93" i="89" s="1"/>
  <c r="S75" i="89"/>
  <c r="Q81" i="89" s="1"/>
  <c r="D83" i="89" s="1"/>
  <c r="S52" i="89"/>
  <c r="Q58" i="89" s="1"/>
  <c r="D60" i="89" s="1"/>
  <c r="J207" i="84"/>
  <c r="J208" i="84" s="1"/>
  <c r="S221" i="84" s="1"/>
  <c r="O242" i="84" s="1"/>
  <c r="G243" i="84" s="1"/>
  <c r="D246" i="84" s="1"/>
  <c r="F245" i="84" s="1"/>
  <c r="G247" i="84" s="1"/>
  <c r="W199" i="84" s="1"/>
  <c r="J120" i="84"/>
  <c r="S133" i="84" s="1"/>
  <c r="O154" i="84" s="1"/>
  <c r="G155" i="84" s="1"/>
  <c r="D158" i="84" s="1"/>
  <c r="F157" i="84" s="1"/>
  <c r="F37" i="77"/>
  <c r="G39" i="77" s="1"/>
  <c r="F82" i="77"/>
  <c r="G84" i="77" s="1"/>
  <c r="D191" i="7"/>
  <c r="S223" i="7" s="1"/>
  <c r="N232" i="7" s="1"/>
  <c r="J65" i="81"/>
  <c r="J110" i="81" s="1"/>
  <c r="J23" i="81"/>
  <c r="J35" i="81" s="1"/>
  <c r="J119" i="80"/>
  <c r="J22" i="80"/>
  <c r="W96" i="76"/>
  <c r="P186" i="38"/>
  <c r="S199" i="38" s="1"/>
  <c r="O206" i="38" s="1"/>
  <c r="E207" i="38" s="1"/>
  <c r="L231" i="38" s="1"/>
  <c r="L261" i="14"/>
  <c r="Q261" i="14" s="1"/>
  <c r="J262" i="14" s="1"/>
  <c r="G263" i="14"/>
  <c r="G277" i="14"/>
  <c r="L81" i="10"/>
  <c r="F38" i="76"/>
  <c r="J96" i="14"/>
  <c r="R322" i="14"/>
  <c r="F337" i="14" s="1"/>
  <c r="R242" i="14"/>
  <c r="D262" i="14" s="1"/>
  <c r="F121" i="76"/>
  <c r="N74" i="76"/>
  <c r="K34" i="76"/>
  <c r="N78" i="77"/>
  <c r="K34" i="77"/>
  <c r="R202" i="6"/>
  <c r="F217" i="6" s="1"/>
  <c r="AA173" i="6"/>
  <c r="Q134" i="76"/>
  <c r="J116" i="17"/>
  <c r="P120" i="17"/>
  <c r="L81" i="17"/>
  <c r="M118" i="15"/>
  <c r="P110" i="9"/>
  <c r="P120" i="9" s="1"/>
  <c r="Q789" i="6"/>
  <c r="Q799" i="6"/>
  <c r="Q794" i="6"/>
  <c r="S789" i="6"/>
  <c r="S799" i="6"/>
  <c r="J469" i="6"/>
  <c r="J596" i="6" s="1"/>
  <c r="D410" i="7"/>
  <c r="D411" i="7" s="1"/>
  <c r="S443" i="7" s="1"/>
  <c r="N452" i="7" s="1"/>
  <c r="D499" i="7"/>
  <c r="S531" i="7" s="1"/>
  <c r="N540" i="7" s="1"/>
  <c r="G262" i="14"/>
  <c r="G269" i="14"/>
  <c r="G276" i="14"/>
  <c r="O503" i="7"/>
  <c r="J421" i="7"/>
  <c r="O426" i="7" s="1"/>
  <c r="O427" i="7" s="1"/>
  <c r="S444" i="7" s="1"/>
  <c r="F452" i="7" s="1"/>
  <c r="J420" i="7"/>
  <c r="P103" i="8"/>
  <c r="S107" i="8" s="1"/>
  <c r="I349" i="14"/>
  <c r="I337" i="14"/>
  <c r="R369" i="14"/>
  <c r="I343" i="14"/>
  <c r="J21" i="38"/>
  <c r="J22" i="38" s="1"/>
  <c r="S30" i="38" s="1"/>
  <c r="I75" i="38" s="1"/>
  <c r="D76" i="38" s="1"/>
  <c r="N79" i="38" s="1"/>
  <c r="N80" i="38" s="1"/>
  <c r="M82" i="38" s="1"/>
  <c r="J22" i="16"/>
  <c r="J22" i="17"/>
  <c r="J21" i="15"/>
  <c r="J22" i="9"/>
  <c r="J22" i="10"/>
  <c r="J21" i="8"/>
  <c r="J608" i="6"/>
  <c r="P735" i="6"/>
  <c r="J609" i="6"/>
  <c r="O487" i="6"/>
  <c r="O488" i="6" s="1"/>
  <c r="R514" i="6" s="1"/>
  <c r="F529" i="6" s="1"/>
  <c r="R513" i="6"/>
  <c r="F524" i="6" s="1"/>
  <c r="S392" i="14"/>
  <c r="Q392" i="14"/>
  <c r="S399" i="14"/>
  <c r="Q399" i="14"/>
  <c r="S406" i="14"/>
  <c r="Q406" i="14"/>
  <c r="S145" i="14"/>
  <c r="Q145" i="14"/>
  <c r="Q357" i="6"/>
  <c r="Q362" i="6"/>
  <c r="Q352" i="6"/>
  <c r="Q225" i="14"/>
  <c r="R329" i="14"/>
  <c r="Q213" i="14"/>
  <c r="Q219" i="14" s="1"/>
  <c r="R249" i="14"/>
  <c r="G80" i="13"/>
  <c r="G81" i="13" s="1"/>
  <c r="G120" i="13"/>
  <c r="G121" i="13" s="1"/>
  <c r="G104" i="13"/>
  <c r="G105" i="13" s="1"/>
  <c r="G63" i="13"/>
  <c r="G64" i="13" s="1"/>
  <c r="J80" i="13"/>
  <c r="J81" i="13" s="1"/>
  <c r="J63" i="13"/>
  <c r="J64" i="13" s="1"/>
  <c r="G67" i="13" s="1"/>
  <c r="J120" i="13"/>
  <c r="J121" i="13" s="1"/>
  <c r="J104" i="13"/>
  <c r="J105" i="13" s="1"/>
  <c r="N75" i="40"/>
  <c r="N112" i="40" s="1"/>
  <c r="K113" i="40" s="1"/>
  <c r="K102" i="40" s="1"/>
  <c r="G117" i="40" s="1"/>
  <c r="K34" i="40"/>
  <c r="K23" i="40" s="1"/>
  <c r="G38" i="40" s="1"/>
  <c r="W194" i="11" s="1"/>
  <c r="R141" i="14"/>
  <c r="M144" i="14"/>
  <c r="T391" i="7"/>
  <c r="D319" i="7"/>
  <c r="D328" i="7"/>
  <c r="S355" i="7" s="1"/>
  <c r="N364" i="7" s="1"/>
  <c r="J46" i="122" l="1"/>
  <c r="I43" i="123"/>
  <c r="S43" i="123"/>
  <c r="F233" i="115"/>
  <c r="G234" i="115"/>
  <c r="W186" i="115" s="1"/>
  <c r="G57" i="114"/>
  <c r="F56" i="114"/>
  <c r="W186" i="11"/>
  <c r="I46" i="124"/>
  <c r="S46" i="124"/>
  <c r="P70" i="124"/>
  <c r="R81" i="124"/>
  <c r="J82" i="124" s="1"/>
  <c r="J89" i="124" s="1"/>
  <c r="J78" i="124"/>
  <c r="J86" i="124" s="1"/>
  <c r="J111" i="124"/>
  <c r="S97" i="117"/>
  <c r="W13" i="117"/>
  <c r="S43" i="124"/>
  <c r="I43" i="124"/>
  <c r="S55" i="122"/>
  <c r="S143" i="11" s="1"/>
  <c r="W13" i="122"/>
  <c r="R139" i="118"/>
  <c r="O144" i="118" s="1"/>
  <c r="D147" i="118" s="1"/>
  <c r="Q152" i="118" s="1"/>
  <c r="Q153" i="118" s="1"/>
  <c r="H155" i="118" s="1"/>
  <c r="G154" i="118" s="1"/>
  <c r="O110" i="118"/>
  <c r="O96" i="118"/>
  <c r="D99" i="118" s="1"/>
  <c r="O103" i="118"/>
  <c r="R328" i="118"/>
  <c r="O225" i="118"/>
  <c r="O213" i="118"/>
  <c r="D216" i="118" s="1"/>
  <c r="Q281" i="118" s="1"/>
  <c r="Q285" i="118" s="1"/>
  <c r="Q286" i="118" s="1"/>
  <c r="O219" i="118"/>
  <c r="R248" i="118"/>
  <c r="G141" i="114"/>
  <c r="W93" i="114" s="1"/>
  <c r="F140" i="114"/>
  <c r="G229" i="114"/>
  <c r="W181" i="114" s="1"/>
  <c r="F228" i="114"/>
  <c r="W13" i="116"/>
  <c r="S95" i="116"/>
  <c r="J111" i="123"/>
  <c r="J78" i="123"/>
  <c r="J86" i="123" s="1"/>
  <c r="P70" i="123"/>
  <c r="R81" i="123"/>
  <c r="J82" i="123" s="1"/>
  <c r="J89" i="123" s="1"/>
  <c r="F60" i="115"/>
  <c r="G61" i="115"/>
  <c r="F145" i="115"/>
  <c r="G146" i="115"/>
  <c r="W98" i="115" s="1"/>
  <c r="W181" i="11"/>
  <c r="I46" i="123"/>
  <c r="S46" i="123"/>
  <c r="M83" i="38"/>
  <c r="S265" i="38" s="1"/>
  <c r="S67" i="11" s="1"/>
  <c r="W67" i="11"/>
  <c r="G54" i="107"/>
  <c r="G55" i="107" s="1"/>
  <c r="K56" i="107" s="1"/>
  <c r="W95" i="11"/>
  <c r="G55" i="105"/>
  <c r="G56" i="105" s="1"/>
  <c r="K57" i="105" s="1"/>
  <c r="W62" i="11"/>
  <c r="W161" i="11"/>
  <c r="F91" i="112"/>
  <c r="F92" i="112" s="1"/>
  <c r="G94" i="112" s="1"/>
  <c r="S385" i="112" s="1"/>
  <c r="S161" i="11" s="1"/>
  <c r="G54" i="109"/>
  <c r="G55" i="109" s="1"/>
  <c r="K56" i="109" s="1"/>
  <c r="W176" i="11"/>
  <c r="F116" i="40"/>
  <c r="F117" i="40" s="1"/>
  <c r="G118" i="40" s="1"/>
  <c r="W196" i="11"/>
  <c r="L162" i="104"/>
  <c r="M164" i="104"/>
  <c r="L163" i="104"/>
  <c r="D236" i="104"/>
  <c r="F236" i="104" s="1"/>
  <c r="D235" i="104"/>
  <c r="F235" i="104" s="1"/>
  <c r="K124" i="105"/>
  <c r="E125" i="105" s="1"/>
  <c r="H141" i="105" s="1"/>
  <c r="G140" i="105" s="1"/>
  <c r="G141" i="105" s="1"/>
  <c r="K142" i="105" s="1"/>
  <c r="M118" i="105"/>
  <c r="E119" i="105" s="1"/>
  <c r="H137" i="105" s="1"/>
  <c r="K212" i="105"/>
  <c r="E213" i="105" s="1"/>
  <c r="H229" i="105" s="1"/>
  <c r="G228" i="105" s="1"/>
  <c r="G229" i="105" s="1"/>
  <c r="K230" i="105" s="1"/>
  <c r="M206" i="105"/>
  <c r="E207" i="105" s="1"/>
  <c r="H225" i="105" s="1"/>
  <c r="L212" i="112"/>
  <c r="F213" i="112" s="1"/>
  <c r="M237" i="112" s="1"/>
  <c r="Q234" i="112"/>
  <c r="E235" i="112" s="1"/>
  <c r="Q223" i="112"/>
  <c r="H224" i="112" s="1"/>
  <c r="Q352" i="112"/>
  <c r="H353" i="112" s="1"/>
  <c r="L341" i="112"/>
  <c r="F342" i="112" s="1"/>
  <c r="M366" i="112" s="1"/>
  <c r="Q363" i="112"/>
  <c r="E364" i="112" s="1"/>
  <c r="N68" i="84"/>
  <c r="K122" i="109"/>
  <c r="E123" i="109" s="1"/>
  <c r="H139" i="109" s="1"/>
  <c r="G138" i="109" s="1"/>
  <c r="G139" i="109" s="1"/>
  <c r="K140" i="109" s="1"/>
  <c r="M116" i="109"/>
  <c r="E117" i="109" s="1"/>
  <c r="H135" i="109" s="1"/>
  <c r="M204" i="109"/>
  <c r="E205" i="109" s="1"/>
  <c r="H223" i="109" s="1"/>
  <c r="K210" i="109"/>
  <c r="E211" i="109" s="1"/>
  <c r="H227" i="109" s="1"/>
  <c r="G226" i="109" s="1"/>
  <c r="G227" i="109" s="1"/>
  <c r="K228" i="109" s="1"/>
  <c r="L163" i="92"/>
  <c r="M164" i="92"/>
  <c r="L162" i="92"/>
  <c r="G50" i="109"/>
  <c r="G51" i="109" s="1"/>
  <c r="K52" i="109" s="1"/>
  <c r="H58" i="109"/>
  <c r="D236" i="92"/>
  <c r="F236" i="92" s="1"/>
  <c r="D235" i="92"/>
  <c r="F235" i="92" s="1"/>
  <c r="H59" i="105"/>
  <c r="G51" i="105"/>
  <c r="G52" i="105" s="1"/>
  <c r="K53" i="105" s="1"/>
  <c r="M116" i="107"/>
  <c r="E117" i="107" s="1"/>
  <c r="H135" i="107" s="1"/>
  <c r="K122" i="107"/>
  <c r="E123" i="107" s="1"/>
  <c r="H139" i="107" s="1"/>
  <c r="G138" i="107" s="1"/>
  <c r="G139" i="107" s="1"/>
  <c r="K140" i="107" s="1"/>
  <c r="L161" i="110"/>
  <c r="L162" i="110"/>
  <c r="M163" i="110"/>
  <c r="M204" i="107"/>
  <c r="E205" i="107" s="1"/>
  <c r="H223" i="107" s="1"/>
  <c r="K210" i="107"/>
  <c r="E211" i="107" s="1"/>
  <c r="H227" i="107" s="1"/>
  <c r="G226" i="107" s="1"/>
  <c r="G227" i="107" s="1"/>
  <c r="K228" i="107" s="1"/>
  <c r="D235" i="110"/>
  <c r="F235" i="110" s="1"/>
  <c r="D234" i="110"/>
  <c r="F234" i="110" s="1"/>
  <c r="G50" i="107"/>
  <c r="G51" i="107" s="1"/>
  <c r="K52" i="107" s="1"/>
  <c r="H58" i="107"/>
  <c r="K274" i="110"/>
  <c r="E275" i="110" s="1"/>
  <c r="H285" i="110" s="1"/>
  <c r="M268" i="110"/>
  <c r="E269" i="110" s="1"/>
  <c r="H281" i="110" s="1"/>
  <c r="L80" i="110"/>
  <c r="M82" i="110"/>
  <c r="S297" i="110" s="1"/>
  <c r="S133" i="11" s="1"/>
  <c r="L81" i="110"/>
  <c r="L390" i="14"/>
  <c r="Q390" i="14" s="1"/>
  <c r="J391" i="14" s="1"/>
  <c r="G82" i="13"/>
  <c r="G41" i="90"/>
  <c r="F40" i="90"/>
  <c r="N120" i="90"/>
  <c r="K121" i="90" s="1"/>
  <c r="K109" i="90" s="1"/>
  <c r="K110" i="90" s="1"/>
  <c r="G125" i="90" s="1"/>
  <c r="F124" i="90" s="1"/>
  <c r="F125" i="90" s="1"/>
  <c r="G126" i="90" s="1"/>
  <c r="W100" i="90" s="1"/>
  <c r="K79" i="90"/>
  <c r="K68" i="90" s="1"/>
  <c r="G83" i="90" s="1"/>
  <c r="N69" i="87"/>
  <c r="N97" i="89"/>
  <c r="N98" i="89" s="1"/>
  <c r="H100" i="89" s="1"/>
  <c r="S285" i="89" s="1"/>
  <c r="N69" i="84"/>
  <c r="N70" i="84" s="1"/>
  <c r="I46" i="82"/>
  <c r="S46" i="82"/>
  <c r="J111" i="82"/>
  <c r="P70" i="82"/>
  <c r="R81" i="82"/>
  <c r="J82" i="82" s="1"/>
  <c r="J89" i="82" s="1"/>
  <c r="J78" i="82"/>
  <c r="J86" i="82" s="1"/>
  <c r="I43" i="82"/>
  <c r="S43" i="82"/>
  <c r="J46" i="88"/>
  <c r="I43" i="88"/>
  <c r="S43" i="88"/>
  <c r="F246" i="87"/>
  <c r="G247" i="87"/>
  <c r="W199" i="87" s="1"/>
  <c r="J111" i="88"/>
  <c r="P70" i="88"/>
  <c r="R81" i="88"/>
  <c r="J82" i="88" s="1"/>
  <c r="J89" i="88" s="1"/>
  <c r="J78" i="88"/>
  <c r="J86" i="88" s="1"/>
  <c r="F158" i="87"/>
  <c r="G159" i="87"/>
  <c r="W111" i="87" s="1"/>
  <c r="J78" i="85"/>
  <c r="J86" i="85" s="1"/>
  <c r="P70" i="85"/>
  <c r="J111" i="85"/>
  <c r="R81" i="85"/>
  <c r="J82" i="85" s="1"/>
  <c r="J89" i="85" s="1"/>
  <c r="S43" i="85"/>
  <c r="I43" i="85"/>
  <c r="F246" i="84"/>
  <c r="J39" i="85"/>
  <c r="J46" i="85" s="1"/>
  <c r="AB109" i="89"/>
  <c r="H167" i="89"/>
  <c r="G166" i="89" s="1"/>
  <c r="J336" i="89"/>
  <c r="J206" i="89"/>
  <c r="O210" i="89" s="1"/>
  <c r="O211" i="89" s="1"/>
  <c r="P213" i="89" s="1"/>
  <c r="S213" i="89" s="1"/>
  <c r="S242" i="89" s="1"/>
  <c r="Q250" i="89" s="1"/>
  <c r="D252" i="89" s="1"/>
  <c r="N70" i="87"/>
  <c r="N71" i="87" s="1"/>
  <c r="F158" i="84"/>
  <c r="G159" i="84"/>
  <c r="W111" i="84" s="1"/>
  <c r="O172" i="91"/>
  <c r="O166" i="91"/>
  <c r="D169" i="91" s="1"/>
  <c r="R201" i="91"/>
  <c r="R281" i="91"/>
  <c r="O178" i="91"/>
  <c r="AB13" i="89"/>
  <c r="N96" i="89"/>
  <c r="O110" i="91"/>
  <c r="O96" i="91"/>
  <c r="D99" i="91" s="1"/>
  <c r="O103" i="91"/>
  <c r="F38" i="77"/>
  <c r="J231" i="38"/>
  <c r="F83" i="77"/>
  <c r="N231" i="38"/>
  <c r="S34" i="80"/>
  <c r="O37" i="80" s="1"/>
  <c r="D40" i="80" s="1"/>
  <c r="S60" i="80"/>
  <c r="O63" i="80" s="1"/>
  <c r="D66" i="80" s="1"/>
  <c r="J207" i="80"/>
  <c r="J208" i="80" s="1"/>
  <c r="S221" i="80" s="1"/>
  <c r="O242" i="80" s="1"/>
  <c r="G243" i="80" s="1"/>
  <c r="D246" i="80" s="1"/>
  <c r="F245" i="80" s="1"/>
  <c r="J120" i="80"/>
  <c r="S133" i="80" s="1"/>
  <c r="O154" i="80" s="1"/>
  <c r="G155" i="80" s="1"/>
  <c r="D158" i="80" s="1"/>
  <c r="F157" i="80" s="1"/>
  <c r="R38" i="81"/>
  <c r="J43" i="81"/>
  <c r="P27" i="81"/>
  <c r="J66" i="81"/>
  <c r="S34" i="79"/>
  <c r="O37" i="79" s="1"/>
  <c r="D40" i="79" s="1"/>
  <c r="S60" i="79"/>
  <c r="O63" i="79" s="1"/>
  <c r="D66" i="79" s="1"/>
  <c r="R366" i="14"/>
  <c r="D391" i="14" s="1"/>
  <c r="Q138" i="77"/>
  <c r="W54" i="77"/>
  <c r="N113" i="77"/>
  <c r="K114" i="77" s="1"/>
  <c r="K102" i="77" s="1"/>
  <c r="K103" i="77" s="1"/>
  <c r="G118" i="77" s="1"/>
  <c r="F117" i="77" s="1"/>
  <c r="K79" i="77"/>
  <c r="N116" i="76"/>
  <c r="K117" i="76" s="1"/>
  <c r="K75" i="76"/>
  <c r="K64" i="76" s="1"/>
  <c r="G79" i="76" s="1"/>
  <c r="F78" i="76" s="1"/>
  <c r="Q137" i="77"/>
  <c r="W13" i="77"/>
  <c r="J116" i="9"/>
  <c r="L120" i="9"/>
  <c r="R522" i="6"/>
  <c r="Q529" i="6" s="1"/>
  <c r="F37" i="40"/>
  <c r="G39" i="40" s="1"/>
  <c r="T479" i="7"/>
  <c r="D490" i="7" s="1"/>
  <c r="D402" i="7"/>
  <c r="U571" i="7" s="1"/>
  <c r="L85" i="13"/>
  <c r="F85" i="13"/>
  <c r="J66" i="13"/>
  <c r="Q74" i="13"/>
  <c r="Q76" i="13" s="1"/>
  <c r="O614" i="6"/>
  <c r="O615" i="6" s="1"/>
  <c r="R646" i="6" s="1"/>
  <c r="F661" i="6" s="1"/>
  <c r="R645" i="6"/>
  <c r="F656" i="6" s="1"/>
  <c r="J62" i="8"/>
  <c r="J22" i="8"/>
  <c r="S27" i="8" s="1"/>
  <c r="O37" i="8" s="1"/>
  <c r="G38" i="8" s="1"/>
  <c r="D41" i="8" s="1"/>
  <c r="F40" i="8" s="1"/>
  <c r="I118" i="8"/>
  <c r="M118" i="8"/>
  <c r="R85" i="13"/>
  <c r="J82" i="13"/>
  <c r="J740" i="6"/>
  <c r="J741" i="6"/>
  <c r="J65" i="10"/>
  <c r="J110" i="10" s="1"/>
  <c r="J23" i="10"/>
  <c r="J65" i="9"/>
  <c r="J110" i="9" s="1"/>
  <c r="J23" i="9"/>
  <c r="J22" i="6"/>
  <c r="P21" i="6" s="1"/>
  <c r="P22" i="6" s="1"/>
  <c r="R71" i="6" s="1"/>
  <c r="J157" i="6"/>
  <c r="J104" i="38"/>
  <c r="Q269" i="14"/>
  <c r="Q276" i="14"/>
  <c r="Q262" i="14"/>
  <c r="I85" i="13"/>
  <c r="G66" i="13"/>
  <c r="M69" i="13" s="1"/>
  <c r="M70" i="13" s="1"/>
  <c r="C85" i="13"/>
  <c r="J509" i="7"/>
  <c r="O514" i="7" s="1"/>
  <c r="O515" i="7" s="1"/>
  <c r="S532" i="7" s="1"/>
  <c r="F540" i="7" s="1"/>
  <c r="J508" i="7"/>
  <c r="C124" i="13"/>
  <c r="G106" i="13"/>
  <c r="M109" i="13" s="1"/>
  <c r="M110" i="13" s="1"/>
  <c r="I124" i="13"/>
  <c r="Q337" i="14"/>
  <c r="Q343" i="14" s="1"/>
  <c r="R373" i="14"/>
  <c r="Q349" i="14"/>
  <c r="G122" i="13"/>
  <c r="O124" i="13"/>
  <c r="J22" i="15"/>
  <c r="S27" i="15" s="1"/>
  <c r="O37" i="15" s="1"/>
  <c r="G38" i="15" s="1"/>
  <c r="D41" i="15" s="1"/>
  <c r="F40" i="15" s="1"/>
  <c r="J62" i="15"/>
  <c r="O85" i="13"/>
  <c r="J187" i="14"/>
  <c r="J23" i="16"/>
  <c r="J728" i="6"/>
  <c r="R786" i="6" s="1"/>
  <c r="R654" i="6"/>
  <c r="G398" i="14"/>
  <c r="G405" i="14"/>
  <c r="G391" i="14"/>
  <c r="G107" i="13"/>
  <c r="J106" i="13"/>
  <c r="L124" i="13"/>
  <c r="F124" i="13"/>
  <c r="J65" i="17"/>
  <c r="J110" i="17" s="1"/>
  <c r="J23" i="17"/>
  <c r="J122" i="13"/>
  <c r="R124" i="13"/>
  <c r="K76" i="40"/>
  <c r="J22" i="7"/>
  <c r="O26" i="7" s="1"/>
  <c r="O27" i="7" s="1"/>
  <c r="S55" i="7" s="1"/>
  <c r="L65" i="7" s="1"/>
  <c r="D68" i="7" s="1"/>
  <c r="J103" i="7"/>
  <c r="G237" i="104" l="1"/>
  <c r="W177" i="104" s="1"/>
  <c r="J47" i="124"/>
  <c r="S144" i="124" s="1"/>
  <c r="S186" i="11" s="1"/>
  <c r="G155" i="118"/>
  <c r="H156" i="118"/>
  <c r="O262" i="118"/>
  <c r="D265" i="118" s="1"/>
  <c r="O269" i="118"/>
  <c r="O276" i="118"/>
  <c r="S89" i="123"/>
  <c r="I89" i="123"/>
  <c r="AB179" i="118"/>
  <c r="H288" i="118"/>
  <c r="G287" i="118" s="1"/>
  <c r="S85" i="11"/>
  <c r="S57" i="11"/>
  <c r="W13" i="115"/>
  <c r="S274" i="115"/>
  <c r="S123" i="11" s="1"/>
  <c r="R120" i="124"/>
  <c r="J121" i="124" s="1"/>
  <c r="J128" i="124" s="1"/>
  <c r="M116" i="124"/>
  <c r="J117" i="124" s="1"/>
  <c r="J125" i="124" s="1"/>
  <c r="S86" i="123"/>
  <c r="I86" i="123"/>
  <c r="O349" i="118"/>
  <c r="O337" i="118"/>
  <c r="D340" i="118" s="1"/>
  <c r="Q410" i="118" s="1"/>
  <c r="Q414" i="118" s="1"/>
  <c r="Q415" i="118" s="1"/>
  <c r="O343" i="118"/>
  <c r="R372" i="118"/>
  <c r="I86" i="124"/>
  <c r="S86" i="124"/>
  <c r="W13" i="114"/>
  <c r="S265" i="114"/>
  <c r="S166" i="11" s="1"/>
  <c r="M116" i="123"/>
  <c r="J117" i="123" s="1"/>
  <c r="J125" i="123" s="1"/>
  <c r="R120" i="123"/>
  <c r="J121" i="123" s="1"/>
  <c r="J128" i="123" s="1"/>
  <c r="S89" i="124"/>
  <c r="I89" i="124"/>
  <c r="J47" i="123"/>
  <c r="S24" i="130"/>
  <c r="S26" i="130" s="1"/>
  <c r="G36" i="130" s="1"/>
  <c r="E37" i="130" s="1"/>
  <c r="H43" i="130" s="1"/>
  <c r="R37" i="118"/>
  <c r="R77" i="118"/>
  <c r="T112" i="119"/>
  <c r="H115" i="119" s="1"/>
  <c r="E116" i="119" s="1"/>
  <c r="M118" i="119" s="1"/>
  <c r="G284" i="110"/>
  <c r="G285" i="110" s="1"/>
  <c r="K286" i="110" s="1"/>
  <c r="W134" i="11"/>
  <c r="W92" i="40"/>
  <c r="Q134" i="40"/>
  <c r="Q196" i="11" s="1"/>
  <c r="G237" i="92"/>
  <c r="W177" i="92" s="1"/>
  <c r="H230" i="107"/>
  <c r="W181" i="107" s="1"/>
  <c r="G222" i="107"/>
  <c r="G223" i="107" s="1"/>
  <c r="K224" i="107" s="1"/>
  <c r="H142" i="107"/>
  <c r="W93" i="107" s="1"/>
  <c r="G134" i="107"/>
  <c r="G135" i="107" s="1"/>
  <c r="K136" i="107" s="1"/>
  <c r="S270" i="105"/>
  <c r="S62" i="11" s="1"/>
  <c r="W13" i="105"/>
  <c r="G371" i="112"/>
  <c r="F370" i="112" s="1"/>
  <c r="AB256" i="112"/>
  <c r="S268" i="109"/>
  <c r="S176" i="11" s="1"/>
  <c r="W13" i="109"/>
  <c r="N68" i="80"/>
  <c r="T113" i="112"/>
  <c r="H116" i="112" s="1"/>
  <c r="E117" i="112" s="1"/>
  <c r="M118" i="112" s="1"/>
  <c r="AB133" i="112"/>
  <c r="G240" i="112"/>
  <c r="F239" i="112" s="1"/>
  <c r="G224" i="105"/>
  <c r="G225" i="105" s="1"/>
  <c r="K226" i="105" s="1"/>
  <c r="H232" i="105"/>
  <c r="W183" i="105" s="1"/>
  <c r="G134" i="109"/>
  <c r="G135" i="109" s="1"/>
  <c r="K136" i="109" s="1"/>
  <c r="H142" i="109"/>
  <c r="W93" i="109" s="1"/>
  <c r="G136" i="105"/>
  <c r="G137" i="105" s="1"/>
  <c r="K138" i="105" s="1"/>
  <c r="H144" i="105"/>
  <c r="W95" i="105" s="1"/>
  <c r="H230" i="109"/>
  <c r="W181" i="109" s="1"/>
  <c r="G222" i="109"/>
  <c r="G223" i="109" s="1"/>
  <c r="K224" i="109" s="1"/>
  <c r="G280" i="110"/>
  <c r="G281" i="110" s="1"/>
  <c r="K282" i="110" s="1"/>
  <c r="H288" i="110"/>
  <c r="S298" i="110" s="1"/>
  <c r="S134" i="11" s="1"/>
  <c r="S268" i="107"/>
  <c r="S95" i="11" s="1"/>
  <c r="W13" i="107"/>
  <c r="G236" i="110"/>
  <c r="W171" i="110" s="1"/>
  <c r="R77" i="91"/>
  <c r="R196" i="91" s="1"/>
  <c r="R37" i="91"/>
  <c r="F53" i="91" s="1"/>
  <c r="D56" i="91" s="1"/>
  <c r="W11" i="90"/>
  <c r="Q144" i="90"/>
  <c r="F82" i="90"/>
  <c r="W206" i="11"/>
  <c r="W108" i="11"/>
  <c r="I46" i="85"/>
  <c r="J47" i="85" s="1"/>
  <c r="S46" i="85"/>
  <c r="I89" i="85"/>
  <c r="S89" i="85"/>
  <c r="M116" i="85"/>
  <c r="J117" i="85" s="1"/>
  <c r="J125" i="85" s="1"/>
  <c r="R120" i="85"/>
  <c r="J121" i="85" s="1"/>
  <c r="J128" i="85" s="1"/>
  <c r="S86" i="88"/>
  <c r="I86" i="88"/>
  <c r="S89" i="88"/>
  <c r="I89" i="88"/>
  <c r="M116" i="88"/>
  <c r="J117" i="88" s="1"/>
  <c r="J125" i="88" s="1"/>
  <c r="R120" i="88"/>
  <c r="J121" i="88" s="1"/>
  <c r="J128" i="88" s="1"/>
  <c r="O296" i="91"/>
  <c r="O302" i="91"/>
  <c r="O290" i="91"/>
  <c r="D293" i="91" s="1"/>
  <c r="Q363" i="91" s="1"/>
  <c r="Q367" i="91" s="1"/>
  <c r="Q368" i="91" s="1"/>
  <c r="R325" i="91"/>
  <c r="O215" i="91"/>
  <c r="D218" i="91" s="1"/>
  <c r="O222" i="91"/>
  <c r="O229" i="91"/>
  <c r="S86" i="82"/>
  <c r="I86" i="82"/>
  <c r="S46" i="88"/>
  <c r="I46" i="88"/>
  <c r="J47" i="88" s="1"/>
  <c r="H73" i="87"/>
  <c r="H255" i="89"/>
  <c r="G254" i="89" s="1"/>
  <c r="AB197" i="89"/>
  <c r="S89" i="82"/>
  <c r="I89" i="82"/>
  <c r="S86" i="85"/>
  <c r="I86" i="85"/>
  <c r="J419" i="89"/>
  <c r="J337" i="89"/>
  <c r="O341" i="89" s="1"/>
  <c r="O342" i="89" s="1"/>
  <c r="O344" i="89" s="1"/>
  <c r="Q344" i="89" s="1"/>
  <c r="S368" i="89" s="1"/>
  <c r="Q376" i="89" s="1"/>
  <c r="D378" i="89" s="1"/>
  <c r="H168" i="89"/>
  <c r="G167" i="89"/>
  <c r="M116" i="82"/>
  <c r="J117" i="82" s="1"/>
  <c r="J125" i="82" s="1"/>
  <c r="R120" i="82"/>
  <c r="J121" i="82" s="1"/>
  <c r="J128" i="82" s="1"/>
  <c r="R38" i="16"/>
  <c r="J39" i="16" s="1"/>
  <c r="J46" i="16" s="1"/>
  <c r="W138" i="11" s="1"/>
  <c r="J35" i="16"/>
  <c r="J43" i="16" s="1"/>
  <c r="J47" i="82"/>
  <c r="N69" i="80"/>
  <c r="N70" i="80" s="1"/>
  <c r="H72" i="80" s="1"/>
  <c r="H72" i="84"/>
  <c r="J39" i="81"/>
  <c r="J46" i="81" s="1"/>
  <c r="N69" i="79"/>
  <c r="N70" i="79" s="1"/>
  <c r="H72" i="79" s="1"/>
  <c r="J78" i="81"/>
  <c r="J86" i="81" s="1"/>
  <c r="P70" i="81"/>
  <c r="J111" i="81"/>
  <c r="R81" i="81"/>
  <c r="J82" i="81" s="1"/>
  <c r="J89" i="81" s="1"/>
  <c r="S43" i="81"/>
  <c r="I43" i="81"/>
  <c r="G159" i="80"/>
  <c r="W111" i="80" s="1"/>
  <c r="F158" i="80"/>
  <c r="G247" i="80"/>
  <c r="W199" i="80" s="1"/>
  <c r="F246" i="80"/>
  <c r="Q114" i="13"/>
  <c r="Q534" i="6"/>
  <c r="Q524" i="6"/>
  <c r="N68" i="79"/>
  <c r="G80" i="76"/>
  <c r="F79" i="76"/>
  <c r="G119" i="77"/>
  <c r="W93" i="77" s="1"/>
  <c r="F118" i="77"/>
  <c r="F38" i="40"/>
  <c r="R77" i="14"/>
  <c r="D103" i="14" s="1"/>
  <c r="R37" i="14"/>
  <c r="R203" i="14" s="1"/>
  <c r="K65" i="40"/>
  <c r="G80" i="40" s="1"/>
  <c r="W195" i="11" s="1"/>
  <c r="J185" i="7"/>
  <c r="J104" i="7"/>
  <c r="O108" i="7" s="1"/>
  <c r="O109" i="7" s="1"/>
  <c r="S137" i="7" s="1"/>
  <c r="L147" i="7" s="1"/>
  <c r="D150" i="7" s="1"/>
  <c r="J307" i="14"/>
  <c r="J308" i="14" s="1"/>
  <c r="P307" i="14" s="1"/>
  <c r="P308" i="14" s="1"/>
  <c r="J188" i="14"/>
  <c r="P187" i="14" s="1"/>
  <c r="P188" i="14" s="1"/>
  <c r="L82" i="38"/>
  <c r="L81" i="38"/>
  <c r="H71" i="7"/>
  <c r="AB13" i="7"/>
  <c r="J295" i="6"/>
  <c r="J158" i="6"/>
  <c r="P157" i="6" s="1"/>
  <c r="P158" i="6" s="1"/>
  <c r="R209" i="6" s="1"/>
  <c r="G42" i="8"/>
  <c r="F41" i="8"/>
  <c r="J186" i="38"/>
  <c r="J187" i="38" s="1"/>
  <c r="S200" i="38" s="1"/>
  <c r="P231" i="38" s="1"/>
  <c r="H232" i="38" s="1"/>
  <c r="J105" i="38"/>
  <c r="S113" i="38" s="1"/>
  <c r="I157" i="38" s="1"/>
  <c r="D158" i="38" s="1"/>
  <c r="N161" i="38" s="1"/>
  <c r="N162" i="38" s="1"/>
  <c r="M164" i="38" s="1"/>
  <c r="J102" i="15"/>
  <c r="J103" i="15" s="1"/>
  <c r="S108" i="15" s="1"/>
  <c r="O118" i="15" s="1"/>
  <c r="G119" i="15" s="1"/>
  <c r="D122" i="15" s="1"/>
  <c r="F121" i="15" s="1"/>
  <c r="J63" i="15"/>
  <c r="S68" i="15" s="1"/>
  <c r="O78" i="15" s="1"/>
  <c r="G79" i="15" s="1"/>
  <c r="D82" i="15" s="1"/>
  <c r="F81" i="15" s="1"/>
  <c r="J102" i="8"/>
  <c r="J103" i="8" s="1"/>
  <c r="S108" i="8" s="1"/>
  <c r="O118" i="8" s="1"/>
  <c r="G119" i="8" s="1"/>
  <c r="D122" i="8" s="1"/>
  <c r="F121" i="8" s="1"/>
  <c r="J63" i="8"/>
  <c r="S68" i="8" s="1"/>
  <c r="O78" i="8" s="1"/>
  <c r="G79" i="8" s="1"/>
  <c r="D82" i="8" s="1"/>
  <c r="F81" i="8" s="1"/>
  <c r="O79" i="6"/>
  <c r="D82" i="6" s="1"/>
  <c r="O95" i="6"/>
  <c r="D98" i="6" s="1"/>
  <c r="O74" i="6"/>
  <c r="D77" i="6" s="1"/>
  <c r="Q793" i="6"/>
  <c r="Q798" i="6"/>
  <c r="Q788" i="6"/>
  <c r="G42" i="15"/>
  <c r="F41" i="15"/>
  <c r="C125" i="13"/>
  <c r="Q661" i="6"/>
  <c r="Q656" i="6"/>
  <c r="Q666" i="6"/>
  <c r="R38" i="10"/>
  <c r="J39" i="10" s="1"/>
  <c r="J46" i="10" s="1"/>
  <c r="P27" i="10"/>
  <c r="J66" i="10"/>
  <c r="J35" i="10"/>
  <c r="J43" i="10" s="1"/>
  <c r="J35" i="17"/>
  <c r="J43" i="17" s="1"/>
  <c r="R38" i="17"/>
  <c r="J39" i="17" s="1"/>
  <c r="J46" i="17" s="1"/>
  <c r="P27" i="17"/>
  <c r="J66" i="17"/>
  <c r="Q405" i="14"/>
  <c r="Q391" i="14"/>
  <c r="Q398" i="14"/>
  <c r="R777" i="6"/>
  <c r="F788" i="6" s="1"/>
  <c r="O746" i="6"/>
  <c r="O747" i="6" s="1"/>
  <c r="R778" i="6" s="1"/>
  <c r="F793" i="6" s="1"/>
  <c r="F86" i="13"/>
  <c r="F125" i="13"/>
  <c r="X113" i="11"/>
  <c r="W113" i="11"/>
  <c r="Q132" i="40"/>
  <c r="Q194" i="11" s="1"/>
  <c r="W11" i="40"/>
  <c r="O59" i="14"/>
  <c r="O47" i="14"/>
  <c r="D50" i="14" s="1"/>
  <c r="R82" i="14"/>
  <c r="R208" i="14"/>
  <c r="O53" i="14"/>
  <c r="P27" i="16"/>
  <c r="J66" i="9"/>
  <c r="R38" i="9"/>
  <c r="J39" i="9" s="1"/>
  <c r="J46" i="9" s="1"/>
  <c r="J35" i="9"/>
  <c r="J43" i="9" s="1"/>
  <c r="P27" i="9"/>
  <c r="C86" i="13"/>
  <c r="W13" i="124" l="1"/>
  <c r="D103" i="91"/>
  <c r="R156" i="91"/>
  <c r="F172" i="91" s="1"/>
  <c r="D175" i="91" s="1"/>
  <c r="J90" i="123"/>
  <c r="W56" i="123" s="1"/>
  <c r="J90" i="85"/>
  <c r="W56" i="85" s="1"/>
  <c r="J90" i="124"/>
  <c r="W56" i="124" s="1"/>
  <c r="H417" i="118"/>
  <c r="G416" i="118" s="1"/>
  <c r="AB299" i="118"/>
  <c r="I128" i="123"/>
  <c r="S128" i="123"/>
  <c r="G288" i="118"/>
  <c r="H289" i="118"/>
  <c r="S125" i="123"/>
  <c r="I125" i="123"/>
  <c r="S125" i="124"/>
  <c r="I125" i="124"/>
  <c r="O405" i="118"/>
  <c r="O391" i="118"/>
  <c r="D394" i="118" s="1"/>
  <c r="O398" i="118"/>
  <c r="S128" i="124"/>
  <c r="I128" i="124"/>
  <c r="S144" i="123"/>
  <c r="S181" i="11" s="1"/>
  <c r="W13" i="123"/>
  <c r="AB13" i="119"/>
  <c r="G121" i="119"/>
  <c r="F120" i="119" s="1"/>
  <c r="D103" i="118"/>
  <c r="R243" i="118"/>
  <c r="R203" i="118"/>
  <c r="F53" i="118"/>
  <c r="D56" i="118" s="1"/>
  <c r="W80" i="11"/>
  <c r="G42" i="130"/>
  <c r="G43" i="130" s="1"/>
  <c r="H45" i="130" s="1"/>
  <c r="S51" i="130" s="1"/>
  <c r="S80" i="11" s="1"/>
  <c r="Q205" i="11"/>
  <c r="Q211" i="11"/>
  <c r="G241" i="112"/>
  <c r="F240" i="112"/>
  <c r="AB13" i="112"/>
  <c r="G121" i="112"/>
  <c r="F120" i="112" s="1"/>
  <c r="G372" i="112"/>
  <c r="F371" i="112"/>
  <c r="Q116" i="13"/>
  <c r="L102" i="118" s="1"/>
  <c r="D222" i="91"/>
  <c r="R320" i="91"/>
  <c r="D351" i="91" s="1"/>
  <c r="G84" i="90"/>
  <c r="F83" i="90"/>
  <c r="J90" i="88"/>
  <c r="W56" i="88" s="1"/>
  <c r="J90" i="82"/>
  <c r="W56" i="82" s="1"/>
  <c r="W13" i="85"/>
  <c r="S144" i="85"/>
  <c r="S108" i="11" s="1"/>
  <c r="O344" i="91"/>
  <c r="D347" i="91" s="1"/>
  <c r="O358" i="91"/>
  <c r="O351" i="91"/>
  <c r="H370" i="91"/>
  <c r="G369" i="91" s="1"/>
  <c r="AB252" i="91"/>
  <c r="I128" i="88"/>
  <c r="S128" i="88"/>
  <c r="S125" i="88"/>
  <c r="I125" i="88"/>
  <c r="I128" i="82"/>
  <c r="S128" i="82"/>
  <c r="S125" i="82"/>
  <c r="I125" i="82"/>
  <c r="AB328" i="89"/>
  <c r="H381" i="89"/>
  <c r="G380" i="89" s="1"/>
  <c r="J507" i="89"/>
  <c r="J508" i="89" s="1"/>
  <c r="O512" i="89" s="1"/>
  <c r="O513" i="89" s="1"/>
  <c r="O515" i="89" s="1"/>
  <c r="Q515" i="89" s="1"/>
  <c r="S544" i="89" s="1"/>
  <c r="Q552" i="89" s="1"/>
  <c r="D554" i="89" s="1"/>
  <c r="J420" i="89"/>
  <c r="O424" i="89" s="1"/>
  <c r="O425" i="89" s="1"/>
  <c r="O427" i="89" s="1"/>
  <c r="Q427" i="89" s="1"/>
  <c r="S456" i="89" s="1"/>
  <c r="Q464" i="89" s="1"/>
  <c r="D466" i="89" s="1"/>
  <c r="S128" i="85"/>
  <c r="I128" i="85"/>
  <c r="S125" i="85"/>
  <c r="I125" i="85"/>
  <c r="W13" i="88"/>
  <c r="S144" i="88"/>
  <c r="S144" i="82"/>
  <c r="W13" i="82"/>
  <c r="G255" i="89"/>
  <c r="H256" i="89"/>
  <c r="S46" i="81"/>
  <c r="I46" i="81"/>
  <c r="J47" i="81" s="1"/>
  <c r="S144" i="81" s="1"/>
  <c r="S89" i="81"/>
  <c r="I89" i="81"/>
  <c r="R120" i="81"/>
  <c r="J121" i="81" s="1"/>
  <c r="J128" i="81" s="1"/>
  <c r="M116" i="81"/>
  <c r="J117" i="81" s="1"/>
  <c r="J125" i="81" s="1"/>
  <c r="I86" i="81"/>
  <c r="S86" i="81"/>
  <c r="R243" i="14"/>
  <c r="R367" i="14" s="1"/>
  <c r="D398" i="14" s="1"/>
  <c r="F53" i="14"/>
  <c r="D56" i="14" s="1"/>
  <c r="Q135" i="76"/>
  <c r="W54" i="76"/>
  <c r="F79" i="40"/>
  <c r="F80" i="40" s="1"/>
  <c r="Q100" i="6"/>
  <c r="Q106" i="6" s="1"/>
  <c r="Q107" i="6" s="1"/>
  <c r="G123" i="8"/>
  <c r="W95" i="8" s="1"/>
  <c r="F122" i="8"/>
  <c r="H153" i="7"/>
  <c r="AB95" i="7"/>
  <c r="M127" i="13"/>
  <c r="Q137" i="13" s="1"/>
  <c r="Q139" i="13" s="1"/>
  <c r="L109" i="118" s="1"/>
  <c r="F126" i="13"/>
  <c r="J322" i="7"/>
  <c r="J186" i="7"/>
  <c r="O190" i="7" s="1"/>
  <c r="O191" i="7" s="1"/>
  <c r="S222" i="7" s="1"/>
  <c r="L232" i="7" s="1"/>
  <c r="D235" i="7" s="1"/>
  <c r="C87" i="13"/>
  <c r="M90" i="13" s="1"/>
  <c r="M91" i="13" s="1"/>
  <c r="R38" i="118" s="1"/>
  <c r="L163" i="38"/>
  <c r="M165" i="38"/>
  <c r="L164" i="38"/>
  <c r="D236" i="38"/>
  <c r="F236" i="38" s="1"/>
  <c r="D237" i="38"/>
  <c r="F237" i="38" s="1"/>
  <c r="S138" i="8"/>
  <c r="W13" i="8"/>
  <c r="F219" i="14"/>
  <c r="R323" i="14"/>
  <c r="F343" i="14" s="1"/>
  <c r="P87" i="13"/>
  <c r="Q98" i="13" s="1"/>
  <c r="Q100" i="13" s="1"/>
  <c r="F87" i="13"/>
  <c r="S43" i="16"/>
  <c r="I43" i="16"/>
  <c r="S43" i="9"/>
  <c r="I43" i="9"/>
  <c r="I43" i="10"/>
  <c r="S43" i="10"/>
  <c r="G83" i="8"/>
  <c r="F82" i="8"/>
  <c r="I46" i="9"/>
  <c r="S46" i="9"/>
  <c r="J111" i="10"/>
  <c r="R81" i="10"/>
  <c r="J82" i="10" s="1"/>
  <c r="J89" i="10" s="1"/>
  <c r="J78" i="10"/>
  <c r="J86" i="10" s="1"/>
  <c r="P70" i="10"/>
  <c r="J78" i="9"/>
  <c r="J86" i="9" s="1"/>
  <c r="P70" i="9"/>
  <c r="J111" i="9"/>
  <c r="R81" i="9"/>
  <c r="J82" i="9" s="1"/>
  <c r="J89" i="9" s="1"/>
  <c r="R81" i="17"/>
  <c r="J82" i="17" s="1"/>
  <c r="J89" i="17" s="1"/>
  <c r="J78" i="17"/>
  <c r="J86" i="17" s="1"/>
  <c r="P70" i="17"/>
  <c r="J111" i="17"/>
  <c r="Z62" i="11"/>
  <c r="H72" i="7"/>
  <c r="S264" i="7" s="1"/>
  <c r="S46" i="10"/>
  <c r="I46" i="10"/>
  <c r="O217" i="6"/>
  <c r="D220" i="6" s="1"/>
  <c r="O222" i="6"/>
  <c r="D225" i="6" s="1"/>
  <c r="O212" i="6"/>
  <c r="D215" i="6" s="1"/>
  <c r="O225" i="14"/>
  <c r="R328" i="14"/>
  <c r="O213" i="14"/>
  <c r="D216" i="14" s="1"/>
  <c r="R248" i="14"/>
  <c r="O219" i="14"/>
  <c r="S46" i="17"/>
  <c r="I46" i="17"/>
  <c r="C126" i="13"/>
  <c r="M130" i="13" s="1"/>
  <c r="M131" i="13" s="1"/>
  <c r="R78" i="118" s="1"/>
  <c r="G83" i="15"/>
  <c r="F82" i="15"/>
  <c r="J472" i="6"/>
  <c r="J296" i="6"/>
  <c r="P295" i="6" s="1"/>
  <c r="P296" i="6" s="1"/>
  <c r="R349" i="6" s="1"/>
  <c r="R139" i="14"/>
  <c r="O144" i="14" s="1"/>
  <c r="D147" i="14" s="1"/>
  <c r="Q152" i="14" s="1"/>
  <c r="Q153" i="14" s="1"/>
  <c r="H155" i="14" s="1"/>
  <c r="G154" i="14" s="1"/>
  <c r="O103" i="14"/>
  <c r="O110" i="14"/>
  <c r="O96" i="14"/>
  <c r="D99" i="14" s="1"/>
  <c r="I43" i="17"/>
  <c r="S43" i="17"/>
  <c r="F122" i="15"/>
  <c r="G123" i="15"/>
  <c r="W95" i="15" s="1"/>
  <c r="W114" i="11"/>
  <c r="X114" i="11"/>
  <c r="S138" i="15"/>
  <c r="W13" i="15"/>
  <c r="J130" i="124" l="1"/>
  <c r="W101" i="124" s="1"/>
  <c r="R276" i="91"/>
  <c r="F296" i="91" s="1"/>
  <c r="D299" i="91" s="1"/>
  <c r="J130" i="123"/>
  <c r="W101" i="123" s="1"/>
  <c r="G417" i="118"/>
  <c r="H418" i="118"/>
  <c r="R204" i="118"/>
  <c r="F59" i="118"/>
  <c r="D62" i="118" s="1"/>
  <c r="Q109" i="118"/>
  <c r="J110" i="118" s="1"/>
  <c r="L275" i="118"/>
  <c r="R244" i="118"/>
  <c r="D110" i="118"/>
  <c r="R323" i="118"/>
  <c r="F343" i="118" s="1"/>
  <c r="D346" i="118" s="1"/>
  <c r="F219" i="118"/>
  <c r="D222" i="118" s="1"/>
  <c r="D269" i="118"/>
  <c r="R367" i="118"/>
  <c r="D398" i="118" s="1"/>
  <c r="G122" i="119"/>
  <c r="F121" i="119"/>
  <c r="Q102" i="118"/>
  <c r="J103" i="118" s="1"/>
  <c r="D106" i="118" s="1"/>
  <c r="L268" i="118"/>
  <c r="G122" i="112"/>
  <c r="F121" i="112"/>
  <c r="L109" i="91"/>
  <c r="Q109" i="91" s="1"/>
  <c r="J110" i="91" s="1"/>
  <c r="L102" i="91"/>
  <c r="Q102" i="91" s="1"/>
  <c r="J103" i="91" s="1"/>
  <c r="D106" i="91" s="1"/>
  <c r="R38" i="91"/>
  <c r="F59" i="91" s="1"/>
  <c r="D62" i="91" s="1"/>
  <c r="R78" i="91"/>
  <c r="R197" i="91" s="1"/>
  <c r="L102" i="14"/>
  <c r="Q206" i="11"/>
  <c r="W54" i="90"/>
  <c r="J130" i="85"/>
  <c r="W101" i="85" s="1"/>
  <c r="H469" i="89"/>
  <c r="G468" i="89" s="1"/>
  <c r="AB411" i="89"/>
  <c r="H557" i="89"/>
  <c r="G556" i="89" s="1"/>
  <c r="AB499" i="89"/>
  <c r="H382" i="89"/>
  <c r="G381" i="89"/>
  <c r="J130" i="82"/>
  <c r="W101" i="82" s="1"/>
  <c r="J130" i="88"/>
  <c r="W101" i="88" s="1"/>
  <c r="G370" i="91"/>
  <c r="H371" i="91"/>
  <c r="W13" i="81"/>
  <c r="J90" i="81"/>
  <c r="W56" i="81" s="1"/>
  <c r="AB13" i="6"/>
  <c r="S128" i="81"/>
  <c r="I128" i="81"/>
  <c r="S125" i="81"/>
  <c r="I125" i="81"/>
  <c r="J130" i="81" s="1"/>
  <c r="W101" i="81" s="1"/>
  <c r="I46" i="16"/>
  <c r="J47" i="16" s="1"/>
  <c r="S55" i="16" s="1"/>
  <c r="S138" i="11" s="1"/>
  <c r="S46" i="16"/>
  <c r="D269" i="14"/>
  <c r="L109" i="14"/>
  <c r="Q109" i="14" s="1"/>
  <c r="R78" i="14"/>
  <c r="D110" i="14" s="1"/>
  <c r="R38" i="14"/>
  <c r="F59" i="14" s="1"/>
  <c r="D62" i="14" s="1"/>
  <c r="G81" i="40"/>
  <c r="W51" i="40" s="1"/>
  <c r="S177" i="11"/>
  <c r="J47" i="17"/>
  <c r="S144" i="17" s="1"/>
  <c r="J47" i="10"/>
  <c r="W13" i="10" s="1"/>
  <c r="H110" i="6"/>
  <c r="Q240" i="6"/>
  <c r="Q246" i="6" s="1"/>
  <c r="Q247" i="6" s="1"/>
  <c r="AB149" i="6" s="1"/>
  <c r="J47" i="9"/>
  <c r="W13" i="9" s="1"/>
  <c r="S89" i="17"/>
  <c r="I89" i="17"/>
  <c r="J405" i="7"/>
  <c r="J323" i="7"/>
  <c r="O327" i="7" s="1"/>
  <c r="O328" i="7" s="1"/>
  <c r="S354" i="7" s="1"/>
  <c r="L364" i="7" s="1"/>
  <c r="D367" i="7" s="1"/>
  <c r="R120" i="17"/>
  <c r="J121" i="17" s="1"/>
  <c r="J128" i="17" s="1"/>
  <c r="M116" i="17"/>
  <c r="J117" i="17" s="1"/>
  <c r="J125" i="17" s="1"/>
  <c r="W54" i="8"/>
  <c r="S139" i="8"/>
  <c r="O269" i="14"/>
  <c r="O276" i="14"/>
  <c r="O262" i="14"/>
  <c r="D265" i="14" s="1"/>
  <c r="H156" i="14"/>
  <c r="G155" i="14"/>
  <c r="I86" i="17"/>
  <c r="S86" i="17"/>
  <c r="AB177" i="7"/>
  <c r="H238" i="7"/>
  <c r="G237" i="7" s="1"/>
  <c r="I86" i="10"/>
  <c r="S86" i="10"/>
  <c r="D222" i="14"/>
  <c r="S89" i="9"/>
  <c r="I89" i="9"/>
  <c r="I89" i="10"/>
  <c r="S89" i="10"/>
  <c r="Z63" i="11"/>
  <c r="H154" i="7"/>
  <c r="S265" i="7" s="1"/>
  <c r="R120" i="9"/>
  <c r="J121" i="9" s="1"/>
  <c r="J128" i="9" s="1"/>
  <c r="M116" i="9"/>
  <c r="J117" i="9" s="1"/>
  <c r="J125" i="9" s="1"/>
  <c r="R120" i="10"/>
  <c r="J121" i="10" s="1"/>
  <c r="J128" i="10" s="1"/>
  <c r="M116" i="10"/>
  <c r="J117" i="10" s="1"/>
  <c r="J125" i="10" s="1"/>
  <c r="J473" i="6"/>
  <c r="P472" i="6" s="1"/>
  <c r="P473" i="6" s="1"/>
  <c r="R521" i="6" s="1"/>
  <c r="J599" i="6"/>
  <c r="S86" i="9"/>
  <c r="I86" i="9"/>
  <c r="O337" i="14"/>
  <c r="D340" i="14" s="1"/>
  <c r="Q410" i="14" s="1"/>
  <c r="Q414" i="14" s="1"/>
  <c r="Q415" i="14" s="1"/>
  <c r="R372" i="14"/>
  <c r="O343" i="14"/>
  <c r="D346" i="14" s="1"/>
  <c r="O349" i="14"/>
  <c r="O357" i="6"/>
  <c r="D360" i="6" s="1"/>
  <c r="O362" i="6"/>
  <c r="D365" i="6" s="1"/>
  <c r="O352" i="6"/>
  <c r="D355" i="6" s="1"/>
  <c r="Q369" i="6" s="1"/>
  <c r="Q375" i="6" s="1"/>
  <c r="Q376" i="6" s="1"/>
  <c r="S139" i="15"/>
  <c r="W54" i="15"/>
  <c r="G238" i="38"/>
  <c r="W178" i="38" s="1"/>
  <c r="D110" i="91" l="1"/>
  <c r="D113" i="91" s="1"/>
  <c r="Q115" i="91" s="1"/>
  <c r="Q119" i="91" s="1"/>
  <c r="Q120" i="91" s="1"/>
  <c r="Q268" i="118"/>
  <c r="J269" i="118" s="1"/>
  <c r="D272" i="118" s="1"/>
  <c r="L397" i="118"/>
  <c r="Q397" i="118" s="1"/>
  <c r="J398" i="118" s="1"/>
  <c r="D401" i="118" s="1"/>
  <c r="D113" i="118"/>
  <c r="Q115" i="118" s="1"/>
  <c r="Q119" i="118" s="1"/>
  <c r="Q120" i="118" s="1"/>
  <c r="L404" i="118"/>
  <c r="Q404" i="118" s="1"/>
  <c r="J405" i="118" s="1"/>
  <c r="Q275" i="118"/>
  <c r="J276" i="118" s="1"/>
  <c r="F225" i="118"/>
  <c r="D228" i="118" s="1"/>
  <c r="R324" i="118"/>
  <c r="F349" i="118" s="1"/>
  <c r="D352" i="118" s="1"/>
  <c r="R368" i="118"/>
  <c r="D405" i="118" s="1"/>
  <c r="D276" i="118"/>
  <c r="L221" i="91"/>
  <c r="Q221" i="91" s="1"/>
  <c r="J222" i="91" s="1"/>
  <c r="D225" i="91" s="1"/>
  <c r="R157" i="91"/>
  <c r="F178" i="91" s="1"/>
  <c r="D181" i="91" s="1"/>
  <c r="L228" i="91"/>
  <c r="Q228" i="91" s="1"/>
  <c r="J229" i="91" s="1"/>
  <c r="Q102" i="14"/>
  <c r="J103" i="14" s="1"/>
  <c r="D106" i="14" s="1"/>
  <c r="L268" i="14"/>
  <c r="D229" i="91"/>
  <c r="R321" i="91"/>
  <c r="D358" i="91" s="1"/>
  <c r="H558" i="89"/>
  <c r="G557" i="89"/>
  <c r="H470" i="89"/>
  <c r="G469" i="89"/>
  <c r="L275" i="14"/>
  <c r="Q275" i="14" s="1"/>
  <c r="J276" i="14" s="1"/>
  <c r="J110" i="14"/>
  <c r="D113" i="14" s="1"/>
  <c r="R204" i="14"/>
  <c r="F225" i="14" s="1"/>
  <c r="D228" i="14" s="1"/>
  <c r="Q133" i="40"/>
  <c r="Q195" i="11" s="1"/>
  <c r="R244" i="14"/>
  <c r="R368" i="14" s="1"/>
  <c r="D405" i="14" s="1"/>
  <c r="W13" i="17"/>
  <c r="S113" i="11"/>
  <c r="Z57" i="11"/>
  <c r="H111" i="6"/>
  <c r="S418" i="6" s="1"/>
  <c r="S144" i="10"/>
  <c r="J90" i="17"/>
  <c r="W56" i="17" s="1"/>
  <c r="W13" i="16"/>
  <c r="H250" i="6"/>
  <c r="J90" i="9"/>
  <c r="W56" i="9" s="1"/>
  <c r="S144" i="9"/>
  <c r="H379" i="6"/>
  <c r="G378" i="6" s="1"/>
  <c r="AB287" i="6"/>
  <c r="O405" i="14"/>
  <c r="O391" i="14"/>
  <c r="D394" i="14" s="1"/>
  <c r="O398" i="14"/>
  <c r="H239" i="7"/>
  <c r="G238" i="7"/>
  <c r="S125" i="10"/>
  <c r="I125" i="10"/>
  <c r="S125" i="9"/>
  <c r="I125" i="9"/>
  <c r="H417" i="14"/>
  <c r="G416" i="14" s="1"/>
  <c r="AB299" i="14"/>
  <c r="S128" i="9"/>
  <c r="I128" i="9"/>
  <c r="AB314" i="7"/>
  <c r="H370" i="7"/>
  <c r="G369" i="7" s="1"/>
  <c r="S128" i="10"/>
  <c r="I128" i="10"/>
  <c r="J731" i="6"/>
  <c r="J732" i="6" s="1"/>
  <c r="P731" i="6" s="1"/>
  <c r="P732" i="6" s="1"/>
  <c r="R785" i="6" s="1"/>
  <c r="J600" i="6"/>
  <c r="P599" i="6" s="1"/>
  <c r="P600" i="6" s="1"/>
  <c r="R653" i="6" s="1"/>
  <c r="J493" i="7"/>
  <c r="J494" i="7" s="1"/>
  <c r="O498" i="7" s="1"/>
  <c r="O499" i="7" s="1"/>
  <c r="S530" i="7" s="1"/>
  <c r="L540" i="7" s="1"/>
  <c r="D543" i="7" s="1"/>
  <c r="J406" i="7"/>
  <c r="O410" i="7" s="1"/>
  <c r="O411" i="7" s="1"/>
  <c r="S442" i="7" s="1"/>
  <c r="L452" i="7" s="1"/>
  <c r="D455" i="7" s="1"/>
  <c r="O524" i="6"/>
  <c r="D527" i="6" s="1"/>
  <c r="O534" i="6"/>
  <c r="D537" i="6" s="1"/>
  <c r="O529" i="6"/>
  <c r="D532" i="6" s="1"/>
  <c r="S125" i="17"/>
  <c r="I125" i="17"/>
  <c r="I128" i="17"/>
  <c r="S128" i="17"/>
  <c r="J90" i="10"/>
  <c r="D279" i="118" l="1"/>
  <c r="D408" i="118"/>
  <c r="H122" i="118"/>
  <c r="AB13" i="118"/>
  <c r="Q115" i="14"/>
  <c r="Q119" i="14" s="1"/>
  <c r="Q120" i="14" s="1"/>
  <c r="L350" i="91"/>
  <c r="Q350" i="91" s="1"/>
  <c r="J351" i="91" s="1"/>
  <c r="D354" i="91" s="1"/>
  <c r="L357" i="91"/>
  <c r="Q357" i="91" s="1"/>
  <c r="J358" i="91" s="1"/>
  <c r="D361" i="91" s="1"/>
  <c r="R277" i="91"/>
  <c r="F302" i="91" s="1"/>
  <c r="D305" i="91" s="1"/>
  <c r="D232" i="91"/>
  <c r="Q234" i="91" s="1"/>
  <c r="Q238" i="91" s="1"/>
  <c r="Q239" i="91" s="1"/>
  <c r="AB13" i="91"/>
  <c r="H122" i="91"/>
  <c r="W103" i="11" s="1"/>
  <c r="Q268" i="14"/>
  <c r="J269" i="14" s="1"/>
  <c r="D272" i="14" s="1"/>
  <c r="L397" i="14"/>
  <c r="Q397" i="14" s="1"/>
  <c r="J398" i="14" s="1"/>
  <c r="D401" i="14" s="1"/>
  <c r="L404" i="14"/>
  <c r="Q404" i="14" s="1"/>
  <c r="J405" i="14" s="1"/>
  <c r="D408" i="14" s="1"/>
  <c r="D276" i="14"/>
  <c r="D279" i="14" s="1"/>
  <c r="R324" i="14"/>
  <c r="F349" i="14" s="1"/>
  <c r="D352" i="14" s="1"/>
  <c r="H251" i="6"/>
  <c r="S145" i="17"/>
  <c r="S145" i="9"/>
  <c r="Z58" i="11"/>
  <c r="S114" i="11"/>
  <c r="Q281" i="14"/>
  <c r="Q285" i="14" s="1"/>
  <c r="Q286" i="14" s="1"/>
  <c r="H288" i="14" s="1"/>
  <c r="J130" i="9"/>
  <c r="W101" i="9" s="1"/>
  <c r="O793" i="6"/>
  <c r="D796" i="6" s="1"/>
  <c r="O788" i="6"/>
  <c r="D791" i="6" s="1"/>
  <c r="Q805" i="6" s="1"/>
  <c r="Q811" i="6" s="1"/>
  <c r="Q812" i="6" s="1"/>
  <c r="O798" i="6"/>
  <c r="D801" i="6" s="1"/>
  <c r="Q541" i="6"/>
  <c r="Q547" i="6" s="1"/>
  <c r="Q548" i="6" s="1"/>
  <c r="H418" i="14"/>
  <c r="G417" i="14"/>
  <c r="J130" i="17"/>
  <c r="W101" i="17" s="1"/>
  <c r="J130" i="10"/>
  <c r="W101" i="10" s="1"/>
  <c r="O656" i="6"/>
  <c r="D659" i="6" s="1"/>
  <c r="Q673" i="6" s="1"/>
  <c r="Q679" i="6" s="1"/>
  <c r="Q680" i="6" s="1"/>
  <c r="O661" i="6"/>
  <c r="D664" i="6" s="1"/>
  <c r="O666" i="6"/>
  <c r="D669" i="6" s="1"/>
  <c r="H458" i="7"/>
  <c r="G457" i="7" s="1"/>
  <c r="AB397" i="7"/>
  <c r="H380" i="6"/>
  <c r="G379" i="6"/>
  <c r="H371" i="7"/>
  <c r="G370" i="7"/>
  <c r="H546" i="7"/>
  <c r="G545" i="7" s="1"/>
  <c r="AB485" i="7"/>
  <c r="W56" i="10"/>
  <c r="S145" i="10"/>
  <c r="H241" i="91" l="1"/>
  <c r="G240" i="91" s="1"/>
  <c r="AB132" i="91"/>
  <c r="W156" i="11"/>
  <c r="Z121" i="118"/>
  <c r="H123" i="118"/>
  <c r="S431" i="118" s="1"/>
  <c r="S156" i="11" s="1"/>
  <c r="R142" i="118"/>
  <c r="H123" i="91"/>
  <c r="S384" i="91" s="1"/>
  <c r="S103" i="11" s="1"/>
  <c r="Z121" i="91"/>
  <c r="H122" i="14"/>
  <c r="AB13" i="14"/>
  <c r="G287" i="14"/>
  <c r="H289" i="14" s="1"/>
  <c r="AB179" i="14"/>
  <c r="H551" i="6"/>
  <c r="G550" i="6" s="1"/>
  <c r="AB464" i="6"/>
  <c r="AB723" i="6"/>
  <c r="H815" i="6"/>
  <c r="G814" i="6" s="1"/>
  <c r="H547" i="7"/>
  <c r="G546" i="7"/>
  <c r="AB591" i="6"/>
  <c r="H683" i="6"/>
  <c r="G682" i="6" s="1"/>
  <c r="H459" i="7"/>
  <c r="G458" i="7"/>
  <c r="G241" i="91" l="1"/>
  <c r="H242" i="91"/>
  <c r="R142" i="14"/>
  <c r="H123" i="14"/>
  <c r="S431" i="14" s="1"/>
  <c r="Z121" i="14"/>
  <c r="G288" i="14"/>
  <c r="G815" i="6"/>
  <c r="H816" i="6"/>
  <c r="G683" i="6"/>
  <c r="H684" i="6"/>
  <c r="G551" i="6"/>
  <c r="H552"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aeprcha</author>
    <author>Praful Chandarana</author>
  </authors>
  <commentList>
    <comment ref="S10" authorId="0" shapeId="0" xr:uid="{CA11FEAF-29C7-4029-9134-DAB09C08AB2F}">
      <text>
        <r>
          <rPr>
            <b/>
            <sz val="10"/>
            <color indexed="81"/>
            <rFont val="Tahoma"/>
            <family val="2"/>
          </rPr>
          <t>aeprcha:</t>
        </r>
        <r>
          <rPr>
            <sz val="10"/>
            <color indexed="81"/>
            <rFont val="Tahoma"/>
            <family val="2"/>
          </rPr>
          <t xml:space="preserve">
Usually 4.00 sqmm
Sometimes 6.00 sqmm</t>
        </r>
      </text>
    </comment>
    <comment ref="S11" authorId="0" shapeId="0" xr:uid="{15F13990-C2F5-40F6-BF2B-4DD1749B5C2A}">
      <text>
        <r>
          <rPr>
            <b/>
            <sz val="10"/>
            <color indexed="81"/>
            <rFont val="Tahoma"/>
            <family val="2"/>
          </rPr>
          <t>aeprcha:</t>
        </r>
        <r>
          <rPr>
            <sz val="10"/>
            <color indexed="81"/>
            <rFont val="Tahoma"/>
            <family val="2"/>
          </rPr>
          <t xml:space="preserve">
4.20 for 4 sqmm cable
2.80 for 6 sqmm cable</t>
        </r>
      </text>
    </comment>
    <comment ref="S12" authorId="1" shapeId="0" xr:uid="{204700E4-436D-4D0C-A5E3-6183C3FBED9B}">
      <text>
        <r>
          <rPr>
            <b/>
            <sz val="9"/>
            <color indexed="81"/>
            <rFont val="Tahoma"/>
            <family val="2"/>
          </rPr>
          <t>Praful Chandarana:</t>
        </r>
        <r>
          <rPr>
            <sz val="9"/>
            <color indexed="81"/>
            <rFont val="Tahoma"/>
            <family val="2"/>
          </rPr>
          <t xml:space="preserve">
usually 0.00393</t>
        </r>
      </text>
    </comment>
    <comment ref="S28" authorId="0" shapeId="0" xr:uid="{8CC35CDA-BE49-4354-8FCD-DC7C4CEBF4F9}">
      <text>
        <r>
          <rPr>
            <b/>
            <sz val="10"/>
            <color indexed="81"/>
            <rFont val="Tahoma"/>
            <family val="2"/>
          </rPr>
          <t>aeprcha:</t>
        </r>
        <r>
          <rPr>
            <sz val="10"/>
            <color indexed="81"/>
            <rFont val="Tahoma"/>
            <family val="2"/>
          </rPr>
          <t xml:space="preserve">
Usually 4.00 sqmm
Sometimes 6.00 sqmm</t>
        </r>
      </text>
    </comment>
    <comment ref="S29" authorId="0" shapeId="0" xr:uid="{1C53CC2A-7B1D-43E7-9B68-EA48C652827B}">
      <text>
        <r>
          <rPr>
            <b/>
            <sz val="10"/>
            <color indexed="81"/>
            <rFont val="Tahoma"/>
            <family val="2"/>
          </rPr>
          <t>aeprcha:</t>
        </r>
        <r>
          <rPr>
            <sz val="10"/>
            <color indexed="81"/>
            <rFont val="Tahoma"/>
            <family val="2"/>
          </rPr>
          <t xml:space="preserve">
4.20 for 4 sqmm cable
2.80 for 6 sqmm cable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aeprcha</author>
  </authors>
  <commentList>
    <comment ref="Q11" authorId="0" shapeId="0" xr:uid="{9F604294-9807-484F-8F57-A10D48EC997E}">
      <text>
        <r>
          <rPr>
            <b/>
            <sz val="10"/>
            <color indexed="81"/>
            <rFont val="Tahoma"/>
            <family val="2"/>
          </rPr>
          <t>aeprcha:</t>
        </r>
        <r>
          <rPr>
            <sz val="10"/>
            <color indexed="81"/>
            <rFont val="Tahoma"/>
            <family val="2"/>
          </rPr>
          <t xml:space="preserve">
(400kV-60, 220kV to 132kV-40, below 132 kV-15, usually)</t>
        </r>
      </text>
    </comment>
    <comment ref="Q14" authorId="0" shapeId="0" xr:uid="{D1E0D93B-B8DC-4585-A89D-B78DE11317E6}">
      <text>
        <r>
          <rPr>
            <b/>
            <sz val="10"/>
            <color indexed="81"/>
            <rFont val="Tahoma"/>
            <family val="2"/>
          </rPr>
          <t>aeprcha:</t>
        </r>
        <r>
          <rPr>
            <sz val="10"/>
            <color indexed="81"/>
            <rFont val="Tahoma"/>
            <family val="2"/>
          </rPr>
          <t xml:space="preserve">
(400kV-60, 220kV to 132kV-40, below 132 kV-15, usually)</t>
        </r>
      </text>
    </comment>
    <comment ref="Q37" authorId="0" shapeId="0" xr:uid="{E81A7196-6B06-4792-B173-63042E1A88E7}">
      <text>
        <r>
          <rPr>
            <b/>
            <sz val="10"/>
            <color indexed="81"/>
            <rFont val="Tahoma"/>
            <family val="2"/>
          </rPr>
          <t>aeprcha:</t>
        </r>
        <r>
          <rPr>
            <sz val="10"/>
            <color indexed="81"/>
            <rFont val="Tahoma"/>
            <family val="2"/>
          </rPr>
          <t xml:space="preserve">
Usually 1.0 or 1.1</t>
        </r>
      </text>
    </comment>
  </commentList>
</comments>
</file>

<file path=xl/sharedStrings.xml><?xml version="1.0" encoding="utf-8"?>
<sst xmlns="http://schemas.openxmlformats.org/spreadsheetml/2006/main" count="24482" uniqueCount="992">
  <si>
    <t>HITACHI</t>
  </si>
  <si>
    <t>CT / VT</t>
  </si>
  <si>
    <t>Contract No.</t>
  </si>
  <si>
    <t>N-19957.1-DF5W</t>
  </si>
  <si>
    <t>ADEQUACY CHECK</t>
  </si>
  <si>
    <t>Date</t>
  </si>
  <si>
    <t>Document No.</t>
  </si>
  <si>
    <t>-</t>
  </si>
  <si>
    <t>Revision No.</t>
  </si>
  <si>
    <t>A</t>
  </si>
  <si>
    <t>Prep. By</t>
  </si>
  <si>
    <t>AP</t>
  </si>
  <si>
    <t>Checked By</t>
  </si>
  <si>
    <t>RB</t>
  </si>
  <si>
    <t>Title Sheet</t>
  </si>
  <si>
    <t>Contractor</t>
  </si>
  <si>
    <t>CT/VT ADEQUACY CHECK</t>
  </si>
  <si>
    <t>CT &amp; VT CALCULATIONS</t>
  </si>
  <si>
    <t>Hitachi</t>
  </si>
  <si>
    <t>Substation Automation Systems</t>
  </si>
  <si>
    <t>Date:</t>
  </si>
  <si>
    <t>Prepared by:</t>
  </si>
  <si>
    <t>Arulprakasam K</t>
  </si>
  <si>
    <t>Checked by:</t>
  </si>
  <si>
    <t>Ramesh Babu</t>
  </si>
  <si>
    <t>Approved by:</t>
  </si>
  <si>
    <t>Rudresh N</t>
  </si>
  <si>
    <t>Index</t>
  </si>
  <si>
    <t>INDEX</t>
  </si>
  <si>
    <t>Pg:No</t>
  </si>
  <si>
    <t>1</t>
  </si>
  <si>
    <t>NOTES</t>
  </si>
  <si>
    <t>Page 4 of 25</t>
  </si>
  <si>
    <t>2</t>
  </si>
  <si>
    <t>SUMMARY SHEET</t>
  </si>
  <si>
    <t>Page 5 of 25</t>
  </si>
  <si>
    <t>CT / VT Data Summary</t>
  </si>
  <si>
    <t>3</t>
  </si>
  <si>
    <t>CT/VT BURDEN DETAILS</t>
  </si>
  <si>
    <t>4</t>
  </si>
  <si>
    <t>Parameters &amp; Fault Calculations</t>
  </si>
  <si>
    <t>5</t>
  </si>
  <si>
    <t>6</t>
  </si>
  <si>
    <t>7</t>
  </si>
  <si>
    <t>8</t>
  </si>
  <si>
    <t>9</t>
  </si>
  <si>
    <t>10</t>
  </si>
  <si>
    <t>11</t>
  </si>
  <si>
    <t xml:space="preserve">Supporting Documents </t>
  </si>
  <si>
    <t>ANNEXURE-A</t>
  </si>
  <si>
    <t>Over All SLD</t>
  </si>
  <si>
    <t xml:space="preserve">Annexure- A </t>
  </si>
  <si>
    <t>Relays Burden</t>
  </si>
  <si>
    <t>ANNEXURE-B</t>
  </si>
  <si>
    <t>Input requirements list</t>
  </si>
  <si>
    <t>Annexure- B</t>
  </si>
  <si>
    <t>CT requirements of RET670</t>
  </si>
  <si>
    <t>ANNEXURE-C</t>
  </si>
  <si>
    <t>CT requirements of RED670</t>
  </si>
  <si>
    <t>Annexure- C</t>
  </si>
  <si>
    <t>CT requirements of RET615</t>
  </si>
  <si>
    <t>ANNEXURE-D</t>
  </si>
  <si>
    <t>Annexure- D</t>
  </si>
  <si>
    <t>CT requirements of REF615</t>
  </si>
  <si>
    <t>ANNEXURE-E</t>
  </si>
  <si>
    <t>CT requirements of REC670</t>
  </si>
  <si>
    <t>Annexure- E</t>
  </si>
  <si>
    <t>ESI Standard 48-3</t>
  </si>
  <si>
    <t>ANNEXURE-F</t>
  </si>
  <si>
    <t>CT requirements of REB500</t>
  </si>
  <si>
    <t>ANNEXURE-G</t>
  </si>
  <si>
    <t>ANNEXURE-H</t>
  </si>
  <si>
    <t>CT requirements of 7SL86</t>
  </si>
  <si>
    <t>Annexure- F</t>
  </si>
  <si>
    <t>220kV SS-516 SLD</t>
  </si>
  <si>
    <t>ANNEXURE-I</t>
  </si>
  <si>
    <t>CT requirements of SEL487E</t>
  </si>
  <si>
    <t>Notes</t>
  </si>
  <si>
    <t>165m Lead Resistance of the current loop from the 33kV Incomer SWGR to 220kV Transformer Protection Panel.</t>
  </si>
  <si>
    <t>1. CT Adequacy Check calculation  of Remote End Cable Feeders are part of different submission</t>
  </si>
  <si>
    <t>2. The CT  sizing calculation is done for two type of relays RED670 and 7SD522  for cable feeders</t>
  </si>
  <si>
    <t xml:space="preserve">3. Class X type CTs are proposed against that of Class TPS type CTs as per SOW </t>
  </si>
  <si>
    <t>Note:</t>
  </si>
  <si>
    <t>This Calculation is Applicable for all the three S/S</t>
  </si>
  <si>
    <t xml:space="preserve">MV Max. Bus fault level/Switchgear Rating is assumed as 31.5kA as per Specification S-AAA-GEN-SFL
  (REV.0-2011) clause 3
</t>
  </si>
  <si>
    <t>MV X/R Ratio is assumed as 15</t>
  </si>
  <si>
    <t xml:space="preserve">LV Max. Bus fault level/Switchgear Rating is assumed as 25kA as per Specification S-AAA-GEN-SFL
  (REV.0-2011) clause 3
</t>
  </si>
  <si>
    <t>LV X/R Ratio is assumed as 15</t>
  </si>
  <si>
    <t>Power Cable Type  is assumed as CU XLPE type .</t>
  </si>
  <si>
    <t>Positive  Sequence Resistance, Positive Sequence Reactance , Zero Sequence Resistance and Zero Sequence Reactance of the power cable are assumed</t>
  </si>
  <si>
    <t>Route Length of the power cable is assumed  as 5km</t>
  </si>
  <si>
    <t>Minimum 33kV Busbar Fault Current is Assumed as 20kA</t>
  </si>
  <si>
    <t>33/11kV Transformer Impedance is Assumed to be 12%</t>
  </si>
  <si>
    <t>Summary Sheet</t>
  </si>
  <si>
    <t>CT parameters (Summary)</t>
  </si>
  <si>
    <t>220/132kV Over All Transformer Differential (320MVA) Q08, Q13</t>
  </si>
  <si>
    <t>(Transformer Differential - 132kV side CT)</t>
  </si>
  <si>
    <t>CT / Core</t>
  </si>
  <si>
    <t>Ratio (A)</t>
  </si>
  <si>
    <r>
      <t>CT Cable m/mm</t>
    </r>
    <r>
      <rPr>
        <b/>
        <vertAlign val="superscript"/>
        <sz val="10"/>
        <rFont val="Arial"/>
        <family val="2"/>
      </rPr>
      <t>2</t>
    </r>
  </si>
  <si>
    <t>Class</t>
  </si>
  <si>
    <r>
      <t>Rct @ 75</t>
    </r>
    <r>
      <rPr>
        <b/>
        <vertAlign val="superscript"/>
        <sz val="10"/>
        <rFont val="Arial"/>
        <family val="2"/>
      </rPr>
      <t>O</t>
    </r>
    <r>
      <rPr>
        <b/>
        <sz val="10"/>
        <rFont val="Arial"/>
        <family val="2"/>
      </rPr>
      <t>C
(</t>
    </r>
    <r>
      <rPr>
        <b/>
        <sz val="10"/>
        <rFont val="Calibri"/>
        <family val="2"/>
      </rPr>
      <t>Ω</t>
    </r>
    <r>
      <rPr>
        <b/>
        <sz val="10"/>
        <rFont val="Arial"/>
        <family val="2"/>
      </rPr>
      <t>)</t>
    </r>
  </si>
  <si>
    <t>Rated Vk
(V)</t>
  </si>
  <si>
    <t>Im @ Vk
(mA)</t>
  </si>
  <si>
    <t>Connected Devices</t>
  </si>
  <si>
    <t xml:space="preserve">CT Suitability </t>
  </si>
  <si>
    <t>Required Vk (V)</t>
  </si>
  <si>
    <t>(Transformer Differential - 220kV side CT)</t>
  </si>
  <si>
    <t>(OCEF Protection)</t>
  </si>
  <si>
    <t>(Low Imp. Busbar  - 132kV side CT)</t>
  </si>
  <si>
    <t>(Hi Imp. REF - 132kV Side CT)</t>
  </si>
  <si>
    <t>(BCU)</t>
  </si>
  <si>
    <t>Rated Burden (VA)</t>
  </si>
  <si>
    <t>(SBEF Protection - 132kV side CT)</t>
  </si>
  <si>
    <t>Rated Burden VA</t>
  </si>
  <si>
    <t>Required FS'</t>
  </si>
  <si>
    <t>Total Connected Burden</t>
  </si>
  <si>
    <t>Effective Safety Factor of CT, FS'</t>
  </si>
  <si>
    <t>Core6</t>
  </si>
  <si>
    <t>33kV Station  Transformer (H03,H27)</t>
  </si>
  <si>
    <t>T1</t>
  </si>
  <si>
    <t>Core3</t>
  </si>
  <si>
    <t>33kV BC &amp; BS (H06,H14,H22)</t>
  </si>
  <si>
    <t>Required Kssc'</t>
  </si>
  <si>
    <t>Core5</t>
  </si>
  <si>
    <t>Core4</t>
  </si>
  <si>
    <t>VT parameters (Summary)</t>
  </si>
  <si>
    <t>VT / Core</t>
  </si>
  <si>
    <t>Voltage Ratio (kV)</t>
  </si>
  <si>
    <r>
      <t>VT Cable m/mm</t>
    </r>
    <r>
      <rPr>
        <b/>
        <vertAlign val="superscript"/>
        <sz val="10"/>
        <rFont val="Arial"/>
        <family val="2"/>
      </rPr>
      <t>2</t>
    </r>
  </si>
  <si>
    <t>VT Suitability</t>
  </si>
  <si>
    <t>Required VA</t>
  </si>
  <si>
    <t>(Transformer Differential - 33kV side CT)</t>
  </si>
  <si>
    <t>Trafo Diff - 5P class</t>
  </si>
  <si>
    <t>Calculated Vk (V)</t>
  </si>
  <si>
    <t>For CT Wiring</t>
  </si>
  <si>
    <t>Burden of the connecting leads :</t>
  </si>
  <si>
    <r>
      <t>Conductor cross section in mm</t>
    </r>
    <r>
      <rPr>
        <vertAlign val="superscript"/>
        <sz val="10"/>
        <rFont val="Arial"/>
        <family val="2"/>
      </rPr>
      <t>2</t>
    </r>
  </si>
  <si>
    <t>=</t>
  </si>
  <si>
    <r>
      <t>mm</t>
    </r>
    <r>
      <rPr>
        <vertAlign val="superscript"/>
        <sz val="10"/>
        <rFont val="Arial"/>
        <family val="2"/>
      </rPr>
      <t>2</t>
    </r>
  </si>
  <si>
    <t>**</t>
  </si>
  <si>
    <r>
      <t>Resistance in W/km at 20</t>
    </r>
    <r>
      <rPr>
        <vertAlign val="superscript"/>
        <sz val="10"/>
        <rFont val="Arial"/>
        <family val="2"/>
      </rPr>
      <t>0</t>
    </r>
    <r>
      <rPr>
        <sz val="10"/>
        <rFont val="Arial"/>
        <family val="2"/>
      </rPr>
      <t xml:space="preserve"> C</t>
    </r>
  </si>
  <si>
    <t>R20</t>
  </si>
  <si>
    <t>Ω/km</t>
  </si>
  <si>
    <r>
      <t>Specific resistance at 20</t>
    </r>
    <r>
      <rPr>
        <vertAlign val="superscript"/>
        <sz val="10"/>
        <rFont val="Arial"/>
        <family val="2"/>
      </rPr>
      <t>0</t>
    </r>
    <r>
      <rPr>
        <sz val="10"/>
        <rFont val="Arial"/>
        <family val="2"/>
      </rPr>
      <t xml:space="preserve"> C</t>
    </r>
  </si>
  <si>
    <t>(copper wires)</t>
  </si>
  <si>
    <t>a</t>
  </si>
  <si>
    <r>
      <t>K</t>
    </r>
    <r>
      <rPr>
        <vertAlign val="superscript"/>
        <sz val="10"/>
        <rFont val="Arial"/>
        <family val="2"/>
      </rPr>
      <t>-1</t>
    </r>
  </si>
  <si>
    <r>
      <t>Resistance in Ω/km at t</t>
    </r>
    <r>
      <rPr>
        <b/>
        <vertAlign val="superscript"/>
        <sz val="10"/>
        <rFont val="Arial"/>
        <family val="2"/>
      </rPr>
      <t>0</t>
    </r>
    <r>
      <rPr>
        <b/>
        <sz val="10"/>
        <rFont val="Arial"/>
        <family val="2"/>
      </rPr>
      <t xml:space="preserve"> C =</t>
    </r>
  </si>
  <si>
    <r>
      <t>R</t>
    </r>
    <r>
      <rPr>
        <b/>
        <vertAlign val="subscript"/>
        <sz val="10"/>
        <rFont val="Arial"/>
        <family val="2"/>
      </rPr>
      <t>20</t>
    </r>
    <r>
      <rPr>
        <b/>
        <sz val="10"/>
        <rFont val="Arial"/>
        <family val="2"/>
      </rPr>
      <t xml:space="preserve"> [ 1 + a ( t - 20</t>
    </r>
    <r>
      <rPr>
        <b/>
        <vertAlign val="superscript"/>
        <sz val="10"/>
        <rFont val="Arial"/>
        <family val="2"/>
      </rPr>
      <t>0</t>
    </r>
    <r>
      <rPr>
        <b/>
        <sz val="10"/>
        <rFont val="Arial"/>
        <family val="2"/>
      </rPr>
      <t xml:space="preserve"> C ) ]</t>
    </r>
  </si>
  <si>
    <r>
      <t>Resistance in ohms/km at 75</t>
    </r>
    <r>
      <rPr>
        <vertAlign val="superscript"/>
        <sz val="10"/>
        <rFont val="Arial"/>
        <family val="2"/>
      </rPr>
      <t>0</t>
    </r>
    <r>
      <rPr>
        <sz val="10"/>
        <rFont val="Arial"/>
        <family val="2"/>
      </rPr>
      <t xml:space="preserve"> C =</t>
    </r>
  </si>
  <si>
    <r>
      <t>Resistance in ohms/m   at 75</t>
    </r>
    <r>
      <rPr>
        <vertAlign val="superscript"/>
        <sz val="10"/>
        <rFont val="Arial"/>
        <family val="2"/>
      </rPr>
      <t>0</t>
    </r>
    <r>
      <rPr>
        <sz val="10"/>
        <rFont val="Arial"/>
        <family val="2"/>
      </rPr>
      <t xml:space="preserve"> C =</t>
    </r>
  </si>
  <si>
    <t>R</t>
  </si>
  <si>
    <t>Ω/m</t>
  </si>
  <si>
    <t>Secondary current of CT</t>
  </si>
  <si>
    <t>Is</t>
  </si>
  <si>
    <t>Relay Rated current</t>
  </si>
  <si>
    <t>Ir</t>
  </si>
  <si>
    <t>Conductor length in meters ( CT to relay )</t>
  </si>
  <si>
    <t>l</t>
  </si>
  <si>
    <t>m</t>
  </si>
  <si>
    <t>Lead Resistance from the CT to Relay</t>
  </si>
  <si>
    <r>
      <t>RL</t>
    </r>
    <r>
      <rPr>
        <vertAlign val="subscript"/>
        <sz val="10"/>
        <rFont val="Arial"/>
        <family val="2"/>
      </rPr>
      <t xml:space="preserve"> </t>
    </r>
    <r>
      <rPr>
        <sz val="10"/>
        <rFont val="Arial"/>
        <family val="2"/>
      </rPr>
      <t>=R x l</t>
    </r>
  </si>
  <si>
    <t>Ω</t>
  </si>
  <si>
    <t>Lead Resistance of the current loop from the CT to Relay</t>
  </si>
  <si>
    <r>
      <t>2RL</t>
    </r>
    <r>
      <rPr>
        <vertAlign val="subscript"/>
        <sz val="10"/>
        <rFont val="Arial"/>
        <family val="2"/>
      </rPr>
      <t xml:space="preserve"> </t>
    </r>
    <r>
      <rPr>
        <sz val="10"/>
        <rFont val="Arial"/>
        <family val="2"/>
      </rPr>
      <t>= 2 x R x l</t>
    </r>
  </si>
  <si>
    <t>VA consumption of the  connecting leads</t>
  </si>
  <si>
    <r>
      <t>P</t>
    </r>
    <r>
      <rPr>
        <vertAlign val="subscript"/>
        <sz val="10"/>
        <rFont val="Arial"/>
        <family val="2"/>
      </rPr>
      <t>l</t>
    </r>
    <r>
      <rPr>
        <sz val="10"/>
        <rFont val="Arial"/>
        <family val="2"/>
      </rPr>
      <t xml:space="preserve"> = I</t>
    </r>
    <r>
      <rPr>
        <vertAlign val="subscript"/>
        <sz val="10"/>
        <rFont val="Arial"/>
        <family val="2"/>
      </rPr>
      <t>s</t>
    </r>
    <r>
      <rPr>
        <vertAlign val="superscript"/>
        <sz val="10"/>
        <rFont val="Arial"/>
        <family val="2"/>
      </rPr>
      <t>2</t>
    </r>
    <r>
      <rPr>
        <sz val="10"/>
        <rFont val="Arial"/>
        <family val="2"/>
      </rPr>
      <t xml:space="preserve"> x R</t>
    </r>
    <r>
      <rPr>
        <vertAlign val="subscript"/>
        <sz val="10"/>
        <rFont val="Arial"/>
        <family val="2"/>
      </rPr>
      <t>l</t>
    </r>
  </si>
  <si>
    <t>VA</t>
  </si>
  <si>
    <t>For VT Wiring</t>
  </si>
  <si>
    <r>
      <t>Resistance in W/km at 75</t>
    </r>
    <r>
      <rPr>
        <vertAlign val="superscript"/>
        <sz val="10"/>
        <rFont val="Arial"/>
        <family val="2"/>
      </rPr>
      <t>0</t>
    </r>
    <r>
      <rPr>
        <sz val="10"/>
        <rFont val="Arial"/>
        <family val="2"/>
      </rPr>
      <t xml:space="preserve"> C =</t>
    </r>
  </si>
  <si>
    <r>
      <t>Resistance in W/m   at 75</t>
    </r>
    <r>
      <rPr>
        <vertAlign val="superscript"/>
        <sz val="10"/>
        <rFont val="Arial"/>
        <family val="2"/>
      </rPr>
      <t>0</t>
    </r>
    <r>
      <rPr>
        <sz val="10"/>
        <rFont val="Arial"/>
        <family val="2"/>
      </rPr>
      <t xml:space="preserve"> C =</t>
    </r>
  </si>
  <si>
    <t>Primary Voltage of VT</t>
  </si>
  <si>
    <t>Vp</t>
  </si>
  <si>
    <t>kV</t>
  </si>
  <si>
    <t>Secondary Voltage of VT</t>
  </si>
  <si>
    <t>Vs</t>
  </si>
  <si>
    <r>
      <t xml:space="preserve">0.11 / </t>
    </r>
    <r>
      <rPr>
        <b/>
        <sz val="10"/>
        <color indexed="12"/>
        <rFont val="Arial"/>
        <family val="2"/>
      </rPr>
      <t>√</t>
    </r>
    <r>
      <rPr>
        <b/>
        <sz val="10"/>
        <color indexed="12"/>
        <rFont val="Arial"/>
        <family val="2"/>
      </rPr>
      <t>3</t>
    </r>
  </si>
  <si>
    <t>Conductor length in meters ( VT to relay )</t>
  </si>
  <si>
    <t>Lead Resistance from the VT to Relay</t>
  </si>
  <si>
    <t>Lead Resistance of the current loop from the VT to Relay</t>
  </si>
  <si>
    <t>Assumed</t>
  </si>
  <si>
    <t>CT/VT Burden of Connected Devices (per phase):</t>
  </si>
  <si>
    <t>CT at 1A</t>
  </si>
  <si>
    <t>VT at 110V</t>
  </si>
  <si>
    <t>Note: Pl. refer the manual for CT/VT burden at different rated currents and voltages</t>
  </si>
  <si>
    <t xml:space="preserve">Relion 670/650 series Relays </t>
  </si>
  <si>
    <t>IED 670/650</t>
  </si>
  <si>
    <t>150mVA for 5A</t>
  </si>
  <si>
    <t>Busbar Protection Relay</t>
  </si>
  <si>
    <t>REB500</t>
  </si>
  <si>
    <t>ABB REx 52x Relays</t>
  </si>
  <si>
    <t>REJ525/REJ521/REX521</t>
  </si>
  <si>
    <t>ABB Relion 650 series Relays</t>
  </si>
  <si>
    <t>IED650</t>
  </si>
  <si>
    <t>ABB SPACOM Relays</t>
  </si>
  <si>
    <t>SPAJ/SPAU/SPAF 1xxC series</t>
  </si>
  <si>
    <t>ABB REx54x series Relays</t>
  </si>
  <si>
    <t>REF54x/RET54x</t>
  </si>
  <si>
    <t>ABB Relion 630/620 series Relays</t>
  </si>
  <si>
    <t>IED630/620</t>
  </si>
  <si>
    <t>ABB Relion 615 series Relays</t>
  </si>
  <si>
    <t>IED615</t>
  </si>
  <si>
    <t>ABB REU523 Relay</t>
  </si>
  <si>
    <t>REU523</t>
  </si>
  <si>
    <t>FMS</t>
  </si>
  <si>
    <t>Indactic 650</t>
  </si>
  <si>
    <t>TOSHIBA  Line Diff. Relay</t>
  </si>
  <si>
    <t>GRL 100</t>
  </si>
  <si>
    <t>TOSHIBA  Line Dist. Relay</t>
  </si>
  <si>
    <t>GRZ 101</t>
  </si>
  <si>
    <t>SIEMENS Line Distance Protection</t>
  </si>
  <si>
    <t>7SA52xx</t>
  </si>
  <si>
    <t>SIEMENS Siprotec Relay</t>
  </si>
  <si>
    <t>7SD522/7SL86</t>
  </si>
  <si>
    <t>SIEMENS Transformer Protection Relay</t>
  </si>
  <si>
    <t>7UT85</t>
  </si>
  <si>
    <t>7UT633/635</t>
  </si>
  <si>
    <t xml:space="preserve">AVR Relay </t>
  </si>
  <si>
    <t>Tapcon260</t>
  </si>
  <si>
    <t>SIEMENS BFR + O/C relay</t>
  </si>
  <si>
    <t>7SJ6144</t>
  </si>
  <si>
    <t>SIEMENS Pilot wire prot. relay</t>
  </si>
  <si>
    <t>SOLKAR RF / N</t>
  </si>
  <si>
    <t>SIEMENS Low Imp. Busbar prot. relay</t>
  </si>
  <si>
    <t>7SS5xx</t>
  </si>
  <si>
    <t>AREVA Low Imp. Busbar prot. Relay</t>
  </si>
  <si>
    <t>P74x</t>
  </si>
  <si>
    <t>AREVA P63_ Tr. Diff. Relay</t>
  </si>
  <si>
    <t>P63x</t>
  </si>
  <si>
    <t>AREVA High Imp. Busbar prot. relay</t>
  </si>
  <si>
    <t>MCAG3x</t>
  </si>
  <si>
    <t>AREVA CT sup. Relay</t>
  </si>
  <si>
    <t>MVTP31</t>
  </si>
  <si>
    <t xml:space="preserve">AREVA Line Differential+Distance+DEF Protection </t>
  </si>
  <si>
    <t>P54x</t>
  </si>
  <si>
    <t>Siemens High Impedance Busbar Protection</t>
  </si>
  <si>
    <t>DAD</t>
  </si>
  <si>
    <t>SEL Transformer Differential Relay</t>
  </si>
  <si>
    <t>SEL487E</t>
  </si>
  <si>
    <t>SIEMENS Relay</t>
  </si>
  <si>
    <t>7SJ8</t>
  </si>
  <si>
    <t>SEL 751</t>
  </si>
  <si>
    <t>SEL751</t>
  </si>
  <si>
    <t>SEL Transformer Differential Relay 478E</t>
  </si>
  <si>
    <t>SEL 487E</t>
  </si>
  <si>
    <t>SEL Generator Prot. Relay</t>
  </si>
  <si>
    <t>SEL700G</t>
  </si>
  <si>
    <t>Synchroscope (SQ0214)</t>
  </si>
  <si>
    <t>Paralleling Device (7VE6110)</t>
  </si>
  <si>
    <t>Auto Synchroniser (7VE6110)</t>
  </si>
  <si>
    <t>MFM</t>
  </si>
  <si>
    <t>SEL Line Differential Relay 411L</t>
  </si>
  <si>
    <t>SEL411L</t>
  </si>
  <si>
    <t>Tariff Meter</t>
  </si>
  <si>
    <t>XC-RACK</t>
  </si>
  <si>
    <t>Ammeter</t>
  </si>
  <si>
    <t>GOSSEN</t>
  </si>
  <si>
    <t>AVR Relay</t>
  </si>
  <si>
    <t>ZIV</t>
  </si>
  <si>
    <t>Analog Ammeter/Voltmeter/Watt meter/VAR meter</t>
  </si>
  <si>
    <t>Dual Voltmeter/ Dual Frequency Meter</t>
  </si>
  <si>
    <t>Tariff Meter ( Main and Check)</t>
  </si>
  <si>
    <t>Prometer 100</t>
  </si>
  <si>
    <t>For 1A</t>
  </si>
  <si>
    <t>For 5A</t>
  </si>
  <si>
    <t xml:space="preserve">ZIV AVR Relay </t>
  </si>
  <si>
    <t>RTF</t>
  </si>
  <si>
    <t xml:space="preserve">(0.2 VA) / (I2n2) </t>
  </si>
  <si>
    <t># Refer Annexure-A for the Relays and Auxiliary Components burdens</t>
  </si>
  <si>
    <t>** Assumed</t>
  </si>
  <si>
    <t>Voltmeter</t>
  </si>
  <si>
    <t>Pointer</t>
  </si>
  <si>
    <t>System Parameters:</t>
  </si>
  <si>
    <t>System Frequency</t>
  </si>
  <si>
    <t>Hz</t>
  </si>
  <si>
    <t>Bus Voltage Level</t>
  </si>
  <si>
    <t>Max. Bus fault level</t>
  </si>
  <si>
    <t>kA</t>
  </si>
  <si>
    <t>X/R Ratio</t>
  </si>
  <si>
    <t>As per Transco spec page 7/34</t>
  </si>
  <si>
    <t>MV Bus Voltage Level</t>
  </si>
  <si>
    <t>MV Max. Bus fault level/Switchgear Rating</t>
  </si>
  <si>
    <t>As pre SLD</t>
  </si>
  <si>
    <t>LV X/R Ratio</t>
  </si>
  <si>
    <t>Power line parameters:</t>
  </si>
  <si>
    <t>Assumed Cable:</t>
  </si>
  <si>
    <t>C,</t>
  </si>
  <si>
    <t>CU</t>
  </si>
  <si>
    <t>HDPE,</t>
  </si>
  <si>
    <r>
      <t>mm</t>
    </r>
    <r>
      <rPr>
        <vertAlign val="superscript"/>
        <sz val="10"/>
        <rFont val="Arial"/>
        <family val="2"/>
      </rPr>
      <t>2</t>
    </r>
    <r>
      <rPr>
        <sz val="10"/>
        <rFont val="Arial"/>
        <family val="2"/>
      </rPr>
      <t>,</t>
    </r>
  </si>
  <si>
    <t>Cables/phase</t>
  </si>
  <si>
    <t>Cable Details</t>
  </si>
  <si>
    <t>Positive Sequence- Resistance</t>
  </si>
  <si>
    <t>R1</t>
  </si>
  <si>
    <t>Ω/Km</t>
  </si>
  <si>
    <t>Positive Sequence- Reactance</t>
  </si>
  <si>
    <t>X1</t>
  </si>
  <si>
    <t>Zero Sequence- Resistance</t>
  </si>
  <si>
    <t>R0</t>
  </si>
  <si>
    <t>Zero Sequence- Reactance</t>
  </si>
  <si>
    <t>X0</t>
  </si>
  <si>
    <t>Route length</t>
  </si>
  <si>
    <t>km</t>
  </si>
  <si>
    <t>Cable +Ve seq. impedence</t>
  </si>
  <si>
    <t>Z1</t>
  </si>
  <si>
    <t>+ j</t>
  </si>
  <si>
    <t>Cable Zero seq. impedence</t>
  </si>
  <si>
    <t>Z0</t>
  </si>
  <si>
    <t>Total cable +Ve seq. impedence</t>
  </si>
  <si>
    <t>Z1L</t>
  </si>
  <si>
    <t>Total cable Zero seq. impedence</t>
  </si>
  <si>
    <t>Z0L</t>
  </si>
  <si>
    <t xml:space="preserve">Fault Current &amp; Time Constant Calculations: </t>
  </si>
  <si>
    <t xml:space="preserve">Maximum HV Busbar fault current </t>
  </si>
  <si>
    <t xml:space="preserve">HV rating of Busbar </t>
  </si>
  <si>
    <t>V</t>
  </si>
  <si>
    <t xml:space="preserve">Maximum MV Busbar fault current </t>
  </si>
  <si>
    <t xml:space="preserve">MV rating of Busbar </t>
  </si>
  <si>
    <t>For the above fault condition Source impedance (Zs), considering voltage</t>
  </si>
  <si>
    <t>pu</t>
  </si>
  <si>
    <t>Zs</t>
  </si>
  <si>
    <t>(V</t>
  </si>
  <si>
    <t>X</t>
  </si>
  <si>
    <t>)  /</t>
  </si>
  <si>
    <t>(√3</t>
  </si>
  <si>
    <t>x</t>
  </si>
  <si>
    <t>I)</t>
  </si>
  <si>
    <t>Source X / R ratio</t>
  </si>
  <si>
    <t>p</t>
  </si>
  <si>
    <t>f</t>
  </si>
  <si>
    <t>(L/R)</t>
  </si>
  <si>
    <t>System X/R Ratio</t>
  </si>
  <si>
    <t xml:space="preserve">X/R </t>
  </si>
  <si>
    <t xml:space="preserve">Now, </t>
  </si>
  <si>
    <t>Impedence Angle</t>
  </si>
  <si>
    <r>
      <t>ø</t>
    </r>
    <r>
      <rPr>
        <vertAlign val="subscript"/>
        <sz val="10"/>
        <rFont val="Arial"/>
        <family val="2"/>
      </rPr>
      <t>s =</t>
    </r>
  </si>
  <si>
    <r>
      <t>Tan</t>
    </r>
    <r>
      <rPr>
        <vertAlign val="superscript"/>
        <sz val="10"/>
        <rFont val="Arial"/>
        <family val="2"/>
      </rPr>
      <t>-1</t>
    </r>
    <r>
      <rPr>
        <sz val="10"/>
        <rFont val="Arial"/>
        <family val="2"/>
      </rPr>
      <t>(X/R)</t>
    </r>
  </si>
  <si>
    <t>Impedence Angle in radians</t>
  </si>
  <si>
    <r>
      <t>ø</t>
    </r>
    <r>
      <rPr>
        <vertAlign val="subscript"/>
        <sz val="10"/>
        <rFont val="Arial"/>
        <family val="2"/>
      </rPr>
      <t>s</t>
    </r>
  </si>
  <si>
    <t>Impedence Angle in Degrees</t>
  </si>
  <si>
    <t>System Resistance</t>
  </si>
  <si>
    <t>Rs</t>
  </si>
  <si>
    <t xml:space="preserve">=Zs x Cos øs </t>
  </si>
  <si>
    <t>W</t>
  </si>
  <si>
    <t>System Reactance</t>
  </si>
  <si>
    <t>Xs</t>
  </si>
  <si>
    <t xml:space="preserve">=Zs x Sin øs </t>
  </si>
  <si>
    <t>Hence,</t>
  </si>
  <si>
    <t>Source Impedence</t>
  </si>
  <si>
    <t>Determination of System Time-constant (L/R):</t>
  </si>
  <si>
    <t>Hence, System tp (L/R)</t>
  </si>
  <si>
    <t>X/R</t>
  </si>
  <si>
    <t>/</t>
  </si>
  <si>
    <t>ms</t>
  </si>
  <si>
    <t>Determination of Fault Current for 3-ph Through Fault:</t>
  </si>
  <si>
    <t>Fault Impedence</t>
  </si>
  <si>
    <t>Z1t</t>
  </si>
  <si>
    <t>+</t>
  </si>
  <si>
    <t>= (</t>
  </si>
  <si>
    <t>) + (</t>
  </si>
  <si>
    <t>)</t>
  </si>
  <si>
    <t>+j</t>
  </si>
  <si>
    <t>Ð</t>
  </si>
  <si>
    <t>Therefore, X/R ratio</t>
  </si>
  <si>
    <t>Hence, 3-ph fault current for Through faults</t>
  </si>
  <si>
    <r>
      <t>√</t>
    </r>
    <r>
      <rPr>
        <sz val="10"/>
        <rFont val="Arial"/>
        <family val="2"/>
      </rPr>
      <t>3</t>
    </r>
  </si>
  <si>
    <t>Determination of Time-constant for 3-ph Through fault (L/R):</t>
  </si>
  <si>
    <t>X / R ratio</t>
  </si>
  <si>
    <t>X/R Ratio for 3-ph Through Fault</t>
  </si>
  <si>
    <t>Determination of 1-ph to Earth Through fault</t>
  </si>
  <si>
    <t>Cable Impedence</t>
  </si>
  <si>
    <t>Zot</t>
  </si>
  <si>
    <t>Z0f</t>
  </si>
  <si>
    <t>Z2t</t>
  </si>
  <si>
    <t>Hence, 1-ph fault current for Through faults</t>
  </si>
  <si>
    <t>Determination of Time-constant for 1-ph to earth Through fault (L/R):</t>
  </si>
  <si>
    <t>X/R Ratio for 1-ph to Earth Through Fault</t>
  </si>
  <si>
    <t>Calculation of 3-ph fault current Endzone-1 (80%)</t>
  </si>
  <si>
    <t>Z1zone-1</t>
  </si>
  <si>
    <t>(0.8</t>
  </si>
  <si>
    <t>Z1L)</t>
  </si>
  <si>
    <t xml:space="preserve">) + </t>
  </si>
  <si>
    <t>x (</t>
  </si>
  <si>
    <t>Hence, 3-ph fault current for Endzone-1 faults</t>
  </si>
  <si>
    <t>Determination of Time-constant for 3-ph Fault Endzone-1 (L/R):</t>
  </si>
  <si>
    <t>X/R Ratio for 3-ph Fault Endzone-1</t>
  </si>
  <si>
    <t>Calculation of 1-ph to earth fault current EndZone-1 (80%)</t>
  </si>
  <si>
    <t>Zozone-1</t>
  </si>
  <si>
    <t>*</t>
  </si>
  <si>
    <t>Z0L)</t>
  </si>
  <si>
    <t>Z0fzone-1</t>
  </si>
  <si>
    <t>Z2zone-1</t>
  </si>
  <si>
    <t>Hence, 1-ph to earth Fault current for Endzone-1</t>
  </si>
  <si>
    <t>Determination of Time-constant for 1-ph to earth Fault Endzone-1 (L/R):</t>
  </si>
  <si>
    <t>33kV CABLE FEEDERS</t>
  </si>
  <si>
    <t>Core1</t>
  </si>
  <si>
    <t>(Diff. + Dist.)</t>
  </si>
  <si>
    <t>Connected devices:</t>
  </si>
  <si>
    <t>RED670</t>
  </si>
  <si>
    <t>Note: CT requirements for other protection functions are different. Pl. refer to Application Manual</t>
  </si>
  <si>
    <t>Tap-1</t>
  </si>
  <si>
    <t>Tap-2</t>
  </si>
  <si>
    <t>Tap-3</t>
  </si>
  <si>
    <t>CT Ratio:</t>
  </si>
  <si>
    <t>Class of Accuracy:</t>
  </si>
  <si>
    <t>PX</t>
  </si>
  <si>
    <t>CT Resistance:</t>
  </si>
  <si>
    <t>Rct &lt;</t>
  </si>
  <si>
    <t>Knee Point Voltage:</t>
  </si>
  <si>
    <t>Vk &gt;</t>
  </si>
  <si>
    <t>Highest Vk required =</t>
  </si>
  <si>
    <t>Magnetizing Current:</t>
  </si>
  <si>
    <t>I0&lt;</t>
  </si>
  <si>
    <t>mA at Vk</t>
  </si>
  <si>
    <t>Other Burdens on same CT core:</t>
  </si>
  <si>
    <t>Burden of</t>
  </si>
  <si>
    <t>Sr'</t>
  </si>
  <si>
    <t>Lead + Other resisitance connected</t>
  </si>
  <si>
    <t>Rl</t>
  </si>
  <si>
    <t>Sl</t>
  </si>
  <si>
    <t>/   (</t>
  </si>
  <si>
    <t>Isn</t>
  </si>
  <si>
    <t>Total lead burden</t>
  </si>
  <si>
    <t>Total lead + other burden</t>
  </si>
  <si>
    <t>A. CT ADEQUECY CHECK FOR DIFFERENTIAL FUNCTION:</t>
  </si>
  <si>
    <t xml:space="preserve">The CT secondary limiting e.m.f (Eal) should meet the following requirements as per Relay manufacturer. </t>
  </si>
  <si>
    <t>For Close-in faults:</t>
  </si>
  <si>
    <t>Ealreq =</t>
  </si>
  <si>
    <t>Ikmax</t>
  </si>
  <si>
    <t>(</t>
  </si>
  <si>
    <t>Rct</t>
  </si>
  <si>
    <t>Sr</t>
  </si>
  <si>
    <r>
      <t xml:space="preserve">---(1) </t>
    </r>
    <r>
      <rPr>
        <sz val="10"/>
        <rFont val="Arial"/>
        <family val="2"/>
      </rPr>
      <t xml:space="preserve"> </t>
    </r>
  </si>
  <si>
    <t>Ipn</t>
  </si>
  <si>
    <t>For Through faults:</t>
  </si>
  <si>
    <t>Itmax</t>
  </si>
  <si>
    <r>
      <t xml:space="preserve">---(2) </t>
    </r>
    <r>
      <rPr>
        <sz val="10"/>
        <rFont val="Arial"/>
        <family val="2"/>
      </rPr>
      <t xml:space="preserve"> </t>
    </r>
  </si>
  <si>
    <t xml:space="preserve">Equivalent Secondary emf. Required </t>
  </si>
  <si>
    <t xml:space="preserve">Ealreq </t>
  </si>
  <si>
    <t xml:space="preserve">CT primary rated current(A) </t>
  </si>
  <si>
    <t xml:space="preserve">Ipn </t>
  </si>
  <si>
    <t xml:space="preserve">Max. primary fundamental frequency fault current for close-in faults </t>
  </si>
  <si>
    <t xml:space="preserve">Max. primary fundamental frequency fault current for through fault  </t>
  </si>
  <si>
    <t>3-phase</t>
  </si>
  <si>
    <t>1-phase</t>
  </si>
  <si>
    <t xml:space="preserve">CT secondary rated current </t>
  </si>
  <si>
    <t xml:space="preserve">Isn </t>
  </si>
  <si>
    <t>Relay rated current</t>
  </si>
  <si>
    <t xml:space="preserve">Ir </t>
  </si>
  <si>
    <t xml:space="preserve">CT secondary winding resistance. </t>
  </si>
  <si>
    <t xml:space="preserve">Rct </t>
  </si>
  <si>
    <r>
      <t xml:space="preserve">Rl </t>
    </r>
    <r>
      <rPr>
        <sz val="10"/>
        <rFont val="Arial"/>
        <family val="2"/>
      </rPr>
      <t xml:space="preserve"> </t>
    </r>
  </si>
  <si>
    <t xml:space="preserve">Burden of RED 670 Relay </t>
  </si>
  <si>
    <r>
      <t xml:space="preserve">Sr </t>
    </r>
    <r>
      <rPr>
        <sz val="10"/>
        <rFont val="Arial"/>
        <family val="2"/>
      </rPr>
      <t xml:space="preserve"> </t>
    </r>
  </si>
  <si>
    <t>For Through faults (3-ph):</t>
  </si>
  <si>
    <t>For Through faults (1-ph):</t>
  </si>
  <si>
    <t>B. CT ADEQUECY CHECK FOR DISTANCE FUNCTION:</t>
  </si>
  <si>
    <t xml:space="preserve">Rl  </t>
  </si>
  <si>
    <t xml:space="preserve">Sr  </t>
  </si>
  <si>
    <t>For Endzone-1 faults:</t>
  </si>
  <si>
    <t>Ikzone-1</t>
  </si>
  <si>
    <t>k</t>
  </si>
  <si>
    <t>Max. primary fundamental frequency fault current for zone-1 faults</t>
  </si>
  <si>
    <t>CT secondary rated current .</t>
  </si>
  <si>
    <t>Lead resistance between relay and CT sec. Terminals (2 way  )</t>
  </si>
  <si>
    <t>High Speed Distance :  Quadrilateral Characteristic</t>
  </si>
  <si>
    <t>Factor for the Function of the primary time constant for the DC component in the fault current</t>
  </si>
  <si>
    <t>For the primary time constant tp</t>
  </si>
  <si>
    <t>&lt;= 400ms</t>
  </si>
  <si>
    <t>:</t>
  </si>
  <si>
    <t xml:space="preserve">Factor for Function of the primary time constant for the DC component in the fault current </t>
  </si>
  <si>
    <t xml:space="preserve">for a three phase fault at the set reach component in the fault current for of zone-1 </t>
  </si>
  <si>
    <t>&lt;= 200ms</t>
  </si>
  <si>
    <t>Since System tp</t>
  </si>
  <si>
    <t>ms,</t>
  </si>
  <si>
    <t>For Endzone-1 3-ph faults:</t>
  </si>
  <si>
    <t>Since 3-ph tp for this fault</t>
  </si>
  <si>
    <t>For Endzone-1 1-ph faults:</t>
  </si>
  <si>
    <t>Since 1-ph tp for this fault</t>
  </si>
  <si>
    <t xml:space="preserve">Hence, highest Ealreq for Differential &amp; Distance functions at </t>
  </si>
  <si>
    <t>A Tap =</t>
  </si>
  <si>
    <t>Therefore, the required knee point voltage of the CT.</t>
  </si>
  <si>
    <t>(Vk in terms of Ealreq as per the Manufacturer )</t>
  </si>
  <si>
    <t>Vk</t>
  </si>
  <si>
    <t>Ealreq</t>
  </si>
  <si>
    <t>Available Vk</t>
  </si>
  <si>
    <t>&gt;</t>
  </si>
  <si>
    <t>Required Vk</t>
  </si>
  <si>
    <t>Hence CT is:</t>
  </si>
  <si>
    <t>C. CT ADEQUECY CHECK FOR BREAKER FAILURE FUNCTION:</t>
  </si>
  <si>
    <t>The CTs must have a rated equivalent secondary e.m.f. Eal that is larger than the maximum of the required secondary em.f. Ealreq  as per below equation (1)  (Refer : Annexure-G)</t>
  </si>
  <si>
    <t>Iop</t>
  </si>
  <si>
    <t>Isr</t>
  </si>
  <si>
    <t>Ipr</t>
  </si>
  <si>
    <t xml:space="preserve">Ipr </t>
  </si>
  <si>
    <t>Primary operate current</t>
  </si>
  <si>
    <t xml:space="preserve">Isr </t>
  </si>
  <si>
    <t>Total Lead Resistance</t>
  </si>
  <si>
    <t xml:space="preserve">Burden of REQ 650 Relay </t>
  </si>
  <si>
    <t>CT Iopernal Burden</t>
  </si>
  <si>
    <t>PE =</t>
  </si>
  <si>
    <t>PE</t>
  </si>
  <si>
    <t>Rated CT Burden</t>
  </si>
  <si>
    <t>PN</t>
  </si>
  <si>
    <t>Rated ALF</t>
  </si>
  <si>
    <t>n</t>
  </si>
  <si>
    <t>(Vk in terms of Ealreq as per the Manufacturer Refer Annexure-B)</t>
  </si>
  <si>
    <t>Rct&lt;</t>
  </si>
  <si>
    <t>Vk&gt;</t>
  </si>
  <si>
    <t>The CT secondary limiting e.m.f (Eal) should meet the following requirements as per Relay manufacturer. Ref Annexure-B</t>
  </si>
  <si>
    <t>(Summary of CT requirements for ABB relays, February 2008, formula no. 29, page 17/18)</t>
  </si>
  <si>
    <t>Summary of available CT parameters and its suitability</t>
  </si>
  <si>
    <r>
      <t>CT Resistance (</t>
    </r>
    <r>
      <rPr>
        <b/>
        <sz val="10"/>
        <rFont val="Symbol"/>
        <family val="1"/>
        <charset val="2"/>
      </rPr>
      <t>W</t>
    </r>
    <r>
      <rPr>
        <b/>
        <sz val="10"/>
        <rFont val="Arial"/>
        <family val="2"/>
      </rPr>
      <t>) @  75</t>
    </r>
    <r>
      <rPr>
        <b/>
        <vertAlign val="superscript"/>
        <sz val="10"/>
        <rFont val="Arial"/>
        <family val="2"/>
      </rPr>
      <t>O</t>
    </r>
    <r>
      <rPr>
        <b/>
        <sz val="10"/>
        <rFont val="Arial"/>
        <family val="2"/>
      </rPr>
      <t>C</t>
    </r>
  </si>
  <si>
    <t>Limiting Secondary Voltage (Ual), V</t>
  </si>
  <si>
    <t>Mag. Current (Io), mA at Vk</t>
  </si>
  <si>
    <t>Relay / Instrument  Type</t>
  </si>
  <si>
    <t>Core2</t>
  </si>
  <si>
    <t>(OC+BCPU+FMS)</t>
  </si>
  <si>
    <t>REC670</t>
  </si>
  <si>
    <t>REF615</t>
  </si>
  <si>
    <t>CT internal Burden</t>
  </si>
  <si>
    <t>In</t>
  </si>
  <si>
    <t>PL</t>
  </si>
  <si>
    <t>Non-directional instantaneous and definitive time, phase and residual overcurrent protection</t>
  </si>
  <si>
    <t>6 times rated primary current concidered</t>
  </si>
  <si>
    <t>The primary operate value (A)</t>
  </si>
  <si>
    <t>The rated primary CT current (A)</t>
  </si>
  <si>
    <t>The rated secondary CT current (A)</t>
  </si>
  <si>
    <t>The rated current of the protection IED (A)</t>
  </si>
  <si>
    <t>The secondary resistance of the CT (ohm)</t>
  </si>
  <si>
    <t>ohm</t>
  </si>
  <si>
    <t>The resistance of the secondary cable and additional load (ohm).</t>
  </si>
  <si>
    <t>RL</t>
  </si>
  <si>
    <t>The burden of an IED current input channel (VA)</t>
  </si>
  <si>
    <t>SR</t>
  </si>
  <si>
    <t>Non-directional inverse time delayed phase and residual overcurrentprotection</t>
  </si>
  <si>
    <t>1.2 times rated primary current concidered</t>
  </si>
  <si>
    <t>KPV as per Hitachi recommendation</t>
  </si>
  <si>
    <t>Eal</t>
  </si>
  <si>
    <t>≥</t>
  </si>
  <si>
    <t>max</t>
  </si>
  <si>
    <t>,</t>
  </si>
  <si>
    <t>Hence, the Recommended CT Parameters for Manufacturing are:</t>
  </si>
  <si>
    <t>Suitably Dimensioned</t>
  </si>
  <si>
    <t>CT1L</t>
  </si>
  <si>
    <t>(OC+FMS+BFR)</t>
  </si>
  <si>
    <t>The design values according to BS can be approximately transferred in to IEC60044 Standard using the following formula:</t>
  </si>
  <si>
    <t>(  (</t>
  </si>
  <si>
    <t>)  x</t>
  </si>
  <si>
    <t>) / (</t>
  </si>
  <si>
    <t>Or</t>
  </si>
  <si>
    <t xml:space="preserve">)  /  </t>
  </si>
  <si>
    <t>)  -</t>
  </si>
  <si>
    <t>Max through fault current at close in fault</t>
  </si>
  <si>
    <t>Itkmax</t>
  </si>
  <si>
    <t>CT Primary Current,</t>
  </si>
  <si>
    <t xml:space="preserve">Rated Knee Point Voltage,  </t>
  </si>
  <si>
    <t>Internal Burden,</t>
  </si>
  <si>
    <t>Burden of CT Leads and burden of connected devices</t>
  </si>
  <si>
    <r>
      <t xml:space="preserve">Rated Secondary Current, </t>
    </r>
    <r>
      <rPr>
        <vertAlign val="subscript"/>
        <sz val="10"/>
        <rFont val="Century Gothic"/>
        <family val="2"/>
      </rPr>
      <t/>
    </r>
  </si>
  <si>
    <t>CT Accuracy Limiting Factor</t>
  </si>
  <si>
    <t>CT Burden</t>
  </si>
  <si>
    <t>ABB</t>
  </si>
  <si>
    <t>Available (effective) Kssc'</t>
  </si>
  <si>
    <t>x  ( (</t>
  </si>
  <si>
    <t>Available Kssc'</t>
  </si>
  <si>
    <r>
      <t>CT Resistance (W) @  75</t>
    </r>
    <r>
      <rPr>
        <b/>
        <vertAlign val="superscript"/>
        <sz val="10"/>
        <rFont val="Arial"/>
        <family val="2"/>
      </rPr>
      <t>O</t>
    </r>
    <r>
      <rPr>
        <b/>
        <sz val="10"/>
        <rFont val="Arial"/>
        <family val="2"/>
      </rPr>
      <t>C</t>
    </r>
  </si>
  <si>
    <t>Knee point Voltage (Vk), V</t>
  </si>
  <si>
    <r>
      <t>Mag. Current (I</t>
    </r>
    <r>
      <rPr>
        <b/>
        <vertAlign val="subscript"/>
        <sz val="10"/>
        <rFont val="Arial"/>
        <family val="2"/>
      </rPr>
      <t>o</t>
    </r>
    <r>
      <rPr>
        <b/>
        <sz val="10"/>
        <rFont val="Arial"/>
        <family val="2"/>
      </rPr>
      <t>), mA at Vk</t>
    </r>
  </si>
  <si>
    <t>(OC +BCU)</t>
  </si>
  <si>
    <t>7SJ85</t>
  </si>
  <si>
    <t>5P</t>
  </si>
  <si>
    <t>Rated Burden</t>
  </si>
  <si>
    <t>This Current Must be Linked Later to Fault Setting</t>
  </si>
  <si>
    <t>Rated Burden of CT, VA</t>
  </si>
  <si>
    <t>(Metering + Ammeter)</t>
  </si>
  <si>
    <t>POINTER</t>
  </si>
  <si>
    <t>0.2FS5</t>
  </si>
  <si>
    <t>Factor of Safety</t>
  </si>
  <si>
    <t>FS</t>
  </si>
  <si>
    <t xml:space="preserve">rec670 </t>
  </si>
  <si>
    <t>100A for 1 S</t>
  </si>
  <si>
    <r>
      <t>P</t>
    </r>
    <r>
      <rPr>
        <vertAlign val="subscript"/>
        <sz val="10"/>
        <rFont val="Arial"/>
        <family val="2"/>
      </rPr>
      <t>E</t>
    </r>
  </si>
  <si>
    <r>
      <t>P</t>
    </r>
    <r>
      <rPr>
        <vertAlign val="subscript"/>
        <sz val="10"/>
        <rFont val="Arial"/>
        <family val="2"/>
      </rPr>
      <t>L</t>
    </r>
  </si>
  <si>
    <t>CT Safety Factor</t>
  </si>
  <si>
    <t>Pn</t>
  </si>
  <si>
    <t>Safety Factor Fs (min)</t>
  </si>
  <si>
    <t>Safety Factor among all connected devices Fs (min)</t>
  </si>
  <si>
    <t>XC-RACK = 20 A for 0.5 sec Refer annuxure mail received from manufacturer</t>
  </si>
  <si>
    <t>Minimum Safety Factor among all connected devices</t>
  </si>
  <si>
    <t>Fs(min)</t>
  </si>
  <si>
    <t xml:space="preserve">Total connected burden on CT </t>
  </si>
  <si>
    <t>Connected devices burden</t>
  </si>
  <si>
    <t>Lead Burden</t>
  </si>
  <si>
    <t>CT is considered to be properly sized if following conditions are satisfied…</t>
  </si>
  <si>
    <t>…cond.1</t>
  </si>
  <si>
    <t>FS(min) of connected devices</t>
  </si>
  <si>
    <t>…cond.2</t>
  </si>
  <si>
    <t>CT Int. Burden</t>
  </si>
  <si>
    <t>Connected Burden</t>
  </si>
  <si>
    <t>33kV DIAMOND CABLE FEEDERS</t>
  </si>
  <si>
    <t>(Tariff Meter- Check)</t>
  </si>
  <si>
    <t>0.2FS10</t>
  </si>
  <si>
    <t xml:space="preserve">33kV Incomer Transformer Feeder </t>
  </si>
  <si>
    <t>(Transformer Differential)</t>
  </si>
  <si>
    <t>RET670</t>
  </si>
  <si>
    <t>Note: CT requirements for other protection functions are different, pl. refer to the Application Manual.</t>
  </si>
  <si>
    <t>Note: CT requirements mentioned here are applicable for solidly earthed neutral system. For impedance earthed system, pl. refer to the Application manual</t>
  </si>
  <si>
    <t>Note: CT requirements are similar for REG670 / 650 relay.</t>
  </si>
  <si>
    <t>Sl'</t>
  </si>
  <si>
    <t>Power Transformer Data:</t>
  </si>
  <si>
    <t>Power Rating</t>
  </si>
  <si>
    <t>MVA</t>
  </si>
  <si>
    <t>Percentage Impedance</t>
  </si>
  <si>
    <t>%</t>
  </si>
  <si>
    <t xml:space="preserve">HV Rated Voltage, </t>
  </si>
  <si>
    <t>Un1</t>
  </si>
  <si>
    <t xml:space="preserve"> =</t>
  </si>
  <si>
    <t>Transformer Full load current</t>
  </si>
  <si>
    <t>Int</t>
  </si>
  <si>
    <t xml:space="preserve"> MVA</t>
  </si>
  <si>
    <t>√3</t>
  </si>
  <si>
    <t>Maximum through Fault Current (LV Side)</t>
  </si>
  <si>
    <t>Itf</t>
  </si>
  <si>
    <t xml:space="preserve">The CTs must have a rated equivalent secondary e.m.f. Eal that is larger than the maximum of the required secondary em.f. Ealreq below equation (1) and (2): </t>
  </si>
  <si>
    <t>(Refer : Annexure-B)</t>
  </si>
  <si>
    <t>In substations with breaker-and-a-half or double-busbar double-breaker arrangement, the fault current may pass two main CTs for the transformer differential protection without passing the power transformer. In such cases and if both main CTs have equal ratios and magnetization characteristics the CTs must satisfy equation (1) and (3):</t>
  </si>
  <si>
    <t>If</t>
  </si>
  <si>
    <r>
      <t xml:space="preserve">---(3) </t>
    </r>
    <r>
      <rPr>
        <sz val="10"/>
        <rFont val="Arial"/>
        <family val="2"/>
      </rPr>
      <t xml:space="preserve"> </t>
    </r>
  </si>
  <si>
    <t>Equation (3) applicable ?</t>
  </si>
  <si>
    <t>N</t>
  </si>
  <si>
    <t>Rated Primary current of Transformer</t>
  </si>
  <si>
    <t>Max. primary fundamental frequency current that passes through two -</t>
  </si>
  <si>
    <t>- main CTs and the power transformer</t>
  </si>
  <si>
    <t>- main CTs without passing the power transformer:</t>
  </si>
  <si>
    <t>Total Lead Resistance + other reisistance connected to the core</t>
  </si>
  <si>
    <t xml:space="preserve">Burden of RET 670 Relay </t>
  </si>
  <si>
    <t xml:space="preserve">Hence, highest Eal for Differential functions at </t>
  </si>
  <si>
    <t>(Vk  in terms of Ealreq as per the Manufacturer Refer Annexure-B)</t>
  </si>
  <si>
    <r>
      <t xml:space="preserve">According to Clause 5.2 of ESI 48-3, the maximum through fault current shall be 16 times of the rated fault </t>
    </r>
    <r>
      <rPr>
        <sz val="10"/>
        <rFont val="Arial"/>
        <family val="2"/>
      </rPr>
      <t>current.</t>
    </r>
  </si>
  <si>
    <t xml:space="preserve">x </t>
  </si>
  <si>
    <t>HV side</t>
  </si>
  <si>
    <t>Maximum through Fault Current (HV Side)</t>
  </si>
  <si>
    <t>The CTs must have a rated equivalent secondary e.m.f. Eal that is larger than the maximum of the required secondary em.f. Ealreq below equation (1) and (2):</t>
  </si>
  <si>
    <t xml:space="preserve">Hence, highest Eal for Differential + REF functions at </t>
  </si>
  <si>
    <t>BCT13,14,15</t>
  </si>
  <si>
    <t>LV side</t>
  </si>
  <si>
    <t>TPS</t>
  </si>
  <si>
    <t>Ual &gt;</t>
  </si>
  <si>
    <t>The CTs must have a rated equivalent secondary e.m.f. Eal that is larger than the maximum of the required secondary em.f. Ealreq below equation (1) and (2): (Refer : Annexure-B)</t>
  </si>
  <si>
    <t xml:space="preserve">Hence, highest Eal for Differential  functions at </t>
  </si>
  <si>
    <t>(Ual  in terms of Ealreq as per the Manufacturer Refer Annexure-B)</t>
  </si>
  <si>
    <t>Available Ual</t>
  </si>
  <si>
    <t>Required Ual</t>
  </si>
  <si>
    <t>In1</t>
  </si>
  <si>
    <t>- main CTs without passing the power transformer: (Bus fault level / 2)</t>
  </si>
  <si>
    <r>
      <t>Mag. Current (I</t>
    </r>
    <r>
      <rPr>
        <b/>
        <vertAlign val="subscript"/>
        <sz val="10"/>
        <rFont val="Arial"/>
        <family val="2"/>
      </rPr>
      <t>o</t>
    </r>
    <r>
      <rPr>
        <b/>
        <sz val="10"/>
        <rFont val="Arial"/>
        <family val="2"/>
      </rPr>
      <t>), mA at Ual</t>
    </r>
  </si>
  <si>
    <t>33kV Side Trafo Feeder (100MVA)</t>
  </si>
  <si>
    <t>Resisitance of the relay:</t>
  </si>
  <si>
    <t>Rr</t>
  </si>
  <si>
    <t xml:space="preserve">Minimum required Knee point voltage </t>
  </si>
  <si>
    <t>(As per SEL guideline - Aug-2010)</t>
  </si>
  <si>
    <t>³</t>
  </si>
  <si>
    <t>---(1)</t>
  </si>
  <si>
    <t>CT Primary Current</t>
  </si>
  <si>
    <t>CT Internal Resistance</t>
  </si>
  <si>
    <t>Burden of CT Leads</t>
  </si>
  <si>
    <t>Burden of the relay</t>
  </si>
  <si>
    <t>Maximum through Fault Current on CT sec.</t>
  </si>
  <si>
    <t>Relay normal current</t>
  </si>
  <si>
    <t>Inrelay (Ir)</t>
  </si>
  <si>
    <t>Minimum required Knee point voltage, hence,</t>
  </si>
  <si>
    <t>Minimum required Knee point voltage (As per SEL guideline - Aug-2010)</t>
  </si>
  <si>
    <t>CT1L1</t>
  </si>
  <si>
    <t>CT1L2</t>
  </si>
  <si>
    <t>AVR</t>
  </si>
  <si>
    <t>(Tariff Meter- Main)</t>
  </si>
  <si>
    <t>0.2sFS5</t>
  </si>
  <si>
    <t>Hence, Total Burden connected to CT core, Rb'</t>
  </si>
  <si>
    <r>
      <t>The internal fault current shall be 50kA</t>
    </r>
    <r>
      <rPr>
        <sz val="10"/>
        <rFont val="Arial"/>
        <family val="2"/>
      </rPr>
      <t>.</t>
    </r>
  </si>
  <si>
    <t>Internal Fault Current (LV Side)</t>
  </si>
  <si>
    <t>Isccmax (int. fault)</t>
  </si>
  <si>
    <t>x  (</t>
  </si>
  <si>
    <t>Rbc</t>
  </si>
  <si>
    <t>) x</t>
  </si>
  <si>
    <t>Rated primary current of the current transformer</t>
  </si>
  <si>
    <t>Burden of CT Leads and burden of relay</t>
  </si>
  <si>
    <t>Rated secondary current of the current transformer</t>
  </si>
  <si>
    <t>Max fault current at close-in fault</t>
  </si>
  <si>
    <t>Transformer nominal current</t>
  </si>
  <si>
    <t>Ino</t>
  </si>
  <si>
    <t xml:space="preserve">/ </t>
  </si>
  <si>
    <t>Isccmax (Ext. fault)</t>
  </si>
  <si>
    <t>---(2)</t>
  </si>
  <si>
    <t>At least</t>
  </si>
  <si>
    <t>---(3)</t>
  </si>
  <si>
    <t>Minimum required Knee point voltage (Siemens SIP - 2008, page 2/53)</t>
  </si>
  <si>
    <t>Ktd</t>
  </si>
  <si>
    <t>Isccmax (ext. fault)</t>
  </si>
  <si>
    <t>Rb'</t>
  </si>
  <si>
    <t>R'b</t>
  </si>
  <si>
    <t>Rated CT Secondary Current</t>
  </si>
  <si>
    <t>Transformer normal current</t>
  </si>
  <si>
    <t>Transient dimentioning factor, Ktd =</t>
  </si>
  <si>
    <t>for Transformer</t>
  </si>
  <si>
    <t>Adaption Factor (Fadap) check:</t>
  </si>
  <si>
    <t>Fadap</t>
  </si>
  <si>
    <t>Inrelay</t>
  </si>
  <si>
    <t>1/4</t>
  </si>
  <si>
    <t>≤</t>
  </si>
  <si>
    <t>...for phase CTs</t>
  </si>
  <si>
    <t>(ref. 2/57 of attached 7UT635 literature)</t>
  </si>
  <si>
    <t>Adaption Factor (Fadap) =</t>
  </si>
  <si>
    <r>
      <t>V</t>
    </r>
    <r>
      <rPr>
        <vertAlign val="subscript"/>
        <sz val="10"/>
        <rFont val="Arial"/>
        <family val="2"/>
      </rPr>
      <t>k</t>
    </r>
  </si>
  <si>
    <t>(Main Tariff Meter)</t>
  </si>
  <si>
    <t>EMH</t>
  </si>
  <si>
    <t>(Check Tariff Meter + Ammeters)</t>
  </si>
  <si>
    <t xml:space="preserve">33kV Station Transformer Feeder </t>
  </si>
  <si>
    <t>0.5FS5</t>
  </si>
  <si>
    <t xml:space="preserve">33kV BC &amp; BS Feeder </t>
  </si>
  <si>
    <t>33kV Bus Bar (All Feeders)</t>
  </si>
  <si>
    <t>(Low Imp. Busbar)</t>
  </si>
  <si>
    <t>CT-Requirements for BB Protection</t>
  </si>
  <si>
    <t>Maximum Primary Fault Current</t>
  </si>
  <si>
    <t>Isc</t>
  </si>
  <si>
    <t>Rated Voltage</t>
  </si>
  <si>
    <r>
      <t>U</t>
    </r>
    <r>
      <rPr>
        <vertAlign val="subscript"/>
        <sz val="10"/>
        <rFont val="Arial"/>
        <family val="2"/>
      </rPr>
      <t>N2</t>
    </r>
  </si>
  <si>
    <t xml:space="preserve">Internal Resistance CT </t>
  </si>
  <si>
    <t>Conn. Lead + Relay Burden</t>
  </si>
  <si>
    <t>Nominal Frequency of the network</t>
  </si>
  <si>
    <t>fn</t>
  </si>
  <si>
    <t>Required OC factor condition. 1:</t>
  </si>
  <si>
    <t>At Max. Through fault current CT’s shall not saturate for currents below 5 times rated current.</t>
  </si>
  <si>
    <t xml:space="preserve">n' </t>
  </si>
  <si>
    <r>
      <t>5 * I</t>
    </r>
    <r>
      <rPr>
        <vertAlign val="subscript"/>
        <sz val="10"/>
        <rFont val="Arial"/>
        <family val="2"/>
      </rPr>
      <t>pn</t>
    </r>
  </si>
  <si>
    <t>Required OC factor Condition 2:</t>
  </si>
  <si>
    <t>n2' &gt;= 10 for TN &lt;=120 msec</t>
  </si>
  <si>
    <r>
      <t>n2' &gt;= 20 for 120ms &lt;= T</t>
    </r>
    <r>
      <rPr>
        <vertAlign val="subscript"/>
        <sz val="10"/>
        <rFont val="Arial"/>
        <family val="2"/>
      </rPr>
      <t>N</t>
    </r>
    <r>
      <rPr>
        <sz val="10"/>
        <rFont val="Arial"/>
        <family val="2"/>
      </rPr>
      <t xml:space="preserve"> &lt;=300 ms</t>
    </r>
  </si>
  <si>
    <t>Where,</t>
  </si>
  <si>
    <t>n' = Required OC factor</t>
  </si>
  <si>
    <t>Isc = max. bus fault current</t>
  </si>
  <si>
    <t>Ipn = Rated primary current (A)</t>
  </si>
  <si>
    <t>Rated Bus fault current</t>
  </si>
  <si>
    <t>Required OC factor condition 1:</t>
  </si>
  <si>
    <r>
      <t>n'</t>
    </r>
    <r>
      <rPr>
        <vertAlign val="subscript"/>
        <sz val="10"/>
        <rFont val="Arial"/>
        <family val="2"/>
      </rPr>
      <t>(1)</t>
    </r>
  </si>
  <si>
    <t>Required OC factor condition 2:</t>
  </si>
  <si>
    <r>
      <t>T</t>
    </r>
    <r>
      <rPr>
        <vertAlign val="subscript"/>
        <sz val="10"/>
        <rFont val="Arial"/>
        <family val="2"/>
      </rPr>
      <t>N</t>
    </r>
    <r>
      <rPr>
        <sz val="10"/>
        <rFont val="Arial"/>
        <family val="2"/>
      </rPr>
      <t xml:space="preserve"> =</t>
    </r>
  </si>
  <si>
    <r>
      <t xml:space="preserve">2* </t>
    </r>
    <r>
      <rPr>
        <sz val="10"/>
        <rFont val="Aptos Narrow"/>
        <family val="2"/>
      </rPr>
      <t>ϖ</t>
    </r>
    <r>
      <rPr>
        <sz val="10"/>
        <rFont val="Arial"/>
        <family val="2"/>
      </rPr>
      <t>* fn</t>
    </r>
  </si>
  <si>
    <r>
      <t>T</t>
    </r>
    <r>
      <rPr>
        <vertAlign val="subscript"/>
        <sz val="10"/>
        <rFont val="Arial"/>
        <family val="2"/>
      </rPr>
      <t>N</t>
    </r>
  </si>
  <si>
    <t>2 * 3.14 * 50</t>
  </si>
  <si>
    <t>sec</t>
  </si>
  <si>
    <r>
      <t>Hence n'</t>
    </r>
    <r>
      <rPr>
        <vertAlign val="subscript"/>
        <sz val="10"/>
        <rFont val="Arial"/>
        <family val="2"/>
      </rPr>
      <t>(2)</t>
    </r>
    <r>
      <rPr>
        <sz val="10"/>
        <rFont val="Arial"/>
        <family val="2"/>
      </rPr>
      <t xml:space="preserve"> 10</t>
    </r>
  </si>
  <si>
    <r>
      <t>Required OC factor  n' &gt;= max( n'</t>
    </r>
    <r>
      <rPr>
        <vertAlign val="subscript"/>
        <sz val="10"/>
        <rFont val="Arial"/>
        <family val="2"/>
      </rPr>
      <t>(1)</t>
    </r>
    <r>
      <rPr>
        <sz val="10"/>
        <rFont val="Arial"/>
        <family val="2"/>
      </rPr>
      <t xml:space="preserve"> ; n'</t>
    </r>
    <r>
      <rPr>
        <vertAlign val="subscript"/>
        <sz val="10"/>
        <rFont val="Arial"/>
        <family val="2"/>
      </rPr>
      <t>(2)</t>
    </r>
    <r>
      <rPr>
        <sz val="10"/>
        <rFont val="Arial"/>
        <family val="2"/>
      </rPr>
      <t>)</t>
    </r>
  </si>
  <si>
    <t>n' &gt;=max(4 ; 10)</t>
  </si>
  <si>
    <t>Therefore</t>
  </si>
  <si>
    <t>n'</t>
  </si>
  <si>
    <t>Necessary Condition</t>
  </si>
  <si>
    <t xml:space="preserve">Required secondary equivalent limiting secondary e.m.f </t>
  </si>
  <si>
    <t>Eal &gt;= n' *(RCT+RL+Rr)*Isn</t>
  </si>
  <si>
    <t>According to IEC 61869 class PX</t>
  </si>
  <si>
    <r>
      <t>E</t>
    </r>
    <r>
      <rPr>
        <vertAlign val="subscript"/>
        <sz val="10"/>
        <rFont val="Arial"/>
        <family val="2"/>
      </rPr>
      <t>knee</t>
    </r>
  </si>
  <si>
    <t>0.8*Eal</t>
  </si>
  <si>
    <t>With design margin 120%</t>
  </si>
  <si>
    <t xml:space="preserve">As per Transco Standard for 33kV system  X/R </t>
  </si>
  <si>
    <t>n' &gt;=max(3.15 ; 10)</t>
  </si>
  <si>
    <t>The CT requirement is as follows:</t>
  </si>
  <si>
    <t>where</t>
  </si>
  <si>
    <t>n1</t>
  </si>
  <si>
    <t>--- (i)</t>
  </si>
  <si>
    <t>The effective accuracy limiting factor</t>
  </si>
  <si>
    <t>n2</t>
  </si>
  <si>
    <t>--- (ii)</t>
  </si>
  <si>
    <t>n x (PN + PE) / (PL + PE)</t>
  </si>
  <si>
    <t>Itkmax / (5 x Ipn)</t>
  </si>
  <si>
    <t xml:space="preserve">...for </t>
  </si>
  <si>
    <r>
      <t>T</t>
    </r>
    <r>
      <rPr>
        <vertAlign val="subscript"/>
        <sz val="10"/>
        <rFont val="Arial"/>
        <family val="2"/>
      </rPr>
      <t>P</t>
    </r>
  </si>
  <si>
    <t>£</t>
  </si>
  <si>
    <t>msec</t>
  </si>
  <si>
    <t>Calculation for n1:</t>
  </si>
  <si>
    <t xml:space="preserve"> / (</t>
  </si>
  <si>
    <t>Calculation for n2:</t>
  </si>
  <si>
    <t>Since Tp</t>
  </si>
  <si>
    <t>Calculation for n':</t>
  </si>
  <si>
    <t>Checking the conditions ---(i) and ---(ii) mentioned aove:</t>
  </si>
  <si>
    <t>VT Ratio</t>
  </si>
  <si>
    <t>/ √3</t>
  </si>
  <si>
    <t>Class of Accuracy</t>
  </si>
  <si>
    <t>0.2/3P</t>
  </si>
  <si>
    <t>REL670</t>
  </si>
  <si>
    <t>Synchrocheck relay</t>
  </si>
  <si>
    <t>Metering + Margin</t>
  </si>
  <si>
    <t>Total connected burden</t>
  </si>
  <si>
    <t>Burden of connecting leads:</t>
  </si>
  <si>
    <t>Secondary Current, Is</t>
  </si>
  <si>
    <t>Voltage</t>
  </si>
  <si>
    <t>VA Consumption of the connecting leads</t>
  </si>
  <si>
    <r>
      <t>Is</t>
    </r>
    <r>
      <rPr>
        <vertAlign val="superscript"/>
        <sz val="10"/>
        <rFont val="Arial"/>
        <family val="2"/>
      </rPr>
      <t>2</t>
    </r>
  </si>
  <si>
    <t>Lead resistance</t>
  </si>
  <si>
    <t>The criteria is:</t>
  </si>
  <si>
    <t>Proposed VA</t>
  </si>
  <si>
    <t>Hence VT is:</t>
  </si>
  <si>
    <t>Pointer Voltmeter</t>
  </si>
  <si>
    <t>REU615</t>
  </si>
  <si>
    <t>Summary of available VT parameters and its suitability</t>
  </si>
  <si>
    <t>Remarks</t>
  </si>
  <si>
    <t>0.5/3P</t>
  </si>
  <si>
    <t xml:space="preserve">33kV BUS VT </t>
  </si>
  <si>
    <t>T15/T25</t>
  </si>
  <si>
    <t>T16/T26</t>
  </si>
  <si>
    <t>T17/T27</t>
  </si>
  <si>
    <t>Main Tariff Meter</t>
  </si>
  <si>
    <t>Check Tariff Meter</t>
  </si>
  <si>
    <t xml:space="preserve">OV/UV </t>
  </si>
  <si>
    <t>UF Load Shed.</t>
  </si>
  <si>
    <t>IDM</t>
  </si>
  <si>
    <t>87C</t>
  </si>
  <si>
    <t>Hence, the Recommended VT Parameters for Manufacturing are:</t>
  </si>
  <si>
    <t>T15</t>
  </si>
  <si>
    <t>T16</t>
  </si>
  <si>
    <t>T17</t>
  </si>
  <si>
    <t>VT</t>
  </si>
  <si>
    <t>3P</t>
  </si>
  <si>
    <t>LT14 - LEWIS
400/132kV SUBSTATION</t>
  </si>
  <si>
    <t>Bus section coupler (BC1 - 13, 01,00, 10)</t>
  </si>
  <si>
    <t>BUP - REF650,BCU - REC670</t>
  </si>
  <si>
    <t>BBP FU2 - P743</t>
  </si>
  <si>
    <t>BBP FU1 - REB500 BU</t>
  </si>
  <si>
    <t>Transformer (BC2 - 11, 07,06)</t>
  </si>
  <si>
    <t>HVC1 - REF650</t>
  </si>
  <si>
    <t>HVC2 - MFAC+MVTP</t>
  </si>
  <si>
    <t>HVOC - REF650,HSOC - P141,POW,HV BCU - REC670,DFR - IDM+18,PQ100 - PM7500</t>
  </si>
  <si>
    <t>IFP1 - RED670</t>
  </si>
  <si>
    <t>IFP2 - P545</t>
  </si>
  <si>
    <t>BUP - REF650,BCU - REC670,DFR/FL - IDM+9</t>
  </si>
  <si>
    <t>COP1 CHECK</t>
  </si>
  <si>
    <t>COP1 MAIN</t>
  </si>
  <si>
    <t>BBP FU1 - REB500 BU,BBP FU2 - P743</t>
  </si>
  <si>
    <t>GIB - REF650</t>
  </si>
  <si>
    <t>The maximum CT lead length from the SWGR CT secondary terminal to relay terminals are considered as 150m</t>
  </si>
  <si>
    <t xml:space="preserve">Size of the CT lead considered as 2.5 Sq. mm for calculation </t>
  </si>
  <si>
    <t>The maximum VT lead length from the VT secondary terminal to relay terminals are considered as 150m</t>
  </si>
  <si>
    <t xml:space="preserve">Size of the VT lead considered as 2.5 Sq. mm for calculation </t>
  </si>
  <si>
    <t xml:space="preserve">Bus fault level is considered as 63kA for 400kV </t>
  </si>
  <si>
    <t>METERING (CS1)</t>
  </si>
  <si>
    <t>METERING (CS2)</t>
  </si>
  <si>
    <t>5P20</t>
  </si>
  <si>
    <t>Bus section coupler                              (BC1 - 13, 01,00, 10)</t>
  </si>
  <si>
    <t>PX - B</t>
  </si>
  <si>
    <t>PX-B</t>
  </si>
  <si>
    <t>PX-A</t>
  </si>
  <si>
    <t>P741/3</t>
  </si>
  <si>
    <t>Max primary fault current (same for all feeders)</t>
  </si>
  <si>
    <t>IFmax</t>
  </si>
  <si>
    <t>Max secondary fault current (same for all feeders)</t>
  </si>
  <si>
    <t>Ifmax</t>
  </si>
  <si>
    <t>Resistive burden of CT Leads (2Rl) and other connected devices</t>
  </si>
  <si>
    <t>Max primary contribution from a feeder to an internal fault</t>
  </si>
  <si>
    <t>IFmax int</t>
  </si>
  <si>
    <t>Max secondary contribution from a feeder to an internal fault</t>
  </si>
  <si>
    <t>Ifmax int</t>
  </si>
  <si>
    <t>Criteria I</t>
  </si>
  <si>
    <t>&gt;=</t>
  </si>
  <si>
    <t>Criteria II</t>
  </si>
  <si>
    <t>Adequacy Check</t>
  </si>
  <si>
    <t>(Criteria I)</t>
  </si>
  <si>
    <t>Hence:</t>
  </si>
  <si>
    <t xml:space="preserve">Criteria I </t>
  </si>
  <si>
    <t xml:space="preserve">is </t>
  </si>
  <si>
    <t>(Criteria II)</t>
  </si>
  <si>
    <t>CT7001</t>
  </si>
  <si>
    <t>Main-2</t>
  </si>
  <si>
    <t>(Differential + Distance)</t>
  </si>
  <si>
    <t>CT7004</t>
  </si>
  <si>
    <t>Hence, Total Burden connected to CT core, 2Rl</t>
  </si>
  <si>
    <t>The knee point voltage of the CTs should comply with the minimum requirements of the formulae shown below:</t>
  </si>
  <si>
    <t>K</t>
  </si>
  <si>
    <t>2Rl</t>
  </si>
  <si>
    <t>…1</t>
  </si>
  <si>
    <t>A constant depending on the maximum value of through fault current, If (as a multiple of In) and the primary system X/R ratio. K is determined as follows:</t>
  </si>
  <si>
    <t>For relays set at Is1 = 0.2In, k1 = 30%, Is2 = 2In, k2 = 150% (k2 typically set at 150% for two-ended current differential schemes):</t>
  </si>
  <si>
    <t>When</t>
  </si>
  <si>
    <t>if</t>
  </si>
  <si>
    <t>...cond.1</t>
  </si>
  <si>
    <t>K must be highest of:</t>
  </si>
  <si>
    <t>OR</t>
  </si>
  <si>
    <t>&lt;</t>
  </si>
  <si>
    <t>For relays set at Is1 = 0.2In, k1 = 30%, Is2 = 2In, k2 = 100% (k2 typically set at 100% for tapped lines)</t>
  </si>
  <si>
    <t>...cond.3</t>
  </si>
  <si>
    <t>…cond.4</t>
  </si>
  <si>
    <t>Maximum through fault current</t>
  </si>
  <si>
    <t>Maximum through fault current (referred to secondary)</t>
  </si>
  <si>
    <t>Primary X/R ratio</t>
  </si>
  <si>
    <t>Enter the setting K2:</t>
  </si>
  <si>
    <t>Checking condition</t>
  </si>
  <si>
    <t>…</t>
  </si>
  <si>
    <t>is TRUE, the value of K must be highest of:</t>
  </si>
  <si>
    <t>Hence K</t>
  </si>
  <si>
    <t>is TRUE, the value of K</t>
  </si>
  <si>
    <t>Hence, final value of K</t>
  </si>
  <si>
    <t>Hence, Vk required for Diff. function:</t>
  </si>
  <si>
    <t>The calculation must be performed for all cables and lines where the source impedance ratio (SIR) may be less than SIR = 2.</t>
  </si>
  <si>
    <t>SIR</t>
  </si>
  <si>
    <t>Kmax</t>
  </si>
  <si>
    <t>Where:</t>
  </si>
  <si>
    <r>
      <t xml:space="preserve">Fixed Dimentioning Factory = </t>
    </r>
    <r>
      <rPr>
        <b/>
        <sz val="10"/>
        <rFont val="Arial"/>
        <family val="2"/>
      </rPr>
      <t>always 1.4</t>
    </r>
  </si>
  <si>
    <t>Max secondary phase-fault current</t>
  </si>
  <si>
    <t>Volts</t>
  </si>
  <si>
    <t>Zone-1 reach point accuracy (RPA):</t>
  </si>
  <si>
    <r>
      <t>K</t>
    </r>
    <r>
      <rPr>
        <vertAlign val="subscript"/>
        <sz val="10"/>
        <rFont val="Arial"/>
        <family val="2"/>
      </rPr>
      <t>RPA</t>
    </r>
  </si>
  <si>
    <t>IFZ1</t>
  </si>
  <si>
    <t>) x (</t>
  </si>
  <si>
    <r>
      <t xml:space="preserve">Fixed Dimentioning Factory = </t>
    </r>
    <r>
      <rPr>
        <b/>
        <sz val="10"/>
        <rFont val="Arial"/>
        <family val="2"/>
      </rPr>
      <t>always 0.6</t>
    </r>
  </si>
  <si>
    <t>Max secondary phase-fault current at Zone 1 reach point</t>
  </si>
  <si>
    <t>Hence, highest Vk required for Diff. &amp; Dist. Functions:</t>
  </si>
  <si>
    <t>Summary of CT parameters and its suitability</t>
  </si>
  <si>
    <t>BUS SECTION COUPLER</t>
  </si>
  <si>
    <t>P743</t>
  </si>
  <si>
    <t>BBP</t>
  </si>
  <si>
    <t>CT-Requirements for BB Protection (P743)</t>
  </si>
  <si>
    <t>P545</t>
  </si>
  <si>
    <t>IFP</t>
  </si>
  <si>
    <t>Source Impedance Ratio (SIR)</t>
  </si>
  <si>
    <t>(80% * Z1L)</t>
  </si>
  <si>
    <t>where,</t>
  </si>
  <si>
    <t>( 0.8  *</t>
  </si>
  <si>
    <t>Transformer</t>
  </si>
  <si>
    <t>Line Protection(400kV FEEDERS)</t>
  </si>
  <si>
    <t>REF650</t>
  </si>
  <si>
    <t>IDM+9</t>
  </si>
  <si>
    <t>I</t>
  </si>
  <si>
    <t>IDM+</t>
  </si>
  <si>
    <t>IDM+18</t>
  </si>
  <si>
    <t>P141</t>
  </si>
  <si>
    <t>HSOC</t>
  </si>
  <si>
    <t>Line Protection(HVDC FEEDERS)</t>
  </si>
  <si>
    <t>HVDC FEEDER</t>
  </si>
  <si>
    <t>400 / √3</t>
  </si>
  <si>
    <t>0.2S</t>
  </si>
  <si>
    <t>CT ADEQUACY CHECK</t>
  </si>
  <si>
    <t>VT ADEQUACY CHECK</t>
  </si>
  <si>
    <t>Requried Kssc'</t>
  </si>
  <si>
    <t>Avilable Kssc'</t>
  </si>
  <si>
    <t>Rated Vk (V)</t>
  </si>
  <si>
    <t>Core7</t>
  </si>
  <si>
    <t>(Metering Main)</t>
  </si>
  <si>
    <t>(Metering Check)</t>
  </si>
  <si>
    <t>Available    Kssc'</t>
  </si>
  <si>
    <t>(Metering)</t>
  </si>
  <si>
    <t>SGT</t>
  </si>
  <si>
    <t>MFAC+MVTP</t>
  </si>
  <si>
    <t>IDM+19</t>
  </si>
  <si>
    <t>PQ100+PM7500</t>
  </si>
  <si>
    <t>FEEDER</t>
  </si>
  <si>
    <t>Line Protection 400kV Feeder (BC3 - 09, 05, 04, 08)</t>
  </si>
  <si>
    <t>Line Protection HVDC Feeder (BC3 - 02, 03)</t>
  </si>
  <si>
    <t>PM7500</t>
  </si>
  <si>
    <t>PQ100</t>
  </si>
  <si>
    <t>Line Protection 400kV FEEDERS                        ( BC3 - 09, 05, 03 ,02, 04, 08)</t>
  </si>
  <si>
    <t>Line Protection HVDC FEEDERS                   BC3 (09, 05, 03 ,02, 04, 08)</t>
  </si>
  <si>
    <t>X/R ratio is considered as 50 for 400kV system.</t>
  </si>
  <si>
    <t>PARAMETERS AND FAULT CALCULATIONS</t>
  </si>
  <si>
    <t>TRANSFORMER FEEDER</t>
  </si>
  <si>
    <t>LINE PROTECTION HVDC FEEDERS</t>
  </si>
  <si>
    <t>LINE PROTECTION 400KV FEEDERS</t>
  </si>
  <si>
    <t>HVDC FEEDER (02, 03)</t>
  </si>
  <si>
    <t>FEEDER (09, 05, 04, 08)</t>
  </si>
  <si>
    <t>SGT 1, 2 &amp; 3 (11, 07,06)</t>
  </si>
  <si>
    <t>12</t>
  </si>
  <si>
    <t>HVDC FEEDER VT</t>
  </si>
  <si>
    <t>FEEDER VT</t>
  </si>
  <si>
    <t>13</t>
  </si>
  <si>
    <t>SGT 1,2 &amp;3 VT</t>
  </si>
  <si>
    <t>MFAC</t>
  </si>
  <si>
    <t>IF</t>
  </si>
  <si>
    <t>2Rw</t>
  </si>
  <si>
    <t>Resistance of each lead between the relay and CT</t>
  </si>
  <si>
    <t>Max primary through fault current for which stability is required</t>
  </si>
  <si>
    <t>MVTP</t>
  </si>
  <si>
    <t>SGT 1, 2 &amp; 3</t>
  </si>
  <si>
    <t>CT requirements of P545</t>
  </si>
  <si>
    <t>CABLE CT  GIB - REF650</t>
  </si>
  <si>
    <t>CT requirements of REF650</t>
  </si>
  <si>
    <t>CT requirements of P743</t>
  </si>
  <si>
    <t>CT requirements of IDM+X</t>
  </si>
  <si>
    <t>ANNEXURE-J</t>
  </si>
  <si>
    <t>CT requirements of MFAC</t>
  </si>
  <si>
    <t xml:space="preserve">CT VT WIRING PARAMETERS CALCULATIONS </t>
  </si>
  <si>
    <t xml:space="preserve">System Parameters &amp; 
Fault Current Cal. </t>
  </si>
  <si>
    <t>RED670 TEMPLATE.</t>
  </si>
  <si>
    <t xml:space="preserve">7SJ85 </t>
  </si>
  <si>
    <t xml:space="preserve">Here We have placed the calculations CT Adequacy Check of Two tapping for RED 670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</si>
</sst>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_-* #,##0.00_-;\-* #,##0.00_-;_-* &quot;-&quot;??_-;_-@_-"/>
    <numFmt numFmtId="165" formatCode="0.000"/>
    <numFmt numFmtId="166" formatCode="_-* #,##0_-;\-* #,##0_-;_-* &quot;-&quot;??_-;_-@_-"/>
    <numFmt numFmtId="167" formatCode="0.0"/>
    <numFmt numFmtId="168" formatCode="0.00&quot; x&quot;"/>
    <numFmt numFmtId="169" formatCode="0.0000"/>
    <numFmt numFmtId="170" formatCode="_-* #,##0.0000_-;\-* #,##0.0000_-;_-* &quot;-&quot;??_-;_-@_-"/>
    <numFmt numFmtId="171" formatCode="#,##0.0000"/>
    <numFmt numFmtId="172" formatCode="_-* #,##0.000_-;\-* #,##0.000_-;_-* &quot;-&quot;??_-;_-@_-"/>
    <numFmt numFmtId="173" formatCode="_(* #,##0.000_);_(* \(#,##0.000\);_(* &quot;-&quot;??_);_(@_)"/>
    <numFmt numFmtId="174" formatCode="#,##0.000"/>
    <numFmt numFmtId="175" formatCode="0.0000000"/>
  </numFmts>
  <fonts count="97">
    <font>
      <sz val="10"/>
      <name val="Arial"/>
      <family val="2"/>
    </font>
    <font>
      <sz val="10"/>
      <name val="Arial"/>
      <family val="2"/>
    </font>
    <font>
      <b/>
      <sz val="26"/>
      <color theme="1"/>
      <name val="Aptos Narrow"/>
      <family val="2"/>
      <scheme val="minor"/>
    </font>
    <font>
      <b/>
      <sz val="12"/>
      <name val="Arial"/>
      <family val="2"/>
    </font>
    <font>
      <sz val="12"/>
      <name val="Arial"/>
      <family val="2"/>
    </font>
    <font>
      <sz val="8"/>
      <name val="Arial"/>
      <family val="2"/>
    </font>
    <font>
      <sz val="10"/>
      <name val="Century Gothic"/>
      <family val="2"/>
    </font>
    <font>
      <b/>
      <sz val="9"/>
      <name val="Arial"/>
      <family val="2"/>
    </font>
    <font>
      <sz val="9"/>
      <name val="Arial"/>
      <family val="2"/>
    </font>
    <font>
      <b/>
      <sz val="16"/>
      <color indexed="12"/>
      <name val="Arial"/>
      <family val="2"/>
    </font>
    <font>
      <b/>
      <sz val="14"/>
      <name val="Arial"/>
      <family val="2"/>
    </font>
    <font>
      <sz val="14"/>
      <name val="Arial"/>
      <family val="2"/>
    </font>
    <font>
      <b/>
      <sz val="10"/>
      <name val="Arial"/>
      <family val="2"/>
    </font>
    <font>
      <sz val="10"/>
      <color indexed="12"/>
      <name val="Arial"/>
      <family val="2"/>
    </font>
    <font>
      <b/>
      <sz val="16"/>
      <color indexed="10"/>
      <name val="ABB Logo"/>
      <charset val="2"/>
    </font>
    <font>
      <sz val="10"/>
      <name val="Symbol"/>
      <family val="1"/>
      <charset val="2"/>
    </font>
    <font>
      <b/>
      <sz val="20"/>
      <name val="Arial"/>
      <family val="2"/>
    </font>
    <font>
      <sz val="10"/>
      <color indexed="9"/>
      <name val="Arial"/>
      <family val="2"/>
    </font>
    <font>
      <sz val="11"/>
      <color indexed="8"/>
      <name val="Calibri"/>
      <family val="2"/>
    </font>
    <font>
      <sz val="9"/>
      <color indexed="9"/>
      <name val="Arial"/>
      <family val="2"/>
    </font>
    <font>
      <sz val="10"/>
      <color indexed="8"/>
      <name val="Arial"/>
      <family val="2"/>
    </font>
    <font>
      <sz val="9"/>
      <color indexed="8"/>
      <name val="Arial"/>
      <family val="2"/>
    </font>
    <font>
      <b/>
      <u/>
      <sz val="11"/>
      <color indexed="8"/>
      <name val="Calibri"/>
      <family val="2"/>
    </font>
    <font>
      <u/>
      <sz val="10"/>
      <color indexed="12"/>
      <name val="Arial"/>
      <family val="2"/>
    </font>
    <font>
      <sz val="10"/>
      <color indexed="10"/>
      <name val="Arial"/>
      <family val="2"/>
    </font>
    <font>
      <b/>
      <sz val="16"/>
      <color indexed="10"/>
      <name val="Arial"/>
      <family val="2"/>
    </font>
    <font>
      <b/>
      <sz val="16"/>
      <color indexed="9"/>
      <name val="Arial"/>
      <family val="2"/>
    </font>
    <font>
      <sz val="10"/>
      <color indexed="9"/>
      <name val="Symbol"/>
      <family val="1"/>
      <charset val="2"/>
    </font>
    <font>
      <sz val="16"/>
      <color indexed="10"/>
      <name val="ABB Logo"/>
      <charset val="2"/>
    </font>
    <font>
      <b/>
      <sz val="20"/>
      <name val="Century Gothic"/>
      <family val="2"/>
    </font>
    <font>
      <b/>
      <sz val="10"/>
      <color indexed="9"/>
      <name val="Century Gothic"/>
      <family val="2"/>
    </font>
    <font>
      <b/>
      <sz val="14"/>
      <name val="Century Gothic"/>
      <family val="2"/>
    </font>
    <font>
      <sz val="20"/>
      <name val="Century Gothic"/>
      <family val="2"/>
    </font>
    <font>
      <b/>
      <sz val="18"/>
      <name val="Century Gothic"/>
      <family val="2"/>
    </font>
    <font>
      <sz val="20"/>
      <name val="Arial"/>
      <family val="2"/>
    </font>
    <font>
      <sz val="10"/>
      <color indexed="8"/>
      <name val="Century Gothic"/>
      <family val="2"/>
    </font>
    <font>
      <b/>
      <sz val="18"/>
      <name val="Arial"/>
      <family val="2"/>
    </font>
    <font>
      <b/>
      <u/>
      <sz val="14"/>
      <name val="Arial"/>
      <family val="2"/>
    </font>
    <font>
      <b/>
      <u/>
      <sz val="14"/>
      <name val="Century Gothic"/>
      <family val="2"/>
    </font>
    <font>
      <sz val="8"/>
      <name val="Century Gothic"/>
      <family val="2"/>
    </font>
    <font>
      <b/>
      <u/>
      <sz val="10"/>
      <name val="Arial"/>
      <family val="2"/>
    </font>
    <font>
      <vertAlign val="superscript"/>
      <sz val="10"/>
      <name val="Arial"/>
      <family val="2"/>
    </font>
    <font>
      <b/>
      <sz val="10"/>
      <color indexed="12"/>
      <name val="Arial"/>
      <family val="2"/>
    </font>
    <font>
      <b/>
      <vertAlign val="superscript"/>
      <sz val="10"/>
      <name val="Arial"/>
      <family val="2"/>
    </font>
    <font>
      <b/>
      <vertAlign val="subscript"/>
      <sz val="10"/>
      <name val="Arial"/>
      <family val="2"/>
    </font>
    <font>
      <vertAlign val="subscript"/>
      <sz val="10"/>
      <name val="Arial"/>
      <family val="2"/>
    </font>
    <font>
      <strike/>
      <sz val="10"/>
      <name val="Arial"/>
      <family val="2"/>
    </font>
    <font>
      <sz val="8"/>
      <color indexed="12"/>
      <name val="Arial"/>
      <family val="2"/>
    </font>
    <font>
      <b/>
      <sz val="10"/>
      <color indexed="10"/>
      <name val="ABB Logo"/>
      <charset val="2"/>
    </font>
    <font>
      <b/>
      <u/>
      <sz val="8"/>
      <name val="Arial"/>
      <family val="2"/>
    </font>
    <font>
      <sz val="10"/>
      <color theme="1"/>
      <name val="Arial"/>
      <family val="2"/>
    </font>
    <font>
      <b/>
      <u/>
      <sz val="8"/>
      <color theme="1"/>
      <name val="Arial"/>
      <family val="2"/>
    </font>
    <font>
      <b/>
      <sz val="10"/>
      <color indexed="12"/>
      <name val="Century Gothic"/>
      <family val="2"/>
    </font>
    <font>
      <sz val="12"/>
      <name val="Century Gothic"/>
      <family val="2"/>
    </font>
    <font>
      <b/>
      <sz val="12"/>
      <color indexed="12"/>
      <name val="Century Gothic"/>
      <family val="2"/>
    </font>
    <font>
      <sz val="10"/>
      <color indexed="12"/>
      <name val="Century Gothic"/>
      <family val="2"/>
    </font>
    <font>
      <b/>
      <sz val="10"/>
      <color indexed="81"/>
      <name val="Tahoma"/>
      <family val="2"/>
    </font>
    <font>
      <sz val="10"/>
      <color indexed="81"/>
      <name val="Tahoma"/>
      <family val="2"/>
    </font>
    <font>
      <b/>
      <sz val="9"/>
      <color indexed="81"/>
      <name val="Tahoma"/>
      <family val="2"/>
    </font>
    <font>
      <sz val="9"/>
      <color indexed="81"/>
      <name val="Tahoma"/>
      <family val="2"/>
    </font>
    <font>
      <sz val="10"/>
      <color indexed="9"/>
      <name val="Century Gothic"/>
      <family val="2"/>
    </font>
    <font>
      <b/>
      <sz val="20"/>
      <color indexed="12"/>
      <name val="Century Gothic"/>
      <family val="2"/>
    </font>
    <font>
      <b/>
      <sz val="10"/>
      <name val="Century Gothic"/>
      <family val="2"/>
    </font>
    <font>
      <u/>
      <sz val="10"/>
      <name val="Arial"/>
      <family val="2"/>
    </font>
    <font>
      <b/>
      <u/>
      <sz val="10"/>
      <color indexed="12"/>
      <name val="Arial"/>
      <family val="2"/>
    </font>
    <font>
      <b/>
      <sz val="10"/>
      <name val="Symbol"/>
      <family val="1"/>
      <charset val="2"/>
    </font>
    <font>
      <b/>
      <sz val="26"/>
      <color indexed="10"/>
      <name val="ABB Logo"/>
      <charset val="2"/>
    </font>
    <font>
      <b/>
      <sz val="7"/>
      <color indexed="12"/>
      <name val="Arial"/>
      <family val="2"/>
    </font>
    <font>
      <sz val="7"/>
      <name val="Arial"/>
      <family val="2"/>
    </font>
    <font>
      <b/>
      <sz val="10"/>
      <color indexed="10"/>
      <name val="Arial"/>
      <family val="2"/>
    </font>
    <font>
      <vertAlign val="subscript"/>
      <sz val="10"/>
      <name val="Century Gothic"/>
      <family val="2"/>
    </font>
    <font>
      <sz val="10"/>
      <name val="Aptos Narrow"/>
      <family val="2"/>
      <scheme val="minor"/>
    </font>
    <font>
      <b/>
      <u/>
      <sz val="10"/>
      <color indexed="60"/>
      <name val="Arial"/>
      <family val="2"/>
    </font>
    <font>
      <b/>
      <sz val="10"/>
      <name val="Calibri"/>
      <family val="2"/>
    </font>
    <font>
      <sz val="12"/>
      <color indexed="12"/>
      <name val="Arial"/>
      <family val="2"/>
    </font>
    <font>
      <sz val="12"/>
      <color indexed="9"/>
      <name val="Arial"/>
      <family val="2"/>
    </font>
    <font>
      <b/>
      <sz val="10"/>
      <color indexed="9"/>
      <name val="Arial"/>
      <family val="2"/>
    </font>
    <font>
      <vertAlign val="superscript"/>
      <sz val="12"/>
      <name val="Arial"/>
      <family val="2"/>
    </font>
    <font>
      <b/>
      <u/>
      <sz val="12"/>
      <name val="Arial"/>
      <family val="2"/>
    </font>
    <font>
      <b/>
      <sz val="12"/>
      <name val="Century Gothic"/>
      <family val="2"/>
    </font>
    <font>
      <sz val="12"/>
      <name val="Symbol"/>
      <family val="1"/>
      <charset val="2"/>
    </font>
    <font>
      <b/>
      <sz val="10"/>
      <color indexed="8"/>
      <name val="Arial"/>
      <family val="2"/>
    </font>
    <font>
      <sz val="10"/>
      <name val="Aptos Narrow"/>
      <family val="2"/>
    </font>
    <font>
      <b/>
      <sz val="8"/>
      <name val="Arial"/>
      <family val="2"/>
    </font>
    <font>
      <b/>
      <sz val="7.5"/>
      <name val="Arial"/>
      <family val="2"/>
    </font>
    <font>
      <b/>
      <sz val="10"/>
      <color rgb="FF0000FF"/>
      <name val="Arial"/>
      <family val="2"/>
    </font>
    <font>
      <sz val="10"/>
      <color rgb="FF0000FF"/>
      <name val="Arial"/>
      <family val="2"/>
    </font>
    <font>
      <b/>
      <u/>
      <sz val="10"/>
      <color rgb="FF0000FF"/>
      <name val="Arial"/>
      <family val="2"/>
    </font>
    <font>
      <sz val="9"/>
      <color theme="1"/>
      <name val="Arial"/>
      <family val="2"/>
    </font>
    <font>
      <b/>
      <sz val="16"/>
      <color theme="1"/>
      <name val="Arial"/>
      <family val="2"/>
    </font>
    <font>
      <b/>
      <sz val="10"/>
      <color theme="1"/>
      <name val="Arial"/>
      <family val="2"/>
    </font>
    <font>
      <b/>
      <sz val="16"/>
      <color indexed="12"/>
      <name val="Century Gothic"/>
      <family val="2"/>
    </font>
    <font>
      <b/>
      <sz val="18"/>
      <color indexed="12"/>
      <name val="Century Gothic"/>
      <family val="2"/>
    </font>
    <font>
      <sz val="10"/>
      <color rgb="FF000000"/>
      <name val="Arial"/>
      <family val="2"/>
    </font>
    <font>
      <b/>
      <sz val="26"/>
      <color theme="1"/>
      <name val="Hitachi"/>
    </font>
    <font>
      <u/>
      <sz val="12"/>
      <name val="Arial"/>
      <family val="2"/>
    </font>
    <font>
      <sz val="10"/>
      <color rgb="FFFF0000"/>
      <name val="Arial"/>
      <family val="2"/>
    </font>
  </fonts>
  <fills count="8">
    <fill>
      <patternFill patternType="none"/>
    </fill>
    <fill>
      <patternFill patternType="gray125"/>
    </fill>
    <fill>
      <patternFill patternType="solid">
        <fgColor indexed="22"/>
        <bgColor indexed="64"/>
      </patternFill>
    </fill>
    <fill>
      <patternFill patternType="solid">
        <fgColor indexed="44"/>
        <bgColor indexed="64"/>
      </patternFill>
    </fill>
    <fill>
      <patternFill patternType="solid">
        <fgColor indexed="9"/>
        <bgColor indexed="64"/>
      </patternFill>
    </fill>
    <fill>
      <patternFill patternType="solid">
        <fgColor indexed="43"/>
        <bgColor indexed="64"/>
      </patternFill>
    </fill>
    <fill>
      <patternFill patternType="solid">
        <fgColor rgb="FFC0C0C0"/>
        <bgColor indexed="64"/>
      </patternFill>
    </fill>
    <fill>
      <patternFill patternType="solid">
        <fgColor theme="0" tint="-0.14999847407452621"/>
        <bgColor indexed="64"/>
      </patternFill>
    </fill>
  </fills>
  <borders count="1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5">
    <xf numFmtId="0" fontId="0" fillId="0" borderId="0"/>
    <xf numFmtId="164" fontId="1" fillId="0" borderId="0" applyFont="0" applyFill="0" applyBorder="0" applyAlignment="0" applyProtection="0"/>
    <xf numFmtId="0" fontId="23" fillId="0" borderId="0" applyNumberFormat="0" applyFill="0" applyBorder="0" applyAlignment="0" applyProtection="0">
      <alignment vertical="top"/>
      <protection locked="0"/>
    </xf>
    <xf numFmtId="0" fontId="1" fillId="0" borderId="0"/>
    <xf numFmtId="164" fontId="1" fillId="0" borderId="0" applyFont="0" applyFill="0" applyBorder="0" applyAlignment="0" applyProtection="0"/>
  </cellStyleXfs>
  <cellXfs count="1214">
    <xf numFmtId="0" fontId="0" fillId="0" borderId="0" xfId="0"/>
    <xf numFmtId="0" fontId="1" fillId="0" borderId="4" xfId="0" applyFont="1" applyBorder="1" applyAlignment="1">
      <alignment horizontal="left"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49" fontId="6" fillId="0" borderId="0" xfId="0" applyNumberFormat="1" applyFont="1" applyAlignment="1">
      <alignment vertical="center"/>
    </xf>
    <xf numFmtId="0" fontId="6" fillId="0" borderId="0" xfId="0" applyFont="1" applyAlignment="1">
      <alignment vertical="center"/>
    </xf>
    <xf numFmtId="0" fontId="6" fillId="0" borderId="2" xfId="0" applyFont="1" applyBorder="1" applyAlignment="1">
      <alignment vertical="center"/>
    </xf>
    <xf numFmtId="0" fontId="1" fillId="0" borderId="0" xfId="0" applyFont="1"/>
    <xf numFmtId="0" fontId="5" fillId="2" borderId="12" xfId="0" applyFont="1" applyFill="1" applyBorder="1" applyAlignment="1" applyProtection="1">
      <alignment horizontal="center" vertical="center" wrapText="1"/>
      <protection locked="0"/>
    </xf>
    <xf numFmtId="0" fontId="0" fillId="0" borderId="7" xfId="0" applyBorder="1"/>
    <xf numFmtId="0" fontId="0" fillId="0" borderId="8" xfId="0" applyBorder="1"/>
    <xf numFmtId="0" fontId="9" fillId="0" borderId="0" xfId="0" applyFont="1" applyAlignment="1">
      <alignment horizontal="center" vertical="center"/>
    </xf>
    <xf numFmtId="49" fontId="10" fillId="0" borderId="0" xfId="0" applyNumberFormat="1" applyFont="1" applyAlignment="1">
      <alignment vertical="center"/>
    </xf>
    <xf numFmtId="49" fontId="1" fillId="0" borderId="0" xfId="0" applyNumberFormat="1" applyFont="1" applyAlignment="1">
      <alignment vertical="center"/>
    </xf>
    <xf numFmtId="0" fontId="1" fillId="0" borderId="0" xfId="0" applyFont="1" applyAlignment="1">
      <alignment vertical="center"/>
    </xf>
    <xf numFmtId="49" fontId="12" fillId="0" borderId="0" xfId="0" applyNumberFormat="1" applyFont="1" applyAlignment="1">
      <alignment vertical="center"/>
    </xf>
    <xf numFmtId="49" fontId="13" fillId="0" borderId="0" xfId="0" applyNumberFormat="1" applyFont="1" applyAlignment="1" applyProtection="1">
      <alignment vertical="center"/>
      <protection locked="0"/>
    </xf>
    <xf numFmtId="49" fontId="13" fillId="3" borderId="0" xfId="0" applyNumberFormat="1" applyFont="1" applyFill="1" applyAlignment="1">
      <alignment vertical="center"/>
    </xf>
    <xf numFmtId="0" fontId="12" fillId="0" borderId="0" xfId="0" applyFont="1" applyAlignment="1">
      <alignment vertical="center"/>
    </xf>
    <xf numFmtId="0" fontId="6" fillId="0" borderId="4" xfId="0" applyFont="1" applyBorder="1" applyAlignment="1">
      <alignment vertical="center"/>
    </xf>
    <xf numFmtId="0" fontId="1" fillId="0" borderId="5" xfId="0" applyFont="1" applyBorder="1"/>
    <xf numFmtId="0" fontId="1" fillId="0" borderId="5" xfId="0" applyFont="1" applyBorder="1" applyAlignment="1">
      <alignment horizontal="right"/>
    </xf>
    <xf numFmtId="0" fontId="1" fillId="0" borderId="5" xfId="0" applyFont="1" applyBorder="1" applyAlignment="1">
      <alignment horizontal="center"/>
    </xf>
    <xf numFmtId="0" fontId="13" fillId="0" borderId="5" xfId="0" applyFont="1" applyBorder="1" applyAlignment="1">
      <alignment horizontal="right"/>
    </xf>
    <xf numFmtId="0" fontId="14" fillId="0" borderId="6" xfId="0" applyFont="1" applyBorder="1" applyAlignment="1">
      <alignment horizontal="right"/>
    </xf>
    <xf numFmtId="0" fontId="5" fillId="0" borderId="12" xfId="0" applyFont="1" applyBorder="1" applyAlignment="1">
      <alignment horizontal="center" vertical="center" wrapText="1"/>
    </xf>
    <xf numFmtId="49" fontId="15" fillId="0" borderId="0" xfId="0" applyNumberFormat="1" applyFont="1" applyAlignment="1">
      <alignment vertical="center"/>
    </xf>
    <xf numFmtId="0" fontId="0" fillId="0" borderId="0" xfId="0" applyAlignment="1">
      <alignment horizontal="center" vertical="center"/>
    </xf>
    <xf numFmtId="0" fontId="1" fillId="0" borderId="0" xfId="0" applyFont="1" applyAlignment="1">
      <alignment horizontal="center" vertical="center"/>
    </xf>
    <xf numFmtId="0" fontId="16" fillId="0" borderId="0" xfId="0" applyFont="1" applyAlignment="1">
      <alignment horizontal="left" vertical="center"/>
    </xf>
    <xf numFmtId="0" fontId="0" fillId="0" borderId="0" xfId="0" applyAlignment="1">
      <alignment vertical="center"/>
    </xf>
    <xf numFmtId="0" fontId="17" fillId="0" borderId="0" xfId="0" applyFont="1" applyAlignment="1">
      <alignment horizontal="center" vertical="center"/>
    </xf>
    <xf numFmtId="0" fontId="17" fillId="0" borderId="0" xfId="0" applyFont="1"/>
    <xf numFmtId="49" fontId="15" fillId="0" borderId="0" xfId="0" applyNumberFormat="1" applyFont="1" applyAlignment="1">
      <alignment horizontal="left" vertical="center"/>
    </xf>
    <xf numFmtId="0" fontId="18" fillId="0" borderId="0" xfId="0" applyFont="1" applyAlignment="1">
      <alignment vertical="center"/>
    </xf>
    <xf numFmtId="0" fontId="19" fillId="0" borderId="0" xfId="0" quotePrefix="1" applyFont="1" applyAlignment="1">
      <alignment horizontal="center" vertical="center"/>
    </xf>
    <xf numFmtId="0" fontId="19" fillId="0" borderId="0" xfId="0" applyFont="1" applyAlignment="1">
      <alignment horizontal="left" vertical="center"/>
    </xf>
    <xf numFmtId="0" fontId="19" fillId="0" borderId="0" xfId="0" applyFont="1"/>
    <xf numFmtId="0" fontId="17" fillId="0" borderId="0" xfId="0" applyFont="1" applyAlignment="1">
      <alignment vertical="center"/>
    </xf>
    <xf numFmtId="0" fontId="18" fillId="0" borderId="0" xfId="0" applyFont="1" applyAlignment="1">
      <alignment horizontal="left" vertical="center"/>
    </xf>
    <xf numFmtId="0" fontId="20" fillId="0" borderId="0" xfId="0" applyFont="1" applyAlignment="1">
      <alignment vertical="center"/>
    </xf>
    <xf numFmtId="0" fontId="20" fillId="0" borderId="0" xfId="0" applyFont="1"/>
    <xf numFmtId="0" fontId="21" fillId="0" borderId="0" xfId="0" quotePrefix="1" applyFont="1" applyAlignment="1">
      <alignment horizontal="center" vertical="center"/>
    </xf>
    <xf numFmtId="0" fontId="15" fillId="0" borderId="0" xfId="0" applyFont="1" applyAlignment="1">
      <alignment horizontal="left" vertical="center"/>
    </xf>
    <xf numFmtId="0" fontId="22" fillId="0" borderId="0" xfId="0" applyFont="1" applyAlignment="1">
      <alignment horizontal="center"/>
    </xf>
    <xf numFmtId="0" fontId="13" fillId="0" borderId="0" xfId="2" applyFont="1" applyBorder="1" applyAlignment="1" applyProtection="1">
      <alignment horizontal="left" vertical="center"/>
    </xf>
    <xf numFmtId="0" fontId="24" fillId="0" borderId="0" xfId="3" applyFont="1" applyAlignment="1">
      <alignment horizontal="left" vertical="center"/>
    </xf>
    <xf numFmtId="0" fontId="1" fillId="0" borderId="0" xfId="0" applyFont="1" applyAlignment="1">
      <alignment horizontal="left" vertical="center"/>
    </xf>
    <xf numFmtId="0" fontId="20" fillId="0" borderId="0" xfId="3" applyFont="1" applyAlignment="1">
      <alignment horizontal="left" vertical="center"/>
    </xf>
    <xf numFmtId="0" fontId="24" fillId="0" borderId="0" xfId="0" applyFont="1"/>
    <xf numFmtId="0" fontId="25" fillId="0" borderId="0" xfId="0" applyFont="1" applyAlignment="1">
      <alignment horizontal="center" vertical="center"/>
    </xf>
    <xf numFmtId="0" fontId="17" fillId="4" borderId="0" xfId="3" applyFont="1" applyFill="1" applyAlignment="1">
      <alignment horizontal="left" vertical="center"/>
    </xf>
    <xf numFmtId="0" fontId="17" fillId="4" borderId="0" xfId="0" applyFont="1" applyFill="1" applyAlignment="1">
      <alignment horizontal="left" vertical="center"/>
    </xf>
    <xf numFmtId="0" fontId="17" fillId="4" borderId="0" xfId="0" applyFont="1" applyFill="1"/>
    <xf numFmtId="0" fontId="26" fillId="4" borderId="0" xfId="0" applyFont="1" applyFill="1" applyAlignment="1">
      <alignment horizontal="center" vertical="center"/>
    </xf>
    <xf numFmtId="0" fontId="1" fillId="4" borderId="0" xfId="3" applyFill="1" applyAlignment="1">
      <alignment horizontal="left" vertical="center"/>
    </xf>
    <xf numFmtId="0" fontId="1" fillId="4" borderId="0" xfId="0" applyFont="1" applyFill="1" applyAlignment="1">
      <alignment horizontal="left" vertical="center"/>
    </xf>
    <xf numFmtId="49" fontId="27" fillId="0" borderId="0" xfId="0" applyNumberFormat="1" applyFont="1" applyAlignment="1">
      <alignment horizontal="left" vertical="center"/>
    </xf>
    <xf numFmtId="0" fontId="17" fillId="0" borderId="0" xfId="0" applyFont="1" applyAlignment="1">
      <alignment horizontal="left" vertical="center"/>
    </xf>
    <xf numFmtId="0" fontId="17" fillId="0" borderId="0" xfId="3" applyFont="1" applyAlignment="1">
      <alignment horizontal="left" vertical="center"/>
    </xf>
    <xf numFmtId="0" fontId="17" fillId="0" borderId="0" xfId="2" applyFont="1" applyBorder="1" applyAlignment="1" applyProtection="1">
      <alignment vertical="center"/>
    </xf>
    <xf numFmtId="0" fontId="24" fillId="0" borderId="0" xfId="0" applyFont="1" applyAlignment="1">
      <alignment vertical="center"/>
    </xf>
    <xf numFmtId="49" fontId="24" fillId="0" borderId="0" xfId="0" applyNumberFormat="1" applyFont="1" applyAlignment="1">
      <alignment vertical="center"/>
    </xf>
    <xf numFmtId="49" fontId="13" fillId="0" borderId="8" xfId="0" applyNumberFormat="1" applyFont="1" applyBorder="1" applyAlignment="1">
      <alignment vertical="center"/>
    </xf>
    <xf numFmtId="49" fontId="13" fillId="0" borderId="0" xfId="0" applyNumberFormat="1" applyFont="1" applyAlignment="1">
      <alignment vertical="center"/>
    </xf>
    <xf numFmtId="49" fontId="6" fillId="0" borderId="4" xfId="0" applyNumberFormat="1" applyFont="1" applyBorder="1" applyAlignment="1">
      <alignment vertical="center"/>
    </xf>
    <xf numFmtId="49" fontId="6" fillId="0" borderId="5" xfId="0" applyNumberFormat="1" applyFont="1" applyBorder="1" applyAlignment="1">
      <alignment vertical="center"/>
    </xf>
    <xf numFmtId="49" fontId="28" fillId="0" borderId="6" xfId="0" applyNumberFormat="1" applyFont="1" applyBorder="1" applyAlignment="1">
      <alignment horizontal="right"/>
    </xf>
    <xf numFmtId="49" fontId="29" fillId="0" borderId="0" xfId="0" applyNumberFormat="1" applyFont="1" applyAlignment="1">
      <alignment horizontal="center" vertical="center"/>
    </xf>
    <xf numFmtId="49" fontId="6" fillId="0" borderId="7" xfId="0" applyNumberFormat="1" applyFont="1" applyBorder="1" applyAlignment="1">
      <alignment vertical="center"/>
    </xf>
    <xf numFmtId="49" fontId="6" fillId="0" borderId="0" xfId="0" applyNumberFormat="1" applyFont="1" applyAlignment="1">
      <alignment horizontal="center" vertical="center"/>
    </xf>
    <xf numFmtId="49" fontId="6" fillId="0" borderId="8" xfId="0" applyNumberFormat="1" applyFont="1" applyBorder="1" applyAlignment="1">
      <alignment vertical="center"/>
    </xf>
    <xf numFmtId="49" fontId="30" fillId="0" borderId="7" xfId="0" applyNumberFormat="1" applyFont="1" applyBorder="1" applyAlignment="1">
      <alignment vertical="center"/>
    </xf>
    <xf numFmtId="49" fontId="31" fillId="0" borderId="0" xfId="0" applyNumberFormat="1" applyFont="1" applyAlignment="1">
      <alignment vertical="center"/>
    </xf>
    <xf numFmtId="0" fontId="1" fillId="0" borderId="0" xfId="0" applyFont="1" applyAlignment="1">
      <alignment vertical="center" readingOrder="1"/>
    </xf>
    <xf numFmtId="49" fontId="32" fillId="0" borderId="0" xfId="0" applyNumberFormat="1" applyFont="1" applyAlignment="1">
      <alignment vertical="center"/>
    </xf>
    <xf numFmtId="49" fontId="32" fillId="0" borderId="7" xfId="0" applyNumberFormat="1" applyFont="1" applyBorder="1" applyAlignment="1">
      <alignment vertical="center"/>
    </xf>
    <xf numFmtId="49" fontId="33" fillId="0" borderId="0" xfId="0" applyNumberFormat="1" applyFont="1" applyAlignment="1">
      <alignment vertical="center"/>
    </xf>
    <xf numFmtId="49" fontId="32" fillId="0" borderId="8" xfId="0" applyNumberFormat="1" applyFont="1" applyBorder="1" applyAlignment="1">
      <alignment vertical="center"/>
    </xf>
    <xf numFmtId="49" fontId="1" fillId="0" borderId="0" xfId="0" applyNumberFormat="1" applyFont="1" applyAlignment="1">
      <alignment horizontal="left" vertical="center"/>
    </xf>
    <xf numFmtId="49" fontId="29" fillId="0" borderId="0" xfId="0" applyNumberFormat="1" applyFont="1" applyAlignment="1">
      <alignment vertical="center"/>
    </xf>
    <xf numFmtId="49" fontId="33" fillId="0" borderId="7" xfId="0" applyNumberFormat="1" applyFont="1" applyBorder="1" applyAlignment="1">
      <alignment vertical="center"/>
    </xf>
    <xf numFmtId="49" fontId="33" fillId="0" borderId="8" xfId="0" applyNumberFormat="1" applyFont="1" applyBorder="1" applyAlignment="1">
      <alignment vertical="center"/>
    </xf>
    <xf numFmtId="49" fontId="16" fillId="0" borderId="7" xfId="0" applyNumberFormat="1" applyFont="1" applyBorder="1" applyAlignment="1">
      <alignment horizontal="center" vertical="center"/>
    </xf>
    <xf numFmtId="49" fontId="16" fillId="0" borderId="0" xfId="0" applyNumberFormat="1" applyFont="1" applyAlignment="1">
      <alignment horizontal="center" vertical="center"/>
    </xf>
    <xf numFmtId="49" fontId="16" fillId="0" borderId="8" xfId="0" applyNumberFormat="1" applyFont="1" applyBorder="1" applyAlignment="1">
      <alignment horizontal="center" vertical="center"/>
    </xf>
    <xf numFmtId="49" fontId="34" fillId="0" borderId="7" xfId="0" applyNumberFormat="1" applyFont="1" applyBorder="1" applyAlignment="1">
      <alignment vertical="center"/>
    </xf>
    <xf numFmtId="0" fontId="20" fillId="0" borderId="0" xfId="0" applyFont="1" applyAlignment="1">
      <alignment horizontal="center" vertical="center"/>
    </xf>
    <xf numFmtId="0" fontId="35" fillId="0" borderId="0" xfId="0" applyFont="1" applyAlignment="1">
      <alignment vertical="center"/>
    </xf>
    <xf numFmtId="49" fontId="36" fillId="0" borderId="0" xfId="0" applyNumberFormat="1" applyFont="1" applyAlignment="1">
      <alignment vertical="center"/>
    </xf>
    <xf numFmtId="49" fontId="34" fillId="0" borderId="0" xfId="0" applyNumberFormat="1" applyFont="1" applyAlignment="1">
      <alignment vertical="center"/>
    </xf>
    <xf numFmtId="49" fontId="34" fillId="0" borderId="8" xfId="0" applyNumberFormat="1" applyFont="1" applyBorder="1" applyAlignment="1">
      <alignment vertical="center"/>
    </xf>
    <xf numFmtId="49" fontId="37" fillId="0" borderId="7" xfId="0" applyNumberFormat="1" applyFont="1" applyBorder="1" applyAlignment="1">
      <alignment vertical="center"/>
    </xf>
    <xf numFmtId="0" fontId="1" fillId="0" borderId="0" xfId="0" applyFont="1" applyAlignment="1">
      <alignment vertical="center" wrapText="1"/>
    </xf>
    <xf numFmtId="49" fontId="37" fillId="0" borderId="8" xfId="0" applyNumberFormat="1" applyFont="1" applyBorder="1" applyAlignment="1">
      <alignment vertical="center"/>
    </xf>
    <xf numFmtId="49" fontId="38" fillId="0" borderId="0" xfId="0" applyNumberFormat="1" applyFont="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49" fontId="1" fillId="0" borderId="7" xfId="0" applyNumberFormat="1" applyFont="1" applyBorder="1" applyAlignment="1">
      <alignment vertical="center"/>
    </xf>
    <xf numFmtId="49" fontId="1" fillId="0" borderId="0" xfId="0" applyNumberFormat="1" applyFont="1" applyAlignment="1">
      <alignment horizontal="center" vertical="center"/>
    </xf>
    <xf numFmtId="49" fontId="1" fillId="0" borderId="8" xfId="0" applyNumberFormat="1" applyFont="1" applyBorder="1" applyAlignment="1">
      <alignment vertical="center"/>
    </xf>
    <xf numFmtId="0" fontId="1" fillId="0" borderId="8" xfId="0" applyFont="1" applyBorder="1" applyAlignment="1">
      <alignment horizontal="center" vertical="center"/>
    </xf>
    <xf numFmtId="0" fontId="1" fillId="0" borderId="0" xfId="0" quotePrefix="1" applyFont="1" applyAlignment="1">
      <alignment horizontal="center" vertical="center"/>
    </xf>
    <xf numFmtId="0" fontId="6" fillId="0" borderId="0" xfId="0" applyFont="1" applyAlignment="1">
      <alignment horizontal="center" vertical="center"/>
    </xf>
    <xf numFmtId="0" fontId="34" fillId="0" borderId="0" xfId="0" applyFont="1" applyAlignment="1">
      <alignment horizontal="center" vertical="center"/>
    </xf>
    <xf numFmtId="49" fontId="4" fillId="0" borderId="0" xfId="0" applyNumberFormat="1" applyFont="1" applyAlignment="1">
      <alignment vertical="center"/>
    </xf>
    <xf numFmtId="0" fontId="5" fillId="0" borderId="7" xfId="0" applyFont="1" applyBorder="1" applyAlignment="1">
      <alignment vertical="center"/>
    </xf>
    <xf numFmtId="0" fontId="39" fillId="0" borderId="0" xfId="0" applyFont="1" applyAlignment="1">
      <alignment vertical="center"/>
    </xf>
    <xf numFmtId="49" fontId="6" fillId="0" borderId="5" xfId="0" applyNumberFormat="1" applyFont="1" applyBorder="1" applyAlignment="1">
      <alignment horizontal="center" vertical="center"/>
    </xf>
    <xf numFmtId="0" fontId="1" fillId="0" borderId="1" xfId="0" applyFont="1" applyBorder="1"/>
    <xf numFmtId="0" fontId="12" fillId="0" borderId="2" xfId="0" applyFont="1" applyBorder="1"/>
    <xf numFmtId="0" fontId="1" fillId="0" borderId="2" xfId="0" applyFont="1" applyBorder="1"/>
    <xf numFmtId="0" fontId="1" fillId="0" borderId="8" xfId="0" applyFont="1" applyBorder="1"/>
    <xf numFmtId="165" fontId="1" fillId="0" borderId="0" xfId="0" applyNumberFormat="1" applyFont="1"/>
    <xf numFmtId="0" fontId="1" fillId="0" borderId="7" xfId="0" applyFont="1" applyBorder="1"/>
    <xf numFmtId="0" fontId="12" fillId="0" borderId="0" xfId="0" applyFont="1"/>
    <xf numFmtId="0" fontId="40" fillId="0" borderId="7" xfId="0" applyFont="1" applyBorder="1" applyAlignment="1">
      <alignment vertical="center"/>
    </xf>
    <xf numFmtId="0" fontId="40" fillId="0" borderId="0" xfId="0" applyFont="1" applyAlignment="1">
      <alignment vertical="center"/>
    </xf>
    <xf numFmtId="0" fontId="10" fillId="0" borderId="0" xfId="0" applyFont="1"/>
    <xf numFmtId="0" fontId="12" fillId="0" borderId="7" xfId="0" applyFont="1" applyBorder="1" applyAlignment="1">
      <alignment vertical="center"/>
    </xf>
    <xf numFmtId="0" fontId="1" fillId="0" borderId="0" xfId="0" applyFont="1" applyAlignment="1">
      <alignment horizontal="right" vertical="center"/>
    </xf>
    <xf numFmtId="0" fontId="1" fillId="0" borderId="0" xfId="0" applyFont="1" applyAlignment="1">
      <alignment horizontal="center"/>
    </xf>
    <xf numFmtId="2" fontId="42" fillId="2" borderId="4" xfId="0" applyNumberFormat="1" applyFont="1" applyFill="1" applyBorder="1" applyAlignment="1" applyProtection="1">
      <alignment horizontal="center" vertical="center"/>
      <protection locked="0"/>
    </xf>
    <xf numFmtId="0" fontId="1" fillId="0" borderId="0" xfId="0" quotePrefix="1" applyFont="1" applyAlignment="1">
      <alignment horizontal="center"/>
    </xf>
    <xf numFmtId="0" fontId="1" fillId="0" borderId="0" xfId="0" applyFont="1" applyAlignment="1">
      <alignment horizontal="right"/>
    </xf>
    <xf numFmtId="0" fontId="42" fillId="2" borderId="12" xfId="0" applyFont="1" applyFill="1" applyBorder="1" applyAlignment="1" applyProtection="1">
      <alignment horizontal="center" vertical="center"/>
      <protection locked="0"/>
    </xf>
    <xf numFmtId="0" fontId="41" fillId="0" borderId="0" xfId="0" applyFont="1"/>
    <xf numFmtId="0" fontId="46" fillId="0" borderId="7" xfId="0" applyFont="1" applyBorder="1"/>
    <xf numFmtId="0" fontId="46" fillId="0" borderId="0" xfId="0" applyFont="1"/>
    <xf numFmtId="0" fontId="46" fillId="0" borderId="0" xfId="0" applyFont="1" applyAlignment="1">
      <alignment vertical="center"/>
    </xf>
    <xf numFmtId="0" fontId="46" fillId="0" borderId="0" xfId="0" applyFont="1" applyAlignment="1">
      <alignment horizontal="right" vertical="center"/>
    </xf>
    <xf numFmtId="0" fontId="46" fillId="0" borderId="0" xfId="0" applyFont="1" applyAlignment="1">
      <alignment horizontal="center"/>
    </xf>
    <xf numFmtId="2" fontId="46" fillId="0" borderId="0" xfId="0" applyNumberFormat="1" applyFont="1" applyAlignment="1">
      <alignment horizontal="center" vertical="center"/>
    </xf>
    <xf numFmtId="0" fontId="46" fillId="0" borderId="0" xfId="0" applyFont="1" applyAlignment="1">
      <alignment horizontal="left" vertical="center"/>
    </xf>
    <xf numFmtId="0" fontId="46" fillId="0" borderId="8" xfId="0" applyFont="1" applyBorder="1"/>
    <xf numFmtId="43" fontId="12" fillId="0" borderId="0" xfId="1" applyNumberFormat="1" applyFont="1" applyBorder="1" applyAlignment="1" applyProtection="1">
      <alignment horizontal="right" vertical="center"/>
    </xf>
    <xf numFmtId="0" fontId="41" fillId="0" borderId="0" xfId="0" applyFont="1" applyAlignment="1">
      <alignment vertical="center"/>
    </xf>
    <xf numFmtId="0" fontId="47" fillId="0" borderId="4" xfId="0" applyFont="1" applyBorder="1"/>
    <xf numFmtId="49" fontId="5" fillId="0" borderId="5" xfId="0" applyNumberFormat="1" applyFont="1" applyBorder="1"/>
    <xf numFmtId="0" fontId="47" fillId="0" borderId="5" xfId="0" applyFont="1" applyBorder="1"/>
    <xf numFmtId="0" fontId="48" fillId="0" borderId="6" xfId="0" applyFont="1" applyBorder="1" applyAlignment="1">
      <alignment horizontal="right" vertical="center"/>
    </xf>
    <xf numFmtId="0" fontId="1" fillId="0" borderId="1" xfId="0" applyFont="1" applyBorder="1" applyAlignment="1">
      <alignment vertical="center"/>
    </xf>
    <xf numFmtId="0" fontId="1" fillId="0" borderId="2" xfId="0" applyFont="1" applyBorder="1" applyAlignment="1">
      <alignment horizontal="right"/>
    </xf>
    <xf numFmtId="0" fontId="1" fillId="0" borderId="2" xfId="0" applyFont="1" applyBorder="1" applyAlignment="1">
      <alignment horizontal="center"/>
    </xf>
    <xf numFmtId="43" fontId="12" fillId="0" borderId="2" xfId="1" applyNumberFormat="1" applyFont="1" applyBorder="1" applyAlignment="1" applyProtection="1">
      <alignment horizontal="right" vertical="center"/>
    </xf>
    <xf numFmtId="0" fontId="1" fillId="0" borderId="2" xfId="0" applyFont="1" applyBorder="1" applyAlignment="1">
      <alignment horizontal="center" vertical="center"/>
    </xf>
    <xf numFmtId="0" fontId="1" fillId="0" borderId="2" xfId="0" applyFont="1" applyBorder="1" applyAlignment="1">
      <alignment horizontal="left" vertical="center"/>
    </xf>
    <xf numFmtId="0" fontId="1" fillId="0" borderId="3" xfId="0" applyFont="1" applyBorder="1"/>
    <xf numFmtId="0" fontId="20" fillId="0" borderId="7" xfId="0" applyFont="1" applyBorder="1"/>
    <xf numFmtId="0" fontId="50" fillId="0" borderId="0" xfId="0" applyFont="1"/>
    <xf numFmtId="0" fontId="50" fillId="0" borderId="0" xfId="0" applyFont="1" applyAlignment="1">
      <alignment vertical="center"/>
    </xf>
    <xf numFmtId="0" fontId="50" fillId="0" borderId="0" xfId="0" applyFont="1" applyAlignment="1">
      <alignment horizontal="center"/>
    </xf>
    <xf numFmtId="0" fontId="50" fillId="0" borderId="12" xfId="0" applyFont="1" applyBorder="1" applyAlignment="1">
      <alignment horizontal="center" vertical="center"/>
    </xf>
    <xf numFmtId="0" fontId="50" fillId="0" borderId="0" xfId="0" applyFont="1" applyAlignment="1">
      <alignment horizontal="left" vertical="center"/>
    </xf>
    <xf numFmtId="0" fontId="50" fillId="0" borderId="8" xfId="0" applyFont="1" applyBorder="1"/>
    <xf numFmtId="0" fontId="50" fillId="0" borderId="0" xfId="0" applyFont="1" applyAlignment="1">
      <alignment horizontal="right"/>
    </xf>
    <xf numFmtId="0" fontId="17" fillId="0" borderId="7" xfId="0" applyFont="1" applyBorder="1"/>
    <xf numFmtId="2" fontId="52" fillId="0" borderId="0" xfId="0" applyNumberFormat="1" applyFont="1" applyAlignment="1">
      <alignment horizontal="right"/>
    </xf>
    <xf numFmtId="0" fontId="17" fillId="0" borderId="7" xfId="0" applyFont="1" applyBorder="1" applyAlignment="1">
      <alignment vertical="center"/>
    </xf>
    <xf numFmtId="0" fontId="20" fillId="0" borderId="7" xfId="0" applyFont="1" applyBorder="1" applyAlignment="1">
      <alignment vertical="center"/>
    </xf>
    <xf numFmtId="0" fontId="50" fillId="0" borderId="0" xfId="0" applyFont="1" applyAlignment="1">
      <alignment horizontal="center" vertical="center"/>
    </xf>
    <xf numFmtId="0" fontId="13" fillId="0" borderId="5" xfId="0" applyFont="1" applyBorder="1"/>
    <xf numFmtId="2" fontId="42" fillId="0" borderId="0" xfId="0" applyNumberFormat="1" applyFont="1" applyAlignment="1">
      <alignment horizontal="right"/>
    </xf>
    <xf numFmtId="0" fontId="48" fillId="0" borderId="0" xfId="0" applyFont="1" applyAlignment="1">
      <alignment horizontal="center" vertical="center"/>
    </xf>
    <xf numFmtId="0" fontId="6" fillId="0" borderId="0" xfId="0" applyFont="1"/>
    <xf numFmtId="0" fontId="6" fillId="0" borderId="0" xfId="0" applyFont="1" applyAlignment="1">
      <alignment horizontal="center"/>
    </xf>
    <xf numFmtId="0" fontId="4" fillId="0" borderId="0" xfId="0" applyFont="1" applyAlignment="1">
      <alignment horizontal="center" vertical="center"/>
    </xf>
    <xf numFmtId="0" fontId="4" fillId="0" borderId="0" xfId="0" applyFont="1"/>
    <xf numFmtId="0" fontId="53" fillId="0" borderId="0" xfId="0" applyFont="1"/>
    <xf numFmtId="0" fontId="53" fillId="0" borderId="0" xfId="0" applyFont="1" applyAlignment="1">
      <alignment horizontal="center"/>
    </xf>
    <xf numFmtId="2" fontId="54" fillId="0" borderId="0" xfId="0" applyNumberFormat="1" applyFont="1" applyAlignment="1">
      <alignment horizontal="right"/>
    </xf>
    <xf numFmtId="0" fontId="53" fillId="0" borderId="7" xfId="0" applyFont="1" applyBorder="1"/>
    <xf numFmtId="2" fontId="53" fillId="0" borderId="0" xfId="0" applyNumberFormat="1" applyFont="1" applyAlignment="1">
      <alignment horizontal="right"/>
    </xf>
    <xf numFmtId="2" fontId="6" fillId="0" borderId="0" xfId="0" applyNumberFormat="1" applyFont="1" applyAlignment="1">
      <alignment horizontal="right"/>
    </xf>
    <xf numFmtId="0" fontId="55" fillId="0" borderId="0" xfId="0" applyFont="1"/>
    <xf numFmtId="0" fontId="6" fillId="0" borderId="0" xfId="0" quotePrefix="1" applyFont="1" applyAlignment="1">
      <alignment horizontal="center"/>
    </xf>
    <xf numFmtId="49" fontId="28" fillId="0" borderId="4" xfId="0" applyNumberFormat="1" applyFont="1" applyBorder="1"/>
    <xf numFmtId="49" fontId="6" fillId="0" borderId="6" xfId="0" applyNumberFormat="1" applyFont="1" applyBorder="1" applyAlignment="1">
      <alignment vertical="center"/>
    </xf>
    <xf numFmtId="49" fontId="60" fillId="0" borderId="1" xfId="0" applyNumberFormat="1" applyFont="1" applyBorder="1" applyAlignment="1">
      <alignment vertical="center"/>
    </xf>
    <xf numFmtId="49" fontId="6" fillId="0" borderId="2" xfId="0" applyNumberFormat="1" applyFont="1" applyBorder="1" applyAlignment="1">
      <alignment vertical="center"/>
    </xf>
    <xf numFmtId="0" fontId="6" fillId="0" borderId="7" xfId="0" applyFont="1" applyBorder="1" applyAlignment="1">
      <alignment vertical="center"/>
    </xf>
    <xf numFmtId="49" fontId="29" fillId="0" borderId="7" xfId="0" applyNumberFormat="1" applyFont="1" applyBorder="1" applyAlignment="1">
      <alignment horizontal="center" vertical="center"/>
    </xf>
    <xf numFmtId="49" fontId="29" fillId="0" borderId="8" xfId="0" applyNumberFormat="1" applyFont="1" applyBorder="1" applyAlignment="1">
      <alignment horizontal="center" vertical="center"/>
    </xf>
    <xf numFmtId="49" fontId="29" fillId="0" borderId="7" xfId="0" applyNumberFormat="1" applyFont="1" applyBorder="1" applyAlignment="1">
      <alignment vertical="center"/>
    </xf>
    <xf numFmtId="49" fontId="29" fillId="0" borderId="8" xfId="0" applyNumberFormat="1" applyFont="1" applyBorder="1" applyAlignment="1">
      <alignment vertical="center"/>
    </xf>
    <xf numFmtId="49" fontId="39" fillId="0" borderId="0" xfId="0" applyNumberFormat="1" applyFont="1" applyAlignment="1">
      <alignment vertical="center"/>
    </xf>
    <xf numFmtId="49" fontId="38" fillId="0" borderId="7" xfId="0" applyNumberFormat="1" applyFont="1" applyBorder="1" applyAlignment="1">
      <alignment vertical="center"/>
    </xf>
    <xf numFmtId="49" fontId="38" fillId="0" borderId="8" xfId="0" applyNumberFormat="1" applyFont="1" applyBorder="1" applyAlignment="1">
      <alignment vertical="center"/>
    </xf>
    <xf numFmtId="0" fontId="6" fillId="0" borderId="8" xfId="0" applyFont="1" applyBorder="1" applyAlignment="1">
      <alignment vertical="center"/>
    </xf>
    <xf numFmtId="0" fontId="0" fillId="0" borderId="8" xfId="0" applyBorder="1" applyAlignment="1">
      <alignment horizontal="center" vertical="center"/>
    </xf>
    <xf numFmtId="49" fontId="6" fillId="0" borderId="0" xfId="0" applyNumberFormat="1" applyFont="1" applyAlignment="1">
      <alignment horizontal="left" vertical="center"/>
    </xf>
    <xf numFmtId="49" fontId="62" fillId="0" borderId="0" xfId="0" applyNumberFormat="1" applyFont="1" applyAlignment="1">
      <alignment vertical="center"/>
    </xf>
    <xf numFmtId="49" fontId="53" fillId="0" borderId="0" xfId="0" applyNumberFormat="1" applyFont="1" applyAlignment="1">
      <alignment vertical="center"/>
    </xf>
    <xf numFmtId="0" fontId="39" fillId="0" borderId="7" xfId="0" applyFont="1" applyBorder="1" applyAlignment="1">
      <alignment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0" fillId="0" borderId="7" xfId="0" applyBorder="1" applyAlignment="1">
      <alignment vertical="center"/>
    </xf>
    <xf numFmtId="0" fontId="0" fillId="0" borderId="8" xfId="0" applyBorder="1" applyAlignment="1">
      <alignment vertical="center"/>
    </xf>
    <xf numFmtId="0" fontId="12" fillId="0" borderId="0" xfId="0" applyFont="1" applyAlignment="1">
      <alignment horizontal="left" vertical="center"/>
    </xf>
    <xf numFmtId="0" fontId="12" fillId="0" borderId="0" xfId="0" applyFont="1" applyAlignment="1">
      <alignment horizontal="right" vertical="center"/>
    </xf>
    <xf numFmtId="0" fontId="42" fillId="2" borderId="4" xfId="0" applyFont="1" applyFill="1" applyBorder="1" applyAlignment="1" applyProtection="1">
      <alignment horizontal="center" vertical="center"/>
      <protection locked="0"/>
    </xf>
    <xf numFmtId="0" fontId="42" fillId="2" borderId="6" xfId="0" applyFont="1" applyFill="1" applyBorder="1" applyAlignment="1" applyProtection="1">
      <alignment horizontal="center" vertical="center"/>
      <protection locked="0"/>
    </xf>
    <xf numFmtId="0" fontId="0" fillId="0" borderId="10" xfId="0" applyBorder="1" applyAlignment="1">
      <alignment horizontal="center" vertical="center"/>
    </xf>
    <xf numFmtId="0" fontId="0" fillId="0" borderId="0" xfId="0" quotePrefix="1" applyAlignment="1">
      <alignment horizontal="center" vertical="center"/>
    </xf>
    <xf numFmtId="0" fontId="15" fillId="0" borderId="0" xfId="0" applyFont="1" applyAlignment="1">
      <alignment vertical="center"/>
    </xf>
    <xf numFmtId="0" fontId="63" fillId="0" borderId="7" xfId="0"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0" fillId="0" borderId="5" xfId="0" applyBorder="1" applyAlignment="1">
      <alignment vertical="center"/>
    </xf>
    <xf numFmtId="0" fontId="63" fillId="0" borderId="0" xfId="0" applyFont="1" applyAlignment="1">
      <alignment vertical="center"/>
    </xf>
    <xf numFmtId="0" fontId="1" fillId="0" borderId="8" xfId="0" applyFont="1" applyBorder="1" applyAlignment="1">
      <alignment horizontal="left" vertical="center"/>
    </xf>
    <xf numFmtId="2" fontId="1" fillId="0" borderId="0" xfId="0" applyNumberFormat="1" applyFont="1" applyAlignment="1">
      <alignment horizontal="right" vertical="center"/>
    </xf>
    <xf numFmtId="2" fontId="13" fillId="2" borderId="4" xfId="0" applyNumberFormat="1" applyFont="1" applyFill="1" applyBorder="1" applyAlignment="1" applyProtection="1">
      <alignment horizontal="center" vertical="center"/>
      <protection locked="0"/>
    </xf>
    <xf numFmtId="0" fontId="13" fillId="2" borderId="6" xfId="0" applyFont="1" applyFill="1" applyBorder="1" applyAlignment="1" applyProtection="1">
      <alignment horizontal="center" vertical="center"/>
      <protection locked="0"/>
    </xf>
    <xf numFmtId="0" fontId="1" fillId="0" borderId="3" xfId="0" applyFont="1" applyBorder="1" applyAlignment="1">
      <alignment horizontal="left" vertical="center"/>
    </xf>
    <xf numFmtId="0" fontId="1" fillId="0" borderId="12" xfId="0" applyFont="1" applyBorder="1" applyAlignment="1">
      <alignment horizontal="left" vertical="center"/>
    </xf>
    <xf numFmtId="2" fontId="0" fillId="0" borderId="0" xfId="0" applyNumberFormat="1" applyAlignment="1">
      <alignment vertical="center"/>
    </xf>
    <xf numFmtId="0" fontId="1" fillId="0" borderId="9" xfId="0" applyFont="1" applyBorder="1" applyAlignment="1">
      <alignment horizontal="left" vertical="center"/>
    </xf>
    <xf numFmtId="0" fontId="1" fillId="0" borderId="10" xfId="0" applyFont="1" applyBorder="1" applyAlignment="1">
      <alignment horizontal="left" vertical="center"/>
    </xf>
    <xf numFmtId="0" fontId="0" fillId="0" borderId="10" xfId="0" applyBorder="1" applyAlignment="1">
      <alignment vertical="center"/>
    </xf>
    <xf numFmtId="0" fontId="1" fillId="0" borderId="11" xfId="0" applyFont="1" applyBorder="1" applyAlignment="1">
      <alignment horizontal="center" vertical="center"/>
    </xf>
    <xf numFmtId="0" fontId="0" fillId="0" borderId="12" xfId="0" applyBorder="1" applyAlignment="1">
      <alignment horizontal="center" vertical="center"/>
    </xf>
    <xf numFmtId="0" fontId="1" fillId="0" borderId="11" xfId="0" applyFont="1" applyBorder="1" applyAlignment="1">
      <alignment horizontal="left" vertical="center"/>
    </xf>
    <xf numFmtId="2" fontId="0" fillId="0" borderId="0" xfId="0" applyNumberFormat="1" applyAlignment="1">
      <alignment horizontal="center" vertical="center"/>
    </xf>
    <xf numFmtId="0" fontId="6" fillId="0" borderId="0" xfId="0" applyFont="1" applyAlignment="1">
      <alignment horizontal="right" vertical="center"/>
    </xf>
    <xf numFmtId="0" fontId="6" fillId="0" borderId="0" xfId="0" applyFont="1" applyAlignment="1">
      <alignment horizontal="left" vertical="center"/>
    </xf>
    <xf numFmtId="0" fontId="62" fillId="0" borderId="0" xfId="0" applyFont="1" applyAlignment="1">
      <alignment horizontal="left" vertical="center"/>
    </xf>
    <xf numFmtId="0" fontId="55" fillId="0" borderId="0" xfId="0" applyFont="1" applyAlignment="1">
      <alignment vertical="center"/>
    </xf>
    <xf numFmtId="0" fontId="6" fillId="0" borderId="7" xfId="0" applyFont="1" applyBorder="1" applyAlignment="1">
      <alignment horizontal="left" vertical="center"/>
    </xf>
    <xf numFmtId="0" fontId="5" fillId="0" borderId="0" xfId="0" applyFont="1" applyAlignment="1">
      <alignment vertical="center"/>
    </xf>
    <xf numFmtId="2" fontId="1" fillId="0" borderId="0" xfId="0" applyNumberFormat="1" applyFont="1" applyAlignment="1">
      <alignment horizontal="center" vertical="center"/>
    </xf>
    <xf numFmtId="0" fontId="55" fillId="0" borderId="0" xfId="0" applyFont="1" applyAlignment="1">
      <alignment horizontal="left" vertical="center"/>
    </xf>
    <xf numFmtId="0" fontId="62" fillId="0" borderId="8" xfId="0" applyFont="1" applyBorder="1" applyAlignment="1">
      <alignment horizontal="left" vertical="center"/>
    </xf>
    <xf numFmtId="0" fontId="1" fillId="0" borderId="0" xfId="0" applyFont="1" applyAlignment="1">
      <alignment horizontal="center" vertical="center" shrinkToFit="1"/>
    </xf>
    <xf numFmtId="2" fontId="1" fillId="0" borderId="0" xfId="0" applyNumberFormat="1" applyFont="1" applyAlignment="1">
      <alignment horizontal="center" vertical="center" shrinkToFit="1"/>
    </xf>
    <xf numFmtId="2" fontId="6" fillId="0" borderId="0" xfId="0" applyNumberFormat="1" applyFont="1" applyAlignment="1">
      <alignment vertical="center" shrinkToFit="1"/>
    </xf>
    <xf numFmtId="0" fontId="1" fillId="0" borderId="5" xfId="0" applyFont="1" applyBorder="1" applyAlignment="1">
      <alignment horizontal="right" vertical="center"/>
    </xf>
    <xf numFmtId="0" fontId="13" fillId="0" borderId="5" xfId="0" applyFont="1" applyBorder="1" applyAlignment="1">
      <alignment horizontal="right" vertical="center"/>
    </xf>
    <xf numFmtId="0" fontId="0" fillId="0" borderId="1" xfId="0" applyBorder="1" applyAlignment="1">
      <alignment vertical="center"/>
    </xf>
    <xf numFmtId="0" fontId="0" fillId="0" borderId="2" xfId="0" applyBorder="1" applyAlignment="1">
      <alignment vertical="center"/>
    </xf>
    <xf numFmtId="0" fontId="0" fillId="0" borderId="3" xfId="0" applyBorder="1" applyAlignment="1">
      <alignment vertical="center"/>
    </xf>
    <xf numFmtId="0" fontId="1" fillId="0" borderId="10" xfId="0" applyFont="1" applyBorder="1" applyAlignment="1">
      <alignment horizontal="center" vertical="center"/>
    </xf>
    <xf numFmtId="0" fontId="20" fillId="0" borderId="0" xfId="0" quotePrefix="1" applyFont="1" applyAlignment="1">
      <alignment vertical="center"/>
    </xf>
    <xf numFmtId="0" fontId="0" fillId="0" borderId="7" xfId="0" applyBorder="1" applyAlignment="1">
      <alignment vertical="center" wrapText="1"/>
    </xf>
    <xf numFmtId="0" fontId="0" fillId="0" borderId="0" xfId="0" applyAlignment="1">
      <alignment vertical="center" wrapText="1"/>
    </xf>
    <xf numFmtId="0" fontId="0" fillId="0" borderId="8" xfId="0" applyBorder="1" applyAlignment="1">
      <alignment vertical="center" wrapText="1"/>
    </xf>
    <xf numFmtId="0" fontId="53" fillId="0" borderId="0" xfId="0" quotePrefix="1" applyFont="1" applyAlignment="1">
      <alignment horizontal="center" vertical="center"/>
    </xf>
    <xf numFmtId="0" fontId="1" fillId="0" borderId="0" xfId="0" quotePrefix="1" applyFont="1" applyAlignment="1">
      <alignment vertical="center"/>
    </xf>
    <xf numFmtId="0" fontId="53" fillId="0" borderId="0" xfId="0" applyFont="1" applyAlignment="1">
      <alignment horizontal="center" vertical="center"/>
    </xf>
    <xf numFmtId="0" fontId="20" fillId="0" borderId="0" xfId="0" applyFont="1" applyAlignment="1">
      <alignment horizontal="right" vertical="center"/>
    </xf>
    <xf numFmtId="0" fontId="1" fillId="0" borderId="10" xfId="0" applyFont="1" applyBorder="1" applyAlignment="1">
      <alignment horizontal="center" vertical="center" shrinkToFit="1"/>
    </xf>
    <xf numFmtId="0" fontId="1" fillId="0" borderId="0" xfId="0" applyFont="1" applyAlignment="1">
      <alignment vertical="center" shrinkToFit="1"/>
    </xf>
    <xf numFmtId="0" fontId="1" fillId="0" borderId="0" xfId="0" quotePrefix="1" applyFont="1" applyAlignment="1">
      <alignment horizontal="center" vertical="center" shrinkToFit="1"/>
    </xf>
    <xf numFmtId="2" fontId="1" fillId="0" borderId="0" xfId="0" applyNumberFormat="1" applyFont="1" applyAlignment="1">
      <alignment vertical="center" shrinkToFit="1"/>
    </xf>
    <xf numFmtId="0" fontId="0" fillId="0" borderId="0" xfId="0" applyAlignment="1">
      <alignment vertical="center" shrinkToFit="1"/>
    </xf>
    <xf numFmtId="2" fontId="0" fillId="0" borderId="4" xfId="0" applyNumberFormat="1" applyBorder="1" applyAlignment="1">
      <alignment horizontal="center" vertical="center"/>
    </xf>
    <xf numFmtId="0" fontId="0" fillId="0" borderId="0" xfId="0" applyAlignment="1">
      <alignment horizontal="right" vertical="center"/>
    </xf>
    <xf numFmtId="0" fontId="0" fillId="0" borderId="0" xfId="0" applyAlignment="1">
      <alignment horizontal="center" vertical="center" shrinkToFit="1"/>
    </xf>
    <xf numFmtId="0" fontId="0" fillId="0" borderId="6" xfId="0" applyBorder="1" applyAlignment="1">
      <alignment horizontal="center" vertical="center"/>
    </xf>
    <xf numFmtId="0" fontId="63" fillId="0" borderId="0" xfId="0" applyFont="1" applyAlignment="1">
      <alignment horizontal="center" vertical="center"/>
    </xf>
    <xf numFmtId="0" fontId="63" fillId="0" borderId="7" xfId="0" applyFont="1" applyBorder="1" applyAlignment="1">
      <alignment horizontal="left" vertical="center"/>
    </xf>
    <xf numFmtId="166" fontId="1" fillId="0" borderId="0" xfId="0" applyNumberFormat="1" applyFont="1" applyAlignment="1">
      <alignment horizontal="left" vertical="center"/>
    </xf>
    <xf numFmtId="0" fontId="1" fillId="0" borderId="0" xfId="0" quotePrefix="1" applyFont="1" applyAlignment="1">
      <alignment horizontal="right" vertical="center"/>
    </xf>
    <xf numFmtId="0" fontId="13" fillId="0" borderId="0" xfId="0" applyFont="1" applyAlignment="1">
      <alignment horizontal="left" vertical="center"/>
    </xf>
    <xf numFmtId="2" fontId="6" fillId="0" borderId="0" xfId="0" quotePrefix="1" applyNumberFormat="1" applyFont="1" applyAlignment="1">
      <alignment horizontal="center" vertical="center" shrinkToFit="1"/>
    </xf>
    <xf numFmtId="167" fontId="1" fillId="0" borderId="0" xfId="0" applyNumberFormat="1" applyFont="1" applyAlignment="1">
      <alignment horizontal="center" vertical="center" shrinkToFit="1"/>
    </xf>
    <xf numFmtId="0" fontId="12" fillId="6" borderId="12" xfId="0" applyFont="1" applyFill="1" applyBorder="1" applyAlignment="1">
      <alignment horizontal="center" vertical="center"/>
    </xf>
    <xf numFmtId="0" fontId="42" fillId="0" borderId="0" xfId="0" applyFont="1" applyAlignment="1">
      <alignment horizontal="center" vertical="center"/>
    </xf>
    <xf numFmtId="0" fontId="12" fillId="0" borderId="12" xfId="0" applyFont="1" applyBorder="1" applyAlignment="1">
      <alignment horizontal="center" vertical="center"/>
    </xf>
    <xf numFmtId="2" fontId="1" fillId="0" borderId="0" xfId="0" applyNumberFormat="1" applyFont="1" applyAlignment="1">
      <alignment vertical="center"/>
    </xf>
    <xf numFmtId="0" fontId="1" fillId="0" borderId="7" xfId="0" applyFont="1" applyBorder="1" applyAlignment="1">
      <alignment vertical="center" wrapText="1"/>
    </xf>
    <xf numFmtId="0" fontId="1" fillId="0" borderId="10" xfId="0" applyFont="1" applyBorder="1" applyAlignment="1">
      <alignment vertical="center"/>
    </xf>
    <xf numFmtId="0" fontId="1" fillId="0" borderId="3" xfId="0" applyFont="1" applyBorder="1" applyAlignment="1">
      <alignment horizontal="center" vertical="center"/>
    </xf>
    <xf numFmtId="0" fontId="1" fillId="0" borderId="9" xfId="0" applyFont="1" applyBorder="1" applyAlignment="1">
      <alignment horizontal="center" vertical="center"/>
    </xf>
    <xf numFmtId="0" fontId="1" fillId="0" borderId="9" xfId="0" applyFont="1" applyBorder="1" applyAlignment="1">
      <alignment vertical="center"/>
    </xf>
    <xf numFmtId="0" fontId="1" fillId="0" borderId="12" xfId="0" applyFont="1" applyBorder="1" applyAlignment="1">
      <alignment horizontal="center" vertical="center" shrinkToFit="1"/>
    </xf>
    <xf numFmtId="2" fontId="1" fillId="0" borderId="12" xfId="0" applyNumberFormat="1" applyFont="1" applyBorder="1" applyAlignment="1">
      <alignment horizontal="center" vertical="center" shrinkToFit="1"/>
    </xf>
    <xf numFmtId="0" fontId="1" fillId="0" borderId="7" xfId="0" applyFont="1" applyBorder="1" applyAlignment="1">
      <alignment vertical="center" shrinkToFit="1"/>
    </xf>
    <xf numFmtId="0" fontId="1" fillId="0" borderId="8" xfId="0" applyFont="1" applyBorder="1" applyAlignment="1">
      <alignment vertical="center" wrapText="1"/>
    </xf>
    <xf numFmtId="0" fontId="42" fillId="2" borderId="12" xfId="0" applyFont="1" applyFill="1" applyBorder="1" applyAlignment="1">
      <alignment horizontal="center" vertical="center"/>
    </xf>
    <xf numFmtId="0" fontId="1" fillId="0" borderId="0" xfId="0" quotePrefix="1" applyFont="1" applyAlignment="1">
      <alignment horizontal="left" vertical="center"/>
    </xf>
    <xf numFmtId="0" fontId="1" fillId="0" borderId="2" xfId="0" applyFont="1" applyBorder="1" applyAlignment="1">
      <alignment horizontal="center" vertical="center" wrapText="1"/>
    </xf>
    <xf numFmtId="0" fontId="1" fillId="0" borderId="10" xfId="0" applyFont="1" applyBorder="1" applyAlignment="1">
      <alignment horizontal="center" vertical="center" wrapText="1"/>
    </xf>
    <xf numFmtId="0" fontId="0" fillId="0" borderId="0" xfId="0" quotePrefix="1" applyAlignment="1">
      <alignment vertical="center"/>
    </xf>
    <xf numFmtId="0" fontId="1" fillId="0" borderId="7" xfId="0" applyFont="1" applyBorder="1" applyAlignment="1">
      <alignment horizontal="left" vertical="center"/>
    </xf>
    <xf numFmtId="0" fontId="1" fillId="0" borderId="2" xfId="0" applyFont="1" applyBorder="1" applyAlignment="1">
      <alignment vertical="center"/>
    </xf>
    <xf numFmtId="0" fontId="1" fillId="0" borderId="2" xfId="0" applyFont="1" applyBorder="1" applyAlignment="1">
      <alignment horizontal="right" vertical="center"/>
    </xf>
    <xf numFmtId="0" fontId="13" fillId="0" borderId="2" xfId="0" applyFont="1" applyBorder="1" applyAlignment="1">
      <alignment horizontal="right" vertical="center"/>
    </xf>
    <xf numFmtId="0" fontId="48" fillId="0" borderId="3" xfId="0" applyFont="1" applyBorder="1" applyAlignment="1">
      <alignment horizontal="right" vertical="center"/>
    </xf>
    <xf numFmtId="0" fontId="53" fillId="0" borderId="7" xfId="0" applyFont="1" applyBorder="1" applyAlignment="1">
      <alignment vertical="center"/>
    </xf>
    <xf numFmtId="0" fontId="15" fillId="0" borderId="0" xfId="0" applyFont="1" applyAlignment="1">
      <alignment horizontal="center" vertical="center"/>
    </xf>
    <xf numFmtId="0" fontId="4" fillId="0" borderId="0" xfId="0" applyFont="1" applyAlignment="1">
      <alignment vertical="center"/>
    </xf>
    <xf numFmtId="168" fontId="1" fillId="0" borderId="0" xfId="0" applyNumberFormat="1" applyFont="1" applyAlignment="1">
      <alignment vertical="center"/>
    </xf>
    <xf numFmtId="2" fontId="1" fillId="0" borderId="0" xfId="0" applyNumberFormat="1" applyFont="1" applyAlignment="1">
      <alignment horizontal="left" vertical="center"/>
    </xf>
    <xf numFmtId="1" fontId="0" fillId="0" borderId="0" xfId="0" applyNumberFormat="1" applyAlignment="1">
      <alignment vertical="center"/>
    </xf>
    <xf numFmtId="2" fontId="1" fillId="0" borderId="0" xfId="0" quotePrefix="1" applyNumberFormat="1" applyFont="1" applyAlignment="1">
      <alignment horizontal="center" vertical="center"/>
    </xf>
    <xf numFmtId="2" fontId="4" fillId="0" borderId="0" xfId="0" applyNumberFormat="1" applyFont="1" applyAlignment="1">
      <alignment horizontal="center" vertical="center"/>
    </xf>
    <xf numFmtId="169" fontId="1" fillId="0" borderId="0" xfId="0" applyNumberFormat="1" applyFont="1" applyAlignment="1">
      <alignment vertical="center"/>
    </xf>
    <xf numFmtId="169" fontId="0" fillId="0" borderId="0" xfId="0" applyNumberFormat="1" applyAlignment="1">
      <alignment vertical="center"/>
    </xf>
    <xf numFmtId="0" fontId="12" fillId="0" borderId="0" xfId="0" applyFont="1" applyAlignment="1">
      <alignment horizontal="center" vertical="center"/>
    </xf>
    <xf numFmtId="1" fontId="1" fillId="0" borderId="12" xfId="0" applyNumberFormat="1" applyFont="1" applyBorder="1" applyAlignment="1">
      <alignment horizontal="center" vertical="center" shrinkToFit="1"/>
    </xf>
    <xf numFmtId="167" fontId="1" fillId="0" borderId="12" xfId="0" applyNumberFormat="1" applyFont="1" applyBorder="1" applyAlignment="1">
      <alignment horizontal="center" vertical="center" shrinkToFit="1"/>
    </xf>
    <xf numFmtId="0" fontId="0" fillId="0" borderId="4" xfId="0" applyBorder="1" applyAlignment="1">
      <alignment vertical="center"/>
    </xf>
    <xf numFmtId="0" fontId="0" fillId="0" borderId="6" xfId="0" applyBorder="1" applyAlignment="1">
      <alignment vertical="center"/>
    </xf>
    <xf numFmtId="0" fontId="5" fillId="0" borderId="12" xfId="0" applyFont="1" applyBorder="1" applyAlignment="1" applyProtection="1">
      <alignment horizontal="center" vertical="center" wrapText="1"/>
      <protection locked="0"/>
    </xf>
    <xf numFmtId="0" fontId="42" fillId="2" borderId="4" xfId="0" applyFont="1" applyFill="1" applyBorder="1" applyAlignment="1" applyProtection="1">
      <alignment horizontal="right" vertical="center"/>
      <protection locked="0"/>
    </xf>
    <xf numFmtId="0" fontId="42" fillId="2" borderId="6" xfId="0" applyFont="1" applyFill="1" applyBorder="1" applyAlignment="1" applyProtection="1">
      <alignment horizontal="left" vertical="center"/>
      <protection locked="0"/>
    </xf>
    <xf numFmtId="2" fontId="12" fillId="0" borderId="0" xfId="0" applyNumberFormat="1" applyFont="1" applyAlignment="1">
      <alignment vertical="center"/>
    </xf>
    <xf numFmtId="0" fontId="0" fillId="0" borderId="0" xfId="0" applyAlignment="1">
      <alignment horizontal="left" vertical="center"/>
    </xf>
    <xf numFmtId="0" fontId="1" fillId="0" borderId="14" xfId="0" applyFont="1" applyBorder="1" applyAlignment="1">
      <alignment horizontal="left" vertical="center"/>
    </xf>
    <xf numFmtId="0" fontId="69" fillId="0" borderId="0" xfId="0" applyFont="1" applyAlignment="1">
      <alignment vertical="center"/>
    </xf>
    <xf numFmtId="0" fontId="4" fillId="0" borderId="7" xfId="0" applyFont="1" applyBorder="1" applyAlignment="1">
      <alignment vertical="center"/>
    </xf>
    <xf numFmtId="0" fontId="4" fillId="0" borderId="8" xfId="0" applyFont="1" applyBorder="1" applyAlignment="1">
      <alignment vertical="center"/>
    </xf>
    <xf numFmtId="2" fontId="0" fillId="0" borderId="0" xfId="0" applyNumberFormat="1" applyAlignment="1">
      <alignment vertical="center" shrinkToFit="1"/>
    </xf>
    <xf numFmtId="0" fontId="12" fillId="0" borderId="4" xfId="0" applyFont="1" applyBorder="1" applyAlignment="1">
      <alignment horizontal="right" vertical="center"/>
    </xf>
    <xf numFmtId="0" fontId="12" fillId="0" borderId="6" xfId="0" applyFont="1" applyBorder="1" applyAlignment="1">
      <alignment horizontal="left" vertical="center"/>
    </xf>
    <xf numFmtId="0" fontId="71" fillId="0" borderId="0" xfId="0" applyFont="1" applyAlignment="1">
      <alignment vertical="center"/>
    </xf>
    <xf numFmtId="2" fontId="0" fillId="0" borderId="0" xfId="0" applyNumberFormat="1" applyAlignment="1">
      <alignment horizontal="right" vertical="center"/>
    </xf>
    <xf numFmtId="0" fontId="0" fillId="0" borderId="5" xfId="0" applyBorder="1" applyAlignment="1">
      <alignment horizontal="right" vertical="center"/>
    </xf>
    <xf numFmtId="0" fontId="0" fillId="0" borderId="5" xfId="0" applyBorder="1" applyAlignment="1">
      <alignment horizontal="center" vertical="center"/>
    </xf>
    <xf numFmtId="2" fontId="0" fillId="0" borderId="5" xfId="0" applyNumberFormat="1" applyBorder="1" applyAlignment="1">
      <alignment horizontal="center" vertical="center"/>
    </xf>
    <xf numFmtId="0" fontId="15" fillId="0" borderId="5" xfId="0" applyFont="1" applyBorder="1" applyAlignment="1">
      <alignment vertical="center"/>
    </xf>
    <xf numFmtId="0" fontId="6" fillId="0" borderId="8"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49" fontId="72" fillId="2" borderId="7" xfId="0" applyNumberFormat="1" applyFont="1" applyFill="1" applyBorder="1" applyAlignment="1">
      <alignment vertical="center"/>
    </xf>
    <xf numFmtId="0" fontId="0" fillId="2" borderId="8" xfId="0" applyFill="1" applyBorder="1" applyAlignment="1">
      <alignment horizontal="center" vertical="center"/>
    </xf>
    <xf numFmtId="0" fontId="12" fillId="3" borderId="7" xfId="0" applyFont="1" applyFill="1" applyBorder="1" applyAlignment="1">
      <alignment vertical="center"/>
    </xf>
    <xf numFmtId="0" fontId="0" fillId="3" borderId="0" xfId="0" applyFill="1" applyAlignment="1">
      <alignment vertical="center"/>
    </xf>
    <xf numFmtId="0" fontId="0" fillId="3" borderId="0" xfId="0" applyFill="1" applyAlignment="1">
      <alignment horizontal="center" vertical="center"/>
    </xf>
    <xf numFmtId="0" fontId="0" fillId="3" borderId="8" xfId="0" applyFill="1" applyBorder="1" applyAlignment="1">
      <alignment horizontal="center" vertical="center"/>
    </xf>
    <xf numFmtId="0" fontId="12" fillId="0" borderId="12" xfId="0" applyFont="1" applyBorder="1" applyAlignment="1">
      <alignment horizontal="center" vertical="center" wrapText="1"/>
    </xf>
    <xf numFmtId="0" fontId="1" fillId="0" borderId="1" xfId="0" applyFont="1" applyBorder="1" applyAlignment="1">
      <alignment horizontal="center" vertical="center"/>
    </xf>
    <xf numFmtId="0" fontId="1" fillId="0" borderId="2" xfId="0" applyFont="1" applyBorder="1" applyAlignment="1">
      <alignment horizontal="center" vertical="center" shrinkToFit="1"/>
    </xf>
    <xf numFmtId="2" fontId="1" fillId="0" borderId="2" xfId="0" applyNumberFormat="1" applyFont="1" applyBorder="1" applyAlignment="1">
      <alignment horizontal="center" vertical="center" shrinkToFit="1"/>
    </xf>
    <xf numFmtId="0" fontId="1" fillId="0" borderId="2" xfId="0" applyFont="1" applyBorder="1" applyAlignment="1">
      <alignment horizontal="center" vertical="center" wrapText="1" shrinkToFit="1"/>
    </xf>
    <xf numFmtId="0" fontId="1" fillId="0" borderId="3" xfId="0" applyFont="1" applyBorder="1" applyAlignment="1">
      <alignment horizontal="center" vertical="center" shrinkToFit="1"/>
    </xf>
    <xf numFmtId="0" fontId="1" fillId="0" borderId="7" xfId="0" applyFont="1" applyBorder="1" applyAlignment="1">
      <alignment horizontal="center" vertical="center"/>
    </xf>
    <xf numFmtId="0" fontId="1" fillId="0" borderId="8" xfId="0" applyFont="1" applyBorder="1" applyAlignment="1">
      <alignment horizontal="center" vertical="center" shrinkToFit="1"/>
    </xf>
    <xf numFmtId="2" fontId="1" fillId="0" borderId="10" xfId="0" applyNumberFormat="1" applyFont="1" applyBorder="1" applyAlignment="1">
      <alignment horizontal="center" vertical="center" shrinkToFit="1"/>
    </xf>
    <xf numFmtId="0" fontId="1" fillId="0" borderId="10" xfId="0" applyFont="1" applyBorder="1" applyAlignment="1">
      <alignment horizontal="center" vertical="center" wrapText="1" shrinkToFit="1"/>
    </xf>
    <xf numFmtId="0" fontId="1" fillId="0" borderId="11" xfId="0" applyFont="1" applyBorder="1" applyAlignment="1">
      <alignment horizontal="center" vertical="center" shrinkToFit="1"/>
    </xf>
    <xf numFmtId="0" fontId="12" fillId="3" borderId="1" xfId="0" applyFont="1" applyFill="1" applyBorder="1" applyAlignment="1">
      <alignment vertical="center"/>
    </xf>
    <xf numFmtId="0" fontId="0" fillId="3" borderId="2" xfId="0" applyFill="1" applyBorder="1" applyAlignment="1">
      <alignment vertical="center"/>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1" fillId="0" borderId="5" xfId="0" applyFont="1" applyBorder="1" applyAlignment="1">
      <alignment horizontal="center" vertical="center" shrinkToFit="1"/>
    </xf>
    <xf numFmtId="0" fontId="12" fillId="3" borderId="4" xfId="0" applyFont="1" applyFill="1" applyBorder="1" applyAlignment="1">
      <alignment vertical="center"/>
    </xf>
    <xf numFmtId="0" fontId="0" fillId="3" borderId="5" xfId="0" applyFill="1" applyBorder="1" applyAlignment="1">
      <alignment vertical="center"/>
    </xf>
    <xf numFmtId="0" fontId="0" fillId="3" borderId="5" xfId="0" applyFill="1" applyBorder="1" applyAlignment="1">
      <alignment horizontal="center" vertical="center"/>
    </xf>
    <xf numFmtId="0" fontId="0" fillId="3" borderId="6" xfId="0" applyFill="1" applyBorder="1" applyAlignment="1">
      <alignment horizontal="center" vertical="center"/>
    </xf>
    <xf numFmtId="49" fontId="72" fillId="2" borderId="4" xfId="0" applyNumberFormat="1" applyFont="1" applyFill="1" applyBorder="1" applyAlignment="1">
      <alignment vertical="center"/>
    </xf>
    <xf numFmtId="0" fontId="0" fillId="2" borderId="5" xfId="0" applyFill="1" applyBorder="1" applyAlignment="1">
      <alignment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0" borderId="4" xfId="0" applyBorder="1" applyAlignment="1">
      <alignment horizontal="center" vertical="center"/>
    </xf>
    <xf numFmtId="0" fontId="0" fillId="0" borderId="6" xfId="0" quotePrefix="1" applyBorder="1" applyAlignment="1">
      <alignment horizontal="center" vertical="center"/>
    </xf>
    <xf numFmtId="2" fontId="0" fillId="0" borderId="12" xfId="0" applyNumberFormat="1" applyBorder="1" applyAlignment="1">
      <alignment horizontal="center" vertical="center"/>
    </xf>
    <xf numFmtId="0" fontId="0" fillId="0" borderId="9" xfId="0" applyBorder="1"/>
    <xf numFmtId="0" fontId="0" fillId="0" borderId="10" xfId="0" applyBorder="1"/>
    <xf numFmtId="0" fontId="0" fillId="0" borderId="11" xfId="0" applyBorder="1"/>
    <xf numFmtId="0" fontId="4" fillId="0" borderId="1" xfId="0" applyFont="1" applyBorder="1"/>
    <xf numFmtId="0" fontId="4" fillId="0" borderId="2" xfId="0" applyFont="1" applyBorder="1"/>
    <xf numFmtId="0" fontId="4" fillId="0" borderId="8" xfId="0" applyFont="1" applyBorder="1"/>
    <xf numFmtId="0" fontId="40" fillId="0" borderId="7" xfId="0" applyFont="1" applyBorder="1" applyAlignment="1">
      <alignment horizontal="left" vertical="center"/>
    </xf>
    <xf numFmtId="0" fontId="40" fillId="0" borderId="0" xfId="0" applyFont="1" applyAlignment="1">
      <alignment horizontal="left" vertical="center"/>
    </xf>
    <xf numFmtId="0" fontId="4" fillId="0" borderId="0" xfId="0" applyFont="1" applyAlignment="1">
      <alignment horizontal="right"/>
    </xf>
    <xf numFmtId="0" fontId="4" fillId="0" borderId="0" xfId="0" quotePrefix="1" applyFont="1" applyAlignment="1">
      <alignment horizontal="center"/>
    </xf>
    <xf numFmtId="2" fontId="74" fillId="0" borderId="0" xfId="0" applyNumberFormat="1" applyFont="1" applyAlignment="1">
      <alignment horizontal="right"/>
    </xf>
    <xf numFmtId="2" fontId="4" fillId="0" borderId="0" xfId="0" applyNumberFormat="1" applyFont="1"/>
    <xf numFmtId="0" fontId="4" fillId="0" borderId="0" xfId="0" applyFont="1" applyAlignment="1">
      <alignment horizontal="left"/>
    </xf>
    <xf numFmtId="0" fontId="12" fillId="0" borderId="0" xfId="0" quotePrefix="1" applyFont="1"/>
    <xf numFmtId="2" fontId="74" fillId="0" borderId="0" xfId="0" applyNumberFormat="1" applyFont="1" applyAlignment="1">
      <alignment horizontal="right" vertical="center"/>
    </xf>
    <xf numFmtId="0" fontId="4" fillId="0" borderId="0" xfId="0" applyFont="1" applyAlignment="1">
      <alignment horizontal="center"/>
    </xf>
    <xf numFmtId="0" fontId="17" fillId="0" borderId="0" xfId="0" applyFont="1" applyAlignment="1">
      <alignment horizontal="right"/>
    </xf>
    <xf numFmtId="0" fontId="75" fillId="0" borderId="0" xfId="0" applyFont="1" applyAlignment="1">
      <alignment horizontal="center"/>
    </xf>
    <xf numFmtId="0" fontId="75" fillId="0" borderId="0" xfId="0" applyFont="1"/>
    <xf numFmtId="0" fontId="76" fillId="0" borderId="0" xfId="0" applyFont="1" applyAlignment="1" applyProtection="1">
      <alignment horizontal="center" vertical="center"/>
      <protection locked="0"/>
    </xf>
    <xf numFmtId="0" fontId="76" fillId="0" borderId="0" xfId="0" applyFont="1" applyAlignment="1" applyProtection="1">
      <alignment vertical="center"/>
      <protection locked="0"/>
    </xf>
    <xf numFmtId="2" fontId="75" fillId="0" borderId="0" xfId="0" applyNumberFormat="1" applyFont="1"/>
    <xf numFmtId="0" fontId="75" fillId="0" borderId="0" xfId="0" applyFont="1" applyAlignment="1">
      <alignment horizontal="left"/>
    </xf>
    <xf numFmtId="0" fontId="75" fillId="0" borderId="8" xfId="0" applyFont="1" applyBorder="1"/>
    <xf numFmtId="0" fontId="77" fillId="0" borderId="0" xfId="0" applyFont="1"/>
    <xf numFmtId="0" fontId="4" fillId="0" borderId="7" xfId="0" applyFont="1" applyBorder="1"/>
    <xf numFmtId="0" fontId="78" fillId="0" borderId="0" xfId="0" applyFont="1" applyAlignment="1">
      <alignment horizontal="left"/>
    </xf>
    <xf numFmtId="0" fontId="1" fillId="0" borderId="0" xfId="0" applyFont="1" applyAlignment="1">
      <alignment horizontal="left"/>
    </xf>
    <xf numFmtId="0" fontId="4" fillId="0" borderId="7" xfId="0" applyFont="1" applyBorder="1" applyAlignment="1">
      <alignment horizontal="left"/>
    </xf>
    <xf numFmtId="0" fontId="6" fillId="0" borderId="7" xfId="0" applyFont="1" applyBorder="1" applyAlignment="1">
      <alignment horizontal="left"/>
    </xf>
    <xf numFmtId="0" fontId="53" fillId="0" borderId="0" xfId="0" applyFont="1" applyAlignment="1">
      <alignment horizontal="left"/>
    </xf>
    <xf numFmtId="0" fontId="6" fillId="0" borderId="0" xfId="0" applyFont="1" applyAlignment="1">
      <alignment horizontal="left"/>
    </xf>
    <xf numFmtId="0" fontId="4" fillId="0" borderId="0" xfId="0" quotePrefix="1" applyFont="1" applyAlignment="1">
      <alignment horizontal="center" vertical="center"/>
    </xf>
    <xf numFmtId="2" fontId="13" fillId="0" borderId="0" xfId="0" applyNumberFormat="1" applyFont="1" applyAlignment="1">
      <alignment horizontal="right"/>
    </xf>
    <xf numFmtId="0" fontId="1" fillId="0" borderId="0" xfId="1" applyNumberFormat="1" applyFont="1" applyFill="1" applyBorder="1" applyAlignment="1">
      <alignment horizontal="left" vertical="center"/>
    </xf>
    <xf numFmtId="169" fontId="1" fillId="0" borderId="0" xfId="0" applyNumberFormat="1" applyFont="1" applyAlignment="1">
      <alignment horizontal="right"/>
    </xf>
    <xf numFmtId="0" fontId="48" fillId="0" borderId="8" xfId="0" applyFont="1" applyBorder="1" applyAlignment="1">
      <alignment horizontal="right" vertical="center"/>
    </xf>
    <xf numFmtId="0" fontId="1" fillId="0" borderId="4" xfId="0" applyFont="1" applyBorder="1"/>
    <xf numFmtId="0" fontId="63" fillId="0" borderId="1" xfId="0" applyFont="1" applyBorder="1" applyAlignment="1">
      <alignment vertical="center"/>
    </xf>
    <xf numFmtId="0" fontId="0" fillId="0" borderId="2" xfId="0" applyBorder="1"/>
    <xf numFmtId="0" fontId="53" fillId="0" borderId="2" xfId="0" applyFont="1" applyBorder="1" applyAlignment="1">
      <alignment horizontal="right"/>
    </xf>
    <xf numFmtId="0" fontId="53" fillId="0" borderId="2" xfId="0" applyFont="1" applyBorder="1" applyAlignment="1">
      <alignment horizontal="left"/>
    </xf>
    <xf numFmtId="0" fontId="53" fillId="0" borderId="2" xfId="0" applyFont="1" applyBorder="1"/>
    <xf numFmtId="0" fontId="53" fillId="0" borderId="2" xfId="0" quotePrefix="1" applyFont="1" applyBorder="1" applyAlignment="1">
      <alignment horizontal="center"/>
    </xf>
    <xf numFmtId="172" fontId="79" fillId="0" borderId="2" xfId="0" applyNumberFormat="1" applyFont="1" applyBorder="1" applyAlignment="1">
      <alignment horizontal="left"/>
    </xf>
    <xf numFmtId="0" fontId="79" fillId="0" borderId="2" xfId="0" quotePrefix="1" applyFont="1" applyBorder="1" applyAlignment="1">
      <alignment horizontal="right"/>
    </xf>
    <xf numFmtId="165" fontId="79" fillId="0" borderId="2" xfId="0" applyNumberFormat="1" applyFont="1" applyBorder="1" applyAlignment="1">
      <alignment horizontal="left"/>
    </xf>
    <xf numFmtId="0" fontId="53" fillId="0" borderId="2" xfId="0" applyFont="1" applyBorder="1" applyAlignment="1">
      <alignment horizontal="center"/>
    </xf>
    <xf numFmtId="164" fontId="53" fillId="0" borderId="2" xfId="1" applyFont="1" applyFill="1" applyBorder="1" applyAlignment="1">
      <alignment horizontal="right"/>
    </xf>
    <xf numFmtId="0" fontId="80" fillId="0" borderId="2" xfId="0" applyFont="1" applyBorder="1" applyAlignment="1">
      <alignment vertical="center"/>
    </xf>
    <xf numFmtId="0" fontId="0" fillId="0" borderId="3" xfId="0" applyBorder="1"/>
    <xf numFmtId="0" fontId="6" fillId="0" borderId="7" xfId="0" applyFont="1" applyBorder="1"/>
    <xf numFmtId="0" fontId="53" fillId="0" borderId="0" xfId="0" applyFont="1" applyAlignment="1">
      <alignment horizontal="right"/>
    </xf>
    <xf numFmtId="166" fontId="6" fillId="0" borderId="0" xfId="0" applyNumberFormat="1" applyFont="1" applyAlignment="1">
      <alignment vertical="center"/>
    </xf>
    <xf numFmtId="166" fontId="1" fillId="0" borderId="0" xfId="0" quotePrefix="1" applyNumberFormat="1" applyFont="1" applyAlignment="1">
      <alignment horizontal="center" vertical="center"/>
    </xf>
    <xf numFmtId="168" fontId="1" fillId="0" borderId="0" xfId="0" applyNumberFormat="1" applyFont="1" applyAlignment="1">
      <alignment horizontal="center" vertical="center"/>
    </xf>
    <xf numFmtId="0" fontId="55" fillId="0" borderId="7" xfId="0" applyFont="1" applyBorder="1"/>
    <xf numFmtId="164" fontId="53" fillId="0" borderId="0" xfId="1" applyFont="1" applyFill="1" applyBorder="1" applyAlignment="1">
      <alignment horizontal="right"/>
    </xf>
    <xf numFmtId="0" fontId="1" fillId="0" borderId="0" xfId="0" quotePrefix="1" applyFont="1" applyAlignment="1">
      <alignment horizontal="right"/>
    </xf>
    <xf numFmtId="0" fontId="80" fillId="0" borderId="0" xfId="0" applyFont="1" applyAlignment="1">
      <alignment horizontal="center" vertical="center"/>
    </xf>
    <xf numFmtId="0" fontId="13" fillId="0" borderId="0" xfId="0" applyFont="1" applyAlignment="1">
      <alignment horizontal="right"/>
    </xf>
    <xf numFmtId="43" fontId="1" fillId="0" borderId="0" xfId="0" applyNumberFormat="1" applyFont="1" applyAlignment="1">
      <alignment horizontal="left"/>
    </xf>
    <xf numFmtId="164" fontId="6" fillId="0" borderId="0" xfId="1" applyFont="1" applyFill="1" applyBorder="1" applyAlignment="1">
      <alignment horizontal="right"/>
    </xf>
    <xf numFmtId="1" fontId="1" fillId="0" borderId="10" xfId="0" applyNumberFormat="1" applyFont="1" applyBorder="1" applyAlignment="1">
      <alignment horizontal="center" vertical="center"/>
    </xf>
    <xf numFmtId="1" fontId="1" fillId="0" borderId="0" xfId="0" applyNumberFormat="1" applyFont="1" applyAlignment="1">
      <alignment horizontal="center"/>
    </xf>
    <xf numFmtId="0" fontId="53" fillId="0" borderId="0" xfId="0" quotePrefix="1" applyFont="1" applyAlignment="1">
      <alignment horizontal="center"/>
    </xf>
    <xf numFmtId="172" fontId="79" fillId="0" borderId="0" xfId="0" applyNumberFormat="1" applyFont="1" applyAlignment="1">
      <alignment horizontal="left"/>
    </xf>
    <xf numFmtId="0" fontId="79" fillId="0" borderId="0" xfId="0" quotePrefix="1" applyFont="1" applyAlignment="1">
      <alignment horizontal="right"/>
    </xf>
    <xf numFmtId="165" fontId="79" fillId="0" borderId="0" xfId="0" applyNumberFormat="1" applyFont="1" applyAlignment="1">
      <alignment horizontal="left"/>
    </xf>
    <xf numFmtId="0" fontId="80" fillId="0" borderId="0" xfId="0" applyFont="1" applyAlignment="1">
      <alignment vertical="center"/>
    </xf>
    <xf numFmtId="165" fontId="1" fillId="0" borderId="0" xfId="1" applyNumberFormat="1" applyFont="1" applyFill="1" applyBorder="1" applyAlignment="1">
      <alignment horizontal="center"/>
    </xf>
    <xf numFmtId="173" fontId="1" fillId="0" borderId="0" xfId="0" applyNumberFormat="1" applyFont="1" applyAlignment="1">
      <alignment horizontal="left"/>
    </xf>
    <xf numFmtId="0" fontId="15" fillId="0" borderId="0" xfId="0" applyFont="1" applyAlignment="1">
      <alignment horizontal="right"/>
    </xf>
    <xf numFmtId="1" fontId="1" fillId="0" borderId="0" xfId="0" applyNumberFormat="1" applyFont="1" applyAlignment="1">
      <alignment horizontal="center" vertical="center"/>
    </xf>
    <xf numFmtId="0" fontId="5" fillId="0" borderId="0" xfId="0" applyFont="1" applyAlignment="1">
      <alignment horizontal="right" vertical="center"/>
    </xf>
    <xf numFmtId="169" fontId="1" fillId="0" borderId="0" xfId="0" applyNumberFormat="1" applyFont="1" applyAlignment="1">
      <alignment horizontal="center"/>
    </xf>
    <xf numFmtId="0" fontId="68" fillId="0" borderId="0" xfId="0" applyFont="1" applyAlignment="1">
      <alignment horizontal="right" vertical="center"/>
    </xf>
    <xf numFmtId="0" fontId="80" fillId="0" borderId="0" xfId="0" applyFont="1" applyAlignment="1">
      <alignment horizontal="left" vertical="center"/>
    </xf>
    <xf numFmtId="0" fontId="0" fillId="0" borderId="5" xfId="0" applyBorder="1"/>
    <xf numFmtId="0" fontId="0" fillId="0" borderId="0" xfId="0" applyAlignment="1">
      <alignment horizontal="left"/>
    </xf>
    <xf numFmtId="0" fontId="0" fillId="0" borderId="0" xfId="0" applyAlignment="1">
      <alignment horizontal="center"/>
    </xf>
    <xf numFmtId="0" fontId="1" fillId="0" borderId="15" xfId="0" applyFont="1" applyBorder="1" applyAlignment="1">
      <alignment horizontal="left" vertical="center"/>
    </xf>
    <xf numFmtId="0" fontId="0" fillId="0" borderId="8" xfId="0" applyBorder="1" applyAlignment="1">
      <alignment horizontal="center"/>
    </xf>
    <xf numFmtId="0" fontId="1" fillId="0" borderId="13" xfId="0" applyFont="1" applyBorder="1" applyAlignment="1">
      <alignment horizontal="left" vertical="center"/>
    </xf>
    <xf numFmtId="0" fontId="0" fillId="0" borderId="0" xfId="0" applyAlignment="1">
      <alignment horizontal="right"/>
    </xf>
    <xf numFmtId="0" fontId="0" fillId="0" borderId="0" xfId="0" applyAlignment="1">
      <alignment shrinkToFit="1"/>
    </xf>
    <xf numFmtId="0" fontId="12" fillId="0" borderId="1" xfId="0" applyFont="1" applyBorder="1" applyAlignment="1">
      <alignment vertical="center"/>
    </xf>
    <xf numFmtId="0" fontId="6" fillId="0" borderId="2" xfId="0" applyFont="1" applyBorder="1"/>
    <xf numFmtId="0" fontId="6" fillId="0" borderId="2" xfId="0" applyFont="1" applyBorder="1" applyAlignment="1">
      <alignment horizontal="right"/>
    </xf>
    <xf numFmtId="0" fontId="6" fillId="0" borderId="2" xfId="0" applyFont="1" applyBorder="1" applyAlignment="1">
      <alignment horizontal="left"/>
    </xf>
    <xf numFmtId="0" fontId="6" fillId="0" borderId="2" xfId="0" applyFont="1" applyBorder="1" applyAlignment="1">
      <alignment horizontal="center"/>
    </xf>
    <xf numFmtId="164" fontId="6" fillId="0" borderId="2" xfId="1" applyFont="1" applyFill="1" applyBorder="1" applyAlignment="1" applyProtection="1">
      <alignment horizontal="right"/>
    </xf>
    <xf numFmtId="0" fontId="6" fillId="0" borderId="0" xfId="0" applyFont="1" applyAlignment="1">
      <alignment horizontal="right"/>
    </xf>
    <xf numFmtId="164" fontId="6" fillId="0" borderId="0" xfId="1" applyFont="1" applyFill="1" applyBorder="1" applyAlignment="1" applyProtection="1">
      <alignment horizontal="right"/>
    </xf>
    <xf numFmtId="166" fontId="1" fillId="0" borderId="0" xfId="0" applyNumberFormat="1" applyFont="1" applyAlignment="1">
      <alignment horizontal="right" vertical="center"/>
    </xf>
    <xf numFmtId="166" fontId="6" fillId="0" borderId="0" xfId="0" applyNumberFormat="1" applyFont="1" applyAlignment="1">
      <alignment horizontal="left"/>
    </xf>
    <xf numFmtId="166" fontId="1" fillId="0" borderId="0" xfId="0" applyNumberFormat="1" applyFont="1" applyAlignment="1">
      <alignment horizontal="left"/>
    </xf>
    <xf numFmtId="0" fontId="0" fillId="0" borderId="1" xfId="0" applyBorder="1"/>
    <xf numFmtId="0" fontId="8" fillId="0" borderId="7" xfId="0" applyFont="1" applyBorder="1" applyAlignment="1">
      <alignment vertical="center"/>
    </xf>
    <xf numFmtId="0" fontId="81" fillId="0" borderId="0" xfId="0" applyFont="1" applyAlignment="1">
      <alignment vertical="center"/>
    </xf>
    <xf numFmtId="0" fontId="20" fillId="0" borderId="8" xfId="0" applyFont="1" applyBorder="1" applyAlignment="1">
      <alignment vertical="center"/>
    </xf>
    <xf numFmtId="0" fontId="35" fillId="0" borderId="7" xfId="0" applyFont="1" applyBorder="1" applyAlignment="1">
      <alignment horizontal="left" vertical="center"/>
    </xf>
    <xf numFmtId="0" fontId="63" fillId="0" borderId="7" xfId="0" applyFont="1" applyBorder="1"/>
    <xf numFmtId="0" fontId="42" fillId="0" borderId="0" xfId="0" applyFont="1" applyAlignment="1">
      <alignment horizontal="center"/>
    </xf>
    <xf numFmtId="0" fontId="1" fillId="0" borderId="10" xfId="0" applyFont="1" applyBorder="1" applyAlignment="1">
      <alignment horizontal="left"/>
    </xf>
    <xf numFmtId="0" fontId="1" fillId="0" borderId="10" xfId="0" applyFont="1" applyBorder="1"/>
    <xf numFmtId="0" fontId="12" fillId="0" borderId="0" xfId="0" applyFont="1" applyAlignment="1">
      <alignment vertical="center" wrapText="1"/>
    </xf>
    <xf numFmtId="0" fontId="0" fillId="0" borderId="9" xfId="0" applyBorder="1" applyAlignment="1">
      <alignment vertical="center"/>
    </xf>
    <xf numFmtId="0" fontId="0" fillId="0" borderId="11" xfId="0" applyBorder="1" applyAlignment="1">
      <alignment vertical="center"/>
    </xf>
    <xf numFmtId="0" fontId="42" fillId="0" borderId="0" xfId="0" applyFont="1" applyAlignment="1">
      <alignment horizontal="left" vertical="center"/>
    </xf>
    <xf numFmtId="0" fontId="42" fillId="0" borderId="0" xfId="0" applyFont="1" applyAlignment="1" applyProtection="1">
      <alignment horizontal="center" vertical="center"/>
      <protection locked="0"/>
    </xf>
    <xf numFmtId="0" fontId="42" fillId="0" borderId="7" xfId="0" applyFont="1" applyBorder="1" applyAlignment="1" applyProtection="1">
      <alignment horizontal="center" vertical="center"/>
      <protection locked="0"/>
    </xf>
    <xf numFmtId="0" fontId="1" fillId="0" borderId="2" xfId="0" quotePrefix="1" applyFont="1" applyBorder="1" applyAlignment="1">
      <alignment horizontal="center" vertical="center"/>
    </xf>
    <xf numFmtId="0" fontId="1" fillId="0" borderId="4" xfId="0" applyFont="1" applyBorder="1" applyAlignment="1">
      <alignment horizontal="right" vertical="center"/>
    </xf>
    <xf numFmtId="0" fontId="63" fillId="0" borderId="0" xfId="0" applyFont="1" applyAlignment="1">
      <alignment horizontal="left" vertical="center"/>
    </xf>
    <xf numFmtId="167" fontId="0" fillId="0" borderId="0" xfId="0" applyNumberFormat="1" applyAlignment="1">
      <alignment vertical="center" shrinkToFit="1"/>
    </xf>
    <xf numFmtId="0" fontId="0" fillId="0" borderId="0" xfId="0" applyAlignment="1">
      <alignment horizontal="left" vertical="center" shrinkToFit="1"/>
    </xf>
    <xf numFmtId="0" fontId="1" fillId="0" borderId="16" xfId="0" quotePrefix="1" applyFont="1" applyBorder="1" applyAlignment="1">
      <alignment vertical="center"/>
    </xf>
    <xf numFmtId="0" fontId="1" fillId="0" borderId="17" xfId="0" quotePrefix="1" applyFont="1" applyBorder="1" applyAlignment="1">
      <alignment horizontal="center" vertical="center"/>
    </xf>
    <xf numFmtId="0" fontId="1" fillId="0" borderId="18" xfId="0" applyFont="1" applyBorder="1" applyAlignment="1">
      <alignment vertical="center"/>
    </xf>
    <xf numFmtId="49" fontId="60" fillId="0" borderId="7" xfId="0" applyNumberFormat="1" applyFont="1" applyBorder="1" applyAlignment="1">
      <alignment vertical="center"/>
    </xf>
    <xf numFmtId="174" fontId="12" fillId="0" borderId="0" xfId="0" quotePrefix="1" applyNumberFormat="1" applyFont="1" applyAlignment="1">
      <alignment horizontal="center" vertical="center"/>
    </xf>
    <xf numFmtId="0" fontId="0" fillId="0" borderId="12" xfId="0" quotePrefix="1" applyBorder="1" applyAlignment="1">
      <alignment horizontal="center" vertical="center"/>
    </xf>
    <xf numFmtId="0" fontId="1" fillId="0" borderId="14" xfId="0" applyFont="1" applyBorder="1" applyAlignment="1">
      <alignment horizontal="center" vertical="center" shrinkToFit="1"/>
    </xf>
    <xf numFmtId="2" fontId="1" fillId="0" borderId="0" xfId="0" applyNumberFormat="1" applyFont="1" applyAlignment="1">
      <alignment horizontal="center"/>
    </xf>
    <xf numFmtId="0" fontId="4" fillId="0" borderId="3" xfId="0" applyFont="1" applyBorder="1"/>
    <xf numFmtId="0" fontId="1" fillId="0" borderId="10" xfId="0" quotePrefix="1" applyFont="1" applyBorder="1" applyAlignment="1">
      <alignment horizontal="center" vertical="center"/>
    </xf>
    <xf numFmtId="1" fontId="1" fillId="0" borderId="2" xfId="0" applyNumberFormat="1" applyFont="1" applyBorder="1" applyAlignment="1">
      <alignment horizontal="center" vertical="center"/>
    </xf>
    <xf numFmtId="0" fontId="15" fillId="0" borderId="10" xfId="0" applyFont="1" applyBorder="1" applyAlignment="1">
      <alignment horizontal="center" vertical="center"/>
    </xf>
    <xf numFmtId="0" fontId="0" fillId="0" borderId="12" xfId="0" applyBorder="1" applyAlignment="1">
      <alignment horizontal="center" vertical="center" shrinkToFit="1"/>
    </xf>
    <xf numFmtId="0" fontId="1" fillId="0" borderId="0" xfId="0" applyFont="1" applyAlignment="1">
      <alignment horizontal="center" vertical="center" wrapText="1"/>
    </xf>
    <xf numFmtId="2" fontId="0" fillId="0" borderId="0" xfId="0" applyNumberFormat="1" applyAlignment="1">
      <alignment horizontal="left" vertical="center"/>
    </xf>
    <xf numFmtId="0" fontId="0" fillId="0" borderId="0" xfId="0" applyAlignment="1">
      <alignment vertical="center" readingOrder="1"/>
    </xf>
    <xf numFmtId="0" fontId="12" fillId="0" borderId="12" xfId="0" applyFont="1" applyBorder="1" applyAlignment="1">
      <alignment horizontal="center" wrapText="1"/>
    </xf>
    <xf numFmtId="0" fontId="1" fillId="0" borderId="0" xfId="0" applyFont="1" applyAlignment="1">
      <alignment horizontal="center" vertical="center" wrapText="1" shrinkToFit="1"/>
    </xf>
    <xf numFmtId="0" fontId="0" fillId="0" borderId="0" xfId="0" applyAlignment="1">
      <alignment horizontal="center" vertical="center" wrapText="1"/>
    </xf>
    <xf numFmtId="0" fontId="0" fillId="2" borderId="0" xfId="0" applyFill="1" applyAlignment="1">
      <alignment vertical="center"/>
    </xf>
    <xf numFmtId="0" fontId="0" fillId="2" borderId="0" xfId="0" applyFill="1" applyAlignment="1">
      <alignment horizontal="center" vertical="center"/>
    </xf>
    <xf numFmtId="0" fontId="12" fillId="2" borderId="0" xfId="0" applyFont="1" applyFill="1" applyAlignment="1">
      <alignment vertical="center"/>
    </xf>
    <xf numFmtId="0" fontId="0" fillId="0" borderId="10" xfId="0" applyBorder="1" applyAlignment="1">
      <alignment horizontal="center" vertical="center" wrapText="1"/>
    </xf>
    <xf numFmtId="0" fontId="83" fillId="0" borderId="12" xfId="0" applyFont="1" applyBorder="1" applyAlignment="1">
      <alignment horizontal="center" vertical="center" wrapText="1"/>
    </xf>
    <xf numFmtId="2" fontId="0" fillId="0" borderId="12" xfId="0" applyNumberFormat="1" applyBorder="1" applyAlignment="1">
      <alignment horizontal="center" vertical="center" shrinkToFit="1"/>
    </xf>
    <xf numFmtId="0" fontId="0" fillId="0" borderId="7" xfId="0" applyBorder="1" applyAlignment="1">
      <alignment horizontal="center" vertical="center" wrapText="1"/>
    </xf>
    <xf numFmtId="0" fontId="85" fillId="6" borderId="12" xfId="0" applyFont="1" applyFill="1" applyBorder="1" applyAlignment="1">
      <alignment horizontal="center" vertical="center"/>
    </xf>
    <xf numFmtId="0" fontId="85" fillId="6" borderId="6" xfId="0" applyFont="1" applyFill="1" applyBorder="1" applyAlignment="1">
      <alignment horizontal="left" vertical="center"/>
    </xf>
    <xf numFmtId="0" fontId="85" fillId="6" borderId="4" xfId="0" applyFont="1" applyFill="1" applyBorder="1" applyAlignment="1">
      <alignment horizontal="right" vertical="center"/>
    </xf>
    <xf numFmtId="0" fontId="86" fillId="2" borderId="12" xfId="0" applyFont="1" applyFill="1" applyBorder="1" applyAlignment="1">
      <alignment horizontal="center" vertical="center"/>
    </xf>
    <xf numFmtId="0" fontId="89" fillId="0" borderId="0" xfId="0" applyFont="1" applyAlignment="1">
      <alignment horizontal="center" vertical="center"/>
    </xf>
    <xf numFmtId="0" fontId="88" fillId="0" borderId="0" xfId="0" applyFont="1" applyAlignment="1">
      <alignment horizontal="center" vertical="center"/>
    </xf>
    <xf numFmtId="0" fontId="90" fillId="0" borderId="0" xfId="0" applyFont="1"/>
    <xf numFmtId="0" fontId="0" fillId="0" borderId="2" xfId="0" applyBorder="1" applyAlignment="1">
      <alignment horizontal="center" vertical="center" shrinkToFit="1"/>
    </xf>
    <xf numFmtId="0" fontId="0" fillId="0" borderId="2" xfId="0" applyBorder="1" applyAlignment="1">
      <alignment horizontal="center" vertical="center" wrapText="1"/>
    </xf>
    <xf numFmtId="167" fontId="1" fillId="0" borderId="2" xfId="0" applyNumberFormat="1" applyFont="1" applyBorder="1" applyAlignment="1">
      <alignment horizontal="center" vertical="center" shrinkToFit="1"/>
    </xf>
    <xf numFmtId="0" fontId="0" fillId="0" borderId="2" xfId="0" applyBorder="1" applyAlignment="1">
      <alignment horizontal="left" vertical="center"/>
    </xf>
    <xf numFmtId="0" fontId="0" fillId="0" borderId="0" xfId="0" applyAlignment="1">
      <alignment vertical="center" wrapText="1" readingOrder="1"/>
    </xf>
    <xf numFmtId="49" fontId="0" fillId="0" borderId="0" xfId="0" applyNumberFormat="1" applyAlignment="1">
      <alignment horizontal="left" vertical="center"/>
    </xf>
    <xf numFmtId="0" fontId="50" fillId="0" borderId="0" xfId="0" applyFont="1" applyAlignment="1">
      <alignment horizontal="left"/>
    </xf>
    <xf numFmtId="0" fontId="42" fillId="7" borderId="12" xfId="0" applyFont="1" applyFill="1" applyBorder="1" applyAlignment="1" applyProtection="1">
      <alignment horizontal="center" vertical="center"/>
      <protection locked="0"/>
    </xf>
    <xf numFmtId="2" fontId="1" fillId="0" borderId="0" xfId="0" applyNumberFormat="1" applyFont="1" applyAlignment="1">
      <alignment horizontal="right" vertical="center" shrinkToFit="1"/>
    </xf>
    <xf numFmtId="167" fontId="0" fillId="0" borderId="0" xfId="0" applyNumberFormat="1" applyAlignment="1">
      <alignment horizontal="center" vertical="center"/>
    </xf>
    <xf numFmtId="165" fontId="0" fillId="0" borderId="0" xfId="0" applyNumberFormat="1" applyAlignment="1">
      <alignment horizontal="center" vertical="center"/>
    </xf>
    <xf numFmtId="0" fontId="82" fillId="0" borderId="0" xfId="0" applyFont="1" applyAlignment="1">
      <alignment horizontal="center" vertical="center"/>
    </xf>
    <xf numFmtId="0" fontId="0" fillId="0" borderId="14" xfId="0" applyBorder="1" applyAlignment="1">
      <alignment horizontal="center" vertical="center" shrinkToFit="1"/>
    </xf>
    <xf numFmtId="0" fontId="0" fillId="0" borderId="9" xfId="0" applyBorder="1" applyAlignment="1">
      <alignment horizontal="center" vertical="center" wrapText="1"/>
    </xf>
    <xf numFmtId="0" fontId="0" fillId="0" borderId="1" xfId="0" applyBorder="1" applyAlignment="1">
      <alignment horizontal="center" vertical="center"/>
    </xf>
    <xf numFmtId="0" fontId="0" fillId="0" borderId="9" xfId="0" applyBorder="1" applyAlignment="1">
      <alignment horizontal="center" vertical="center"/>
    </xf>
    <xf numFmtId="0" fontId="63" fillId="0" borderId="4" xfId="0" applyFont="1" applyBorder="1" applyAlignment="1">
      <alignment vertical="center"/>
    </xf>
    <xf numFmtId="0" fontId="0" fillId="0" borderId="14" xfId="0" applyBorder="1" applyAlignment="1">
      <alignment horizontal="center" vertical="center"/>
    </xf>
    <xf numFmtId="2" fontId="1" fillId="0" borderId="5" xfId="0" applyNumberFormat="1" applyFont="1" applyBorder="1" applyAlignment="1">
      <alignment horizontal="center" vertical="center"/>
    </xf>
    <xf numFmtId="0" fontId="12" fillId="0" borderId="5" xfId="0" applyFont="1" applyBorder="1" applyAlignment="1">
      <alignment vertical="center"/>
    </xf>
    <xf numFmtId="2" fontId="0" fillId="0" borderId="2" xfId="0" applyNumberFormat="1" applyBorder="1" applyAlignment="1">
      <alignment horizontal="center" vertical="center"/>
    </xf>
    <xf numFmtId="0" fontId="0" fillId="0" borderId="5" xfId="0" applyBorder="1" applyAlignment="1">
      <alignment horizontal="center" vertical="center" shrinkToFit="1"/>
    </xf>
    <xf numFmtId="0" fontId="12" fillId="3" borderId="9" xfId="0" applyFont="1" applyFill="1" applyBorder="1" applyAlignment="1">
      <alignment vertical="center"/>
    </xf>
    <xf numFmtId="0" fontId="0" fillId="3" borderId="10" xfId="0" applyFill="1" applyBorder="1" applyAlignment="1">
      <alignment vertical="center"/>
    </xf>
    <xf numFmtId="0" fontId="0" fillId="0" borderId="5" xfId="0" applyBorder="1" applyAlignment="1">
      <alignment horizontal="center" vertical="center" wrapText="1"/>
    </xf>
    <xf numFmtId="167" fontId="0" fillId="0" borderId="12" xfId="0" applyNumberFormat="1" applyBorder="1" applyAlignment="1">
      <alignment horizontal="center" vertical="center" shrinkToFit="1"/>
    </xf>
    <xf numFmtId="167" fontId="0" fillId="0" borderId="14" xfId="0" applyNumberFormat="1" applyBorder="1" applyAlignment="1">
      <alignment horizontal="center" vertical="center" shrinkToFit="1"/>
    </xf>
    <xf numFmtId="49" fontId="11" fillId="0" borderId="0" xfId="0" applyNumberFormat="1" applyFont="1" applyAlignment="1">
      <alignment vertical="center"/>
    </xf>
    <xf numFmtId="2" fontId="50" fillId="0" borderId="0" xfId="0" applyNumberFormat="1" applyFont="1" applyAlignment="1">
      <alignment horizontal="right" vertical="center"/>
    </xf>
    <xf numFmtId="0" fontId="50" fillId="0" borderId="0" xfId="0" applyFont="1" applyAlignment="1">
      <alignment horizontal="right" vertical="center"/>
    </xf>
    <xf numFmtId="0" fontId="50" fillId="0" borderId="7" xfId="0" applyFont="1" applyBorder="1" applyAlignment="1">
      <alignment horizontal="right" vertical="center"/>
    </xf>
    <xf numFmtId="0" fontId="15" fillId="0" borderId="5" xfId="0" applyFont="1" applyBorder="1" applyAlignment="1">
      <alignment horizontal="center" vertical="center"/>
    </xf>
    <xf numFmtId="2" fontId="1" fillId="0" borderId="5" xfId="0" applyNumberFormat="1" applyFont="1" applyBorder="1" applyAlignment="1">
      <alignment horizontal="left" vertical="center"/>
    </xf>
    <xf numFmtId="0" fontId="53" fillId="0" borderId="5" xfId="0" quotePrefix="1" applyFont="1" applyBorder="1" applyAlignment="1">
      <alignment horizontal="center" vertical="center"/>
    </xf>
    <xf numFmtId="2" fontId="0" fillId="0" borderId="5" xfId="0" applyNumberFormat="1" applyBorder="1" applyAlignment="1">
      <alignment vertical="center"/>
    </xf>
    <xf numFmtId="0" fontId="15" fillId="0" borderId="2" xfId="0" applyFont="1" applyBorder="1" applyAlignment="1">
      <alignment horizontal="center" vertical="center"/>
    </xf>
    <xf numFmtId="2" fontId="1" fillId="0" borderId="2" xfId="0" applyNumberFormat="1" applyFont="1" applyBorder="1" applyAlignment="1">
      <alignment horizontal="center" vertical="center"/>
    </xf>
    <xf numFmtId="0" fontId="53" fillId="0" borderId="2" xfId="0" quotePrefix="1" applyFont="1" applyBorder="1" applyAlignment="1">
      <alignment horizontal="center" vertical="center"/>
    </xf>
    <xf numFmtId="2" fontId="0" fillId="0" borderId="2" xfId="0" applyNumberFormat="1" applyBorder="1" applyAlignment="1">
      <alignment vertical="center"/>
    </xf>
    <xf numFmtId="0" fontId="40" fillId="0" borderId="2" xfId="0" applyFont="1" applyBorder="1" applyAlignment="1">
      <alignment vertical="center"/>
    </xf>
    <xf numFmtId="1" fontId="0" fillId="0" borderId="0" xfId="0" applyNumberFormat="1" applyAlignment="1">
      <alignment horizontal="center" vertical="center" shrinkToFit="1"/>
    </xf>
    <xf numFmtId="0" fontId="0" fillId="0" borderId="3" xfId="0" quotePrefix="1" applyBorder="1" applyAlignment="1">
      <alignment horizontal="center" vertical="center"/>
    </xf>
    <xf numFmtId="2" fontId="0" fillId="0" borderId="1" xfId="0" applyNumberFormat="1" applyBorder="1" applyAlignment="1">
      <alignment horizontal="center" vertical="center"/>
    </xf>
    <xf numFmtId="0" fontId="0" fillId="2" borderId="10" xfId="0" applyFill="1" applyBorder="1" applyAlignment="1">
      <alignment vertical="center"/>
    </xf>
    <xf numFmtId="0" fontId="0" fillId="2" borderId="10" xfId="0" applyFill="1" applyBorder="1" applyAlignment="1">
      <alignment horizontal="center" vertical="center"/>
    </xf>
    <xf numFmtId="0" fontId="0" fillId="2" borderId="11" xfId="0" applyFill="1" applyBorder="1" applyAlignment="1">
      <alignment horizontal="center" vertical="center"/>
    </xf>
    <xf numFmtId="0" fontId="1" fillId="0" borderId="3" xfId="0" applyFont="1" applyBorder="1" applyAlignment="1">
      <alignment vertical="center"/>
    </xf>
    <xf numFmtId="2" fontId="0" fillId="0" borderId="0" xfId="0" applyNumberFormat="1" applyAlignment="1">
      <alignment horizontal="center" vertical="center" shrinkToFit="1"/>
    </xf>
    <xf numFmtId="0" fontId="0" fillId="0" borderId="0" xfId="0" applyAlignment="1">
      <alignment horizontal="right" vertical="center" shrinkToFit="1"/>
    </xf>
    <xf numFmtId="0" fontId="1" fillId="0" borderId="7" xfId="0" applyFont="1" applyBorder="1" applyAlignment="1">
      <alignment horizontal="right" vertical="center"/>
    </xf>
    <xf numFmtId="0" fontId="13" fillId="0" borderId="0" xfId="0" applyFont="1" applyAlignment="1">
      <alignment horizontal="right" vertical="center"/>
    </xf>
    <xf numFmtId="0" fontId="0" fillId="0" borderId="0" xfId="0" quotePrefix="1" applyAlignment="1">
      <alignment vertical="center" shrinkToFit="1"/>
    </xf>
    <xf numFmtId="0" fontId="1" fillId="0" borderId="0" xfId="0" applyFont="1" applyAlignment="1">
      <alignment horizontal="left" vertical="center" shrinkToFit="1"/>
    </xf>
    <xf numFmtId="0" fontId="0" fillId="0" borderId="0" xfId="0" quotePrefix="1" applyAlignment="1">
      <alignment horizontal="center" vertical="center" shrinkToFit="1"/>
    </xf>
    <xf numFmtId="0" fontId="15" fillId="0" borderId="0" xfId="0" applyFont="1" applyAlignment="1">
      <alignment vertical="center" shrinkToFit="1"/>
    </xf>
    <xf numFmtId="0" fontId="3" fillId="0" borderId="7" xfId="0" applyFont="1" applyBorder="1" applyAlignment="1">
      <alignment horizontal="center" vertical="center"/>
    </xf>
    <xf numFmtId="0" fontId="42" fillId="0" borderId="0" xfId="0" applyFont="1" applyAlignment="1">
      <alignment vertical="center"/>
    </xf>
    <xf numFmtId="0" fontId="15" fillId="0" borderId="8" xfId="0" applyFont="1" applyBorder="1" applyAlignment="1">
      <alignment vertical="center"/>
    </xf>
    <xf numFmtId="2" fontId="63" fillId="0" borderId="0" xfId="0" applyNumberFormat="1" applyFont="1" applyAlignment="1">
      <alignment vertical="center"/>
    </xf>
    <xf numFmtId="0" fontId="95" fillId="0" borderId="0" xfId="0" applyFont="1" applyAlignment="1">
      <alignment horizontal="center" vertical="center"/>
    </xf>
    <xf numFmtId="164" fontId="12" fillId="0" borderId="0" xfId="4" applyFont="1" applyFill="1" applyBorder="1" applyAlignment="1">
      <alignment vertical="center"/>
    </xf>
    <xf numFmtId="164" fontId="1" fillId="0" borderId="0" xfId="4" applyFont="1" applyFill="1" applyBorder="1" applyAlignment="1">
      <alignment horizontal="right" vertical="center"/>
    </xf>
    <xf numFmtId="0" fontId="12" fillId="0" borderId="2" xfId="0" applyFont="1" applyBorder="1" applyAlignment="1">
      <alignment vertical="center"/>
    </xf>
    <xf numFmtId="0" fontId="42" fillId="0" borderId="0" xfId="0" applyFont="1" applyAlignment="1" applyProtection="1">
      <alignment vertical="center"/>
      <protection locked="0"/>
    </xf>
    <xf numFmtId="0" fontId="0" fillId="0" borderId="7" xfId="0" applyBorder="1" applyAlignment="1">
      <alignment horizontal="center" vertical="center"/>
    </xf>
    <xf numFmtId="0" fontId="50" fillId="0" borderId="6" xfId="0" applyFont="1" applyBorder="1" applyAlignment="1">
      <alignment horizontal="center" vertical="center"/>
    </xf>
    <xf numFmtId="169" fontId="1" fillId="0" borderId="0" xfId="0" applyNumberFormat="1" applyFont="1" applyAlignment="1">
      <alignment horizontal="center" vertical="center"/>
    </xf>
    <xf numFmtId="0" fontId="1" fillId="0" borderId="0" xfId="0" applyFont="1" applyAlignment="1">
      <alignment horizontal="right" vertical="center" shrinkToFit="1"/>
    </xf>
    <xf numFmtId="1" fontId="0" fillId="0" borderId="0" xfId="0" applyNumberFormat="1" applyAlignment="1">
      <alignment horizontal="center" vertical="center"/>
    </xf>
    <xf numFmtId="0" fontId="42" fillId="7" borderId="4" xfId="0" applyFont="1" applyFill="1" applyBorder="1" applyAlignment="1" applyProtection="1">
      <alignment vertical="center"/>
      <protection locked="0"/>
    </xf>
    <xf numFmtId="0" fontId="42" fillId="7" borderId="12" xfId="0" applyFont="1" applyFill="1" applyBorder="1" applyAlignment="1" applyProtection="1">
      <alignment vertical="center"/>
      <protection locked="0"/>
    </xf>
    <xf numFmtId="0" fontId="0" fillId="7" borderId="6" xfId="0" applyFill="1" applyBorder="1" applyAlignment="1" applyProtection="1">
      <alignment vertical="center"/>
      <protection locked="0"/>
    </xf>
    <xf numFmtId="0" fontId="0" fillId="0" borderId="0" xfId="0" applyAlignment="1" applyProtection="1">
      <alignment vertical="center"/>
      <protection locked="0"/>
    </xf>
    <xf numFmtId="0" fontId="0" fillId="7" borderId="12" xfId="0" applyFill="1" applyBorder="1" applyAlignment="1" applyProtection="1">
      <alignment vertical="center"/>
      <protection locked="0"/>
    </xf>
    <xf numFmtId="0" fontId="96" fillId="0" borderId="0" xfId="0" applyFont="1" applyAlignment="1">
      <alignment vertical="center"/>
    </xf>
    <xf numFmtId="2" fontId="50" fillId="0" borderId="4" xfId="0" applyNumberFormat="1" applyFont="1" applyBorder="1" applyAlignment="1">
      <alignment horizontal="center" vertical="center"/>
    </xf>
    <xf numFmtId="0" fontId="50" fillId="0" borderId="12" xfId="0" quotePrefix="1" applyFont="1" applyBorder="1" applyAlignment="1">
      <alignment horizontal="center" vertical="center"/>
    </xf>
    <xf numFmtId="0" fontId="0" fillId="0" borderId="4" xfId="0" applyBorder="1" applyAlignment="1">
      <alignment horizontal="center" vertical="center" wrapText="1"/>
    </xf>
    <xf numFmtId="0" fontId="1" fillId="0" borderId="6" xfId="0" applyFont="1" applyBorder="1" applyAlignment="1">
      <alignment vertical="center"/>
    </xf>
    <xf numFmtId="2" fontId="0" fillId="0" borderId="14" xfId="0" applyNumberFormat="1" applyBorder="1" applyAlignment="1">
      <alignment horizontal="center" vertical="center"/>
    </xf>
    <xf numFmtId="2" fontId="13" fillId="2" borderId="0" xfId="0" applyNumberFormat="1" applyFont="1" applyFill="1" applyAlignment="1" applyProtection="1">
      <alignment horizontal="center" vertical="center"/>
      <protection locked="0"/>
    </xf>
    <xf numFmtId="0" fontId="13" fillId="2" borderId="0" xfId="0" applyFont="1" applyFill="1" applyAlignment="1" applyProtection="1">
      <alignment horizontal="center" vertical="center"/>
      <protection locked="0"/>
    </xf>
    <xf numFmtId="0" fontId="0" fillId="0" borderId="12" xfId="0" applyBorder="1" applyAlignment="1">
      <alignment vertical="center" shrinkToFit="1"/>
    </xf>
    <xf numFmtId="0" fontId="12" fillId="0" borderId="6" xfId="0" applyFont="1" applyBorder="1" applyAlignment="1">
      <alignment vertical="center"/>
    </xf>
    <xf numFmtId="0" fontId="0" fillId="0" borderId="4" xfId="0" applyBorder="1" applyAlignment="1">
      <alignment vertical="center" shrinkToFit="1"/>
    </xf>
    <xf numFmtId="0" fontId="0" fillId="0" borderId="5" xfId="0" quotePrefix="1" applyBorder="1" applyAlignment="1">
      <alignment horizontal="center" vertical="center"/>
    </xf>
    <xf numFmtId="0" fontId="1" fillId="0" borderId="10" xfId="0" applyFont="1" applyBorder="1" applyAlignment="1">
      <alignment horizontal="right" vertical="center"/>
    </xf>
    <xf numFmtId="0" fontId="13" fillId="0" borderId="10" xfId="0" applyFont="1" applyBorder="1" applyAlignment="1">
      <alignment horizontal="right" vertical="center"/>
    </xf>
    <xf numFmtId="0" fontId="48" fillId="0" borderId="11" xfId="0" applyFont="1" applyBorder="1" applyAlignment="1">
      <alignment horizontal="right" vertical="center"/>
    </xf>
    <xf numFmtId="2" fontId="1" fillId="0" borderId="5" xfId="0" applyNumberFormat="1" applyFont="1" applyBorder="1" applyAlignment="1">
      <alignment vertical="center"/>
    </xf>
    <xf numFmtId="0" fontId="12" fillId="0" borderId="12" xfId="0" applyFont="1" applyBorder="1" applyAlignment="1">
      <alignment vertical="center"/>
    </xf>
    <xf numFmtId="0" fontId="0" fillId="0" borderId="3" xfId="0" applyBorder="1" applyAlignment="1">
      <alignment vertical="center" wrapText="1"/>
    </xf>
    <xf numFmtId="0" fontId="0" fillId="0" borderId="14" xfId="0" applyBorder="1" applyAlignment="1">
      <alignment vertical="center" shrinkToFit="1"/>
    </xf>
    <xf numFmtId="0" fontId="0" fillId="0" borderId="1" xfId="0" applyBorder="1" applyAlignment="1">
      <alignment vertical="center" shrinkToFit="1"/>
    </xf>
    <xf numFmtId="0" fontId="0" fillId="0" borderId="15" xfId="0" applyBorder="1" applyAlignment="1">
      <alignment vertical="center" shrinkToFit="1"/>
    </xf>
    <xf numFmtId="0" fontId="0" fillId="0" borderId="7" xfId="0" applyBorder="1" applyAlignment="1">
      <alignment vertical="center" shrinkToFit="1"/>
    </xf>
    <xf numFmtId="0" fontId="1" fillId="0" borderId="9" xfId="0" applyFont="1" applyBorder="1"/>
    <xf numFmtId="0" fontId="0" fillId="0" borderId="2" xfId="0" applyBorder="1" applyAlignment="1">
      <alignment horizontal="right" vertical="center"/>
    </xf>
    <xf numFmtId="0" fontId="15" fillId="0" borderId="2" xfId="0" applyFont="1" applyBorder="1" applyAlignment="1">
      <alignment vertical="center"/>
    </xf>
    <xf numFmtId="0" fontId="1" fillId="0" borderId="10" xfId="0" applyFont="1" applyBorder="1" applyAlignment="1">
      <alignment vertical="center" shrinkToFit="1"/>
    </xf>
    <xf numFmtId="2" fontId="0" fillId="0" borderId="5" xfId="0" applyNumberFormat="1" applyBorder="1" applyAlignment="1">
      <alignment vertical="center" shrinkToFit="1"/>
    </xf>
    <xf numFmtId="0" fontId="0" fillId="0" borderId="5" xfId="0" applyBorder="1" applyAlignment="1">
      <alignment horizontal="left" vertical="center" shrinkToFit="1"/>
    </xf>
    <xf numFmtId="0" fontId="63" fillId="0" borderId="10" xfId="0" applyFont="1" applyBorder="1" applyAlignment="1">
      <alignment vertical="center"/>
    </xf>
    <xf numFmtId="0" fontId="0" fillId="0" borderId="10" xfId="0" applyBorder="1" applyAlignment="1">
      <alignment horizontal="left" vertical="center"/>
    </xf>
    <xf numFmtId="0" fontId="1" fillId="0" borderId="12" xfId="0" applyFont="1" applyBorder="1" applyAlignment="1">
      <alignment horizontal="center" vertical="center" wrapText="1"/>
    </xf>
    <xf numFmtId="0" fontId="1" fillId="0" borderId="12" xfId="0" applyFont="1" applyBorder="1" applyAlignment="1">
      <alignment horizontal="center" vertical="center" shrinkToFit="1"/>
    </xf>
    <xf numFmtId="0" fontId="12" fillId="0" borderId="1"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8"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11"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0" xfId="0" applyFont="1" applyAlignment="1">
      <alignment horizontal="center" vertical="center" wrapText="1"/>
    </xf>
    <xf numFmtId="0" fontId="12" fillId="0" borderId="10" xfId="0" applyFont="1" applyBorder="1" applyAlignment="1">
      <alignment horizontal="center" vertical="center" wrapText="1"/>
    </xf>
    <xf numFmtId="0" fontId="1" fillId="0" borderId="12" xfId="0" applyFont="1" applyBorder="1" applyAlignment="1">
      <alignment horizontal="center" vertical="center"/>
    </xf>
    <xf numFmtId="0" fontId="1" fillId="0" borderId="14" xfId="0" applyFont="1" applyBorder="1" applyAlignment="1">
      <alignment horizontal="center" vertical="center" shrinkToFit="1"/>
    </xf>
    <xf numFmtId="0" fontId="1" fillId="0" borderId="15" xfId="0" applyFont="1" applyBorder="1" applyAlignment="1">
      <alignment horizontal="center" vertical="center" shrinkToFit="1"/>
    </xf>
    <xf numFmtId="0" fontId="1" fillId="0" borderId="13" xfId="0" applyFont="1" applyBorder="1" applyAlignment="1">
      <alignment horizontal="center" vertical="center" shrinkToFit="1"/>
    </xf>
    <xf numFmtId="1" fontId="1" fillId="0" borderId="12" xfId="0" applyNumberFormat="1" applyFont="1" applyBorder="1" applyAlignment="1">
      <alignment horizontal="center" vertical="center" shrinkToFit="1"/>
    </xf>
    <xf numFmtId="0" fontId="1" fillId="0" borderId="12" xfId="0" applyFont="1" applyBorder="1" applyAlignment="1">
      <alignment vertical="center" shrinkToFit="1"/>
    </xf>
    <xf numFmtId="0" fontId="1" fillId="0" borderId="12" xfId="0" applyFont="1" applyBorder="1" applyAlignment="1">
      <alignment horizontal="center" vertical="center" wrapText="1" shrinkToFit="1"/>
    </xf>
    <xf numFmtId="167" fontId="1" fillId="0" borderId="12" xfId="0" applyNumberFormat="1" applyFont="1" applyBorder="1" applyAlignment="1">
      <alignment horizontal="center" vertical="center" shrinkToFit="1"/>
    </xf>
    <xf numFmtId="2" fontId="1" fillId="0" borderId="14" xfId="0" applyNumberFormat="1" applyFont="1" applyBorder="1" applyAlignment="1">
      <alignment horizontal="center" vertical="center" shrinkToFit="1"/>
    </xf>
    <xf numFmtId="2" fontId="1" fillId="0" borderId="15" xfId="0" applyNumberFormat="1" applyFont="1" applyBorder="1" applyAlignment="1">
      <alignment horizontal="center" vertical="center" shrinkToFit="1"/>
    </xf>
    <xf numFmtId="2" fontId="1" fillId="0" borderId="13" xfId="0" applyNumberFormat="1" applyFont="1" applyBorder="1" applyAlignment="1">
      <alignment horizontal="center" vertical="center" shrinkToFit="1"/>
    </xf>
    <xf numFmtId="1" fontId="1" fillId="0" borderId="14" xfId="0" applyNumberFormat="1" applyFont="1" applyBorder="1" applyAlignment="1">
      <alignment horizontal="center" vertical="center" shrinkToFit="1"/>
    </xf>
    <xf numFmtId="1" fontId="1" fillId="0" borderId="15" xfId="0" applyNumberFormat="1" applyFont="1" applyBorder="1" applyAlignment="1">
      <alignment horizontal="center" vertical="center" shrinkToFit="1"/>
    </xf>
    <xf numFmtId="1" fontId="1" fillId="0" borderId="13" xfId="0" applyNumberFormat="1" applyFont="1" applyBorder="1" applyAlignment="1">
      <alignment horizontal="center" vertical="center" shrinkToFit="1"/>
    </xf>
    <xf numFmtId="2" fontId="0" fillId="0" borderId="0" xfId="0" applyNumberFormat="1" applyAlignment="1">
      <alignment horizontal="center" vertical="center"/>
    </xf>
    <xf numFmtId="0" fontId="1" fillId="0" borderId="0" xfId="0" applyFont="1" applyAlignment="1">
      <alignment horizontal="center" vertical="center"/>
    </xf>
    <xf numFmtId="0" fontId="0" fillId="0" borderId="0" xfId="0" applyAlignment="1">
      <alignment horizontal="center" vertical="center"/>
    </xf>
    <xf numFmtId="2" fontId="0" fillId="0" borderId="0" xfId="0" applyNumberFormat="1" applyAlignment="1">
      <alignment horizontal="center" vertical="center" shrinkToFit="1"/>
    </xf>
    <xf numFmtId="2" fontId="1" fillId="0" borderId="0" xfId="0" applyNumberFormat="1" applyFont="1" applyAlignment="1">
      <alignment horizontal="center" vertical="center"/>
    </xf>
    <xf numFmtId="2" fontId="1" fillId="0" borderId="11" xfId="0" applyNumberFormat="1" applyFont="1" applyBorder="1" applyAlignment="1">
      <alignment horizontal="center" vertical="center"/>
    </xf>
    <xf numFmtId="0" fontId="0" fillId="0" borderId="13" xfId="0" applyBorder="1" applyAlignment="1">
      <alignment horizontal="center" vertical="center"/>
    </xf>
    <xf numFmtId="2" fontId="1" fillId="0" borderId="4" xfId="0" applyNumberFormat="1" applyFont="1" applyBorder="1" applyAlignment="1">
      <alignment horizontal="center" vertical="center"/>
    </xf>
    <xf numFmtId="0" fontId="0" fillId="0" borderId="6" xfId="0" applyBorder="1" applyAlignment="1">
      <alignment horizontal="center" vertical="center"/>
    </xf>
    <xf numFmtId="2" fontId="1" fillId="0" borderId="3" xfId="0" applyNumberFormat="1" applyFont="1" applyBorder="1" applyAlignment="1">
      <alignment horizontal="center" vertical="center"/>
    </xf>
    <xf numFmtId="0" fontId="0" fillId="0" borderId="14" xfId="0" applyBorder="1" applyAlignment="1">
      <alignment horizontal="center" vertical="center"/>
    </xf>
    <xf numFmtId="2" fontId="1" fillId="0" borderId="6" xfId="0" applyNumberFormat="1" applyFont="1" applyBorder="1" applyAlignment="1">
      <alignment horizontal="center" vertical="center"/>
    </xf>
    <xf numFmtId="0" fontId="0" fillId="0" borderId="12" xfId="0" applyBorder="1" applyAlignment="1">
      <alignment horizontal="center" vertical="center"/>
    </xf>
    <xf numFmtId="0" fontId="12" fillId="0" borderId="4" xfId="0" applyFont="1" applyBorder="1" applyAlignment="1">
      <alignment horizontal="center" vertical="center"/>
    </xf>
    <xf numFmtId="0" fontId="12" fillId="0" borderId="6" xfId="0" applyFont="1" applyBorder="1" applyAlignment="1">
      <alignment horizontal="center" vertical="center"/>
    </xf>
    <xf numFmtId="0" fontId="40" fillId="0" borderId="4" xfId="0" applyFont="1" applyBorder="1" applyAlignment="1">
      <alignment horizontal="center" vertical="center"/>
    </xf>
    <xf numFmtId="0" fontId="40" fillId="0" borderId="6" xfId="0" applyFont="1" applyBorder="1" applyAlignment="1">
      <alignment horizontal="center" vertical="center"/>
    </xf>
    <xf numFmtId="0" fontId="42" fillId="2" borderId="9" xfId="0" applyFont="1" applyFill="1" applyBorder="1" applyAlignment="1" applyProtection="1">
      <alignment horizontal="center" vertical="center"/>
      <protection locked="0"/>
    </xf>
    <xf numFmtId="0" fontId="42" fillId="2" borderId="11" xfId="0" applyFont="1" applyFill="1" applyBorder="1" applyAlignment="1" applyProtection="1">
      <alignment horizontal="center" vertical="center"/>
      <protection locked="0"/>
    </xf>
    <xf numFmtId="0" fontId="42" fillId="2" borderId="4" xfId="0" applyFont="1" applyFill="1" applyBorder="1" applyAlignment="1" applyProtection="1">
      <alignment horizontal="center" vertical="center"/>
      <protection locked="0"/>
    </xf>
    <xf numFmtId="0" fontId="42" fillId="2" borderId="6" xfId="0" applyFont="1" applyFill="1" applyBorder="1" applyAlignment="1" applyProtection="1">
      <alignment horizontal="center" vertical="center"/>
      <protection locked="0"/>
    </xf>
    <xf numFmtId="0" fontId="12" fillId="0" borderId="4" xfId="0" applyFont="1" applyBorder="1" applyAlignment="1">
      <alignment vertical="center"/>
    </xf>
    <xf numFmtId="0" fontId="12" fillId="0" borderId="6" xfId="0" applyFont="1" applyBorder="1" applyAlignment="1">
      <alignment vertical="center"/>
    </xf>
    <xf numFmtId="0" fontId="12" fillId="0" borderId="12" xfId="0" applyFont="1" applyBorder="1" applyAlignment="1">
      <alignment horizontal="center" vertical="center"/>
    </xf>
    <xf numFmtId="0" fontId="1" fillId="0" borderId="10" xfId="0" applyFont="1" applyBorder="1" applyAlignment="1">
      <alignment horizontal="center" vertical="center"/>
    </xf>
    <xf numFmtId="0" fontId="63" fillId="0" borderId="10" xfId="0" applyFont="1" applyBorder="1" applyAlignment="1">
      <alignment horizontal="center" vertical="center"/>
    </xf>
    <xf numFmtId="0" fontId="12" fillId="0" borderId="1" xfId="0" applyFont="1" applyBorder="1" applyAlignment="1">
      <alignment horizontal="center" vertical="center"/>
    </xf>
    <xf numFmtId="0" fontId="1" fillId="0" borderId="3" xfId="0" applyFont="1" applyBorder="1" applyAlignment="1">
      <alignment horizontal="center" vertical="center"/>
    </xf>
    <xf numFmtId="0" fontId="1" fillId="0" borderId="9" xfId="0" applyFont="1" applyBorder="1" applyAlignment="1">
      <alignment horizontal="center" vertical="center"/>
    </xf>
    <xf numFmtId="0" fontId="1" fillId="0" borderId="11" xfId="0" applyFont="1" applyBorder="1" applyAlignment="1">
      <alignment horizontal="center" vertical="center"/>
    </xf>
    <xf numFmtId="0" fontId="85" fillId="6" borderId="4" xfId="0" applyFont="1" applyFill="1" applyBorder="1" applyAlignment="1">
      <alignment horizontal="center" vertical="center"/>
    </xf>
    <xf numFmtId="0" fontId="85" fillId="6" borderId="6" xfId="0" applyFont="1" applyFill="1" applyBorder="1" applyAlignment="1">
      <alignment horizontal="center" vertical="center"/>
    </xf>
    <xf numFmtId="0" fontId="87" fillId="6" borderId="1" xfId="0" applyFont="1" applyFill="1" applyBorder="1" applyAlignment="1">
      <alignment horizontal="center" vertical="center"/>
    </xf>
    <xf numFmtId="0" fontId="87" fillId="6" borderId="3" xfId="0" applyFont="1" applyFill="1" applyBorder="1" applyAlignment="1">
      <alignment horizontal="center" vertical="center"/>
    </xf>
    <xf numFmtId="0" fontId="12" fillId="6" borderId="4" xfId="0" applyFont="1" applyFill="1" applyBorder="1" applyAlignment="1">
      <alignment vertical="center"/>
    </xf>
    <xf numFmtId="0" fontId="12" fillId="6" borderId="6" xfId="0" applyFont="1" applyFill="1" applyBorder="1" applyAlignment="1">
      <alignment vertical="center"/>
    </xf>
    <xf numFmtId="0" fontId="85" fillId="2" borderId="9" xfId="0" applyFont="1" applyFill="1" applyBorder="1" applyAlignment="1" applyProtection="1">
      <alignment horizontal="center" vertical="center"/>
      <protection locked="0"/>
    </xf>
    <xf numFmtId="0" fontId="85" fillId="2" borderId="11" xfId="0" applyFont="1" applyFill="1" applyBorder="1" applyAlignment="1" applyProtection="1">
      <alignment horizontal="center" vertical="center"/>
      <protection locked="0"/>
    </xf>
    <xf numFmtId="0" fontId="85" fillId="2" borderId="4" xfId="0" applyFont="1" applyFill="1" applyBorder="1" applyAlignment="1" applyProtection="1">
      <alignment horizontal="center" vertical="center"/>
      <protection locked="0"/>
    </xf>
    <xf numFmtId="0" fontId="85" fillId="2" borderId="6" xfId="0" applyFont="1" applyFill="1" applyBorder="1" applyAlignment="1" applyProtection="1">
      <alignment horizontal="center" vertical="center"/>
      <protection locked="0"/>
    </xf>
    <xf numFmtId="0" fontId="85" fillId="6" borderId="4" xfId="0" applyFont="1" applyFill="1" applyBorder="1" applyAlignment="1">
      <alignment vertical="center"/>
    </xf>
    <xf numFmtId="0" fontId="85" fillId="6" borderId="6" xfId="0" applyFont="1" applyFill="1" applyBorder="1" applyAlignment="1">
      <alignment vertical="center"/>
    </xf>
    <xf numFmtId="0" fontId="85" fillId="6" borderId="12" xfId="0" applyFont="1" applyFill="1" applyBorder="1" applyAlignment="1">
      <alignment horizontal="center" vertical="center"/>
    </xf>
    <xf numFmtId="0" fontId="85" fillId="6" borderId="1" xfId="0" applyFont="1" applyFill="1" applyBorder="1" applyAlignment="1">
      <alignment horizontal="center" vertical="center"/>
    </xf>
    <xf numFmtId="0" fontId="86" fillId="6" borderId="3" xfId="0" applyFont="1" applyFill="1" applyBorder="1" applyAlignment="1">
      <alignment horizontal="center" vertical="center"/>
    </xf>
    <xf numFmtId="0" fontId="86" fillId="6" borderId="9" xfId="0" applyFont="1" applyFill="1" applyBorder="1" applyAlignment="1">
      <alignment horizontal="center" vertical="center"/>
    </xf>
    <xf numFmtId="0" fontId="86" fillId="6" borderId="11" xfId="0" applyFont="1" applyFill="1" applyBorder="1" applyAlignment="1">
      <alignment horizontal="center" vertical="center"/>
    </xf>
    <xf numFmtId="2" fontId="13" fillId="2" borderId="6" xfId="0" applyNumberFormat="1" applyFont="1" applyFill="1" applyBorder="1" applyAlignment="1" applyProtection="1">
      <alignment horizontal="center" vertical="center"/>
      <protection locked="0"/>
    </xf>
    <xf numFmtId="0" fontId="13" fillId="2" borderId="12" xfId="0" applyFont="1" applyFill="1" applyBorder="1" applyAlignment="1" applyProtection="1">
      <alignment horizontal="center" vertical="center"/>
      <protection locked="0"/>
    </xf>
    <xf numFmtId="2" fontId="13" fillId="2" borderId="11" xfId="0" applyNumberFormat="1" applyFont="1" applyFill="1" applyBorder="1" applyAlignment="1" applyProtection="1">
      <alignment horizontal="center" vertical="center"/>
      <protection locked="0"/>
    </xf>
    <xf numFmtId="0" fontId="13" fillId="2" borderId="13" xfId="0" applyFont="1" applyFill="1" applyBorder="1" applyAlignment="1" applyProtection="1">
      <alignment horizontal="center" vertical="center"/>
      <protection locked="0"/>
    </xf>
    <xf numFmtId="2" fontId="13" fillId="2" borderId="4" xfId="0" applyNumberFormat="1" applyFont="1" applyFill="1" applyBorder="1" applyAlignment="1" applyProtection="1">
      <alignment horizontal="center" vertical="center"/>
      <protection locked="0"/>
    </xf>
    <xf numFmtId="0" fontId="13" fillId="2" borderId="6" xfId="0" applyFont="1" applyFill="1" applyBorder="1" applyAlignment="1" applyProtection="1">
      <alignment horizontal="center" vertical="center"/>
      <protection locked="0"/>
    </xf>
    <xf numFmtId="2" fontId="13" fillId="2" borderId="3" xfId="0" applyNumberFormat="1" applyFont="1" applyFill="1" applyBorder="1" applyAlignment="1">
      <alignment horizontal="center" vertical="center"/>
    </xf>
    <xf numFmtId="0" fontId="13" fillId="2" borderId="14" xfId="0" applyFont="1" applyFill="1" applyBorder="1" applyAlignment="1">
      <alignment horizontal="center" vertical="center"/>
    </xf>
    <xf numFmtId="0" fontId="64" fillId="2" borderId="4" xfId="0" applyFont="1" applyFill="1" applyBorder="1" applyAlignment="1" applyProtection="1">
      <alignment horizontal="center" vertical="center"/>
      <protection locked="0"/>
    </xf>
    <xf numFmtId="0" fontId="64" fillId="2" borderId="6" xfId="0" applyFont="1" applyFill="1" applyBorder="1" applyAlignment="1" applyProtection="1">
      <alignment horizontal="center" vertical="center"/>
      <protection locked="0"/>
    </xf>
    <xf numFmtId="0" fontId="42" fillId="2" borderId="4" xfId="0" applyFont="1" applyFill="1" applyBorder="1" applyAlignment="1" applyProtection="1">
      <alignment vertical="center"/>
      <protection locked="0"/>
    </xf>
    <xf numFmtId="0" fontId="42" fillId="2" borderId="6" xfId="0" applyFont="1" applyFill="1" applyBorder="1" applyAlignment="1" applyProtection="1">
      <alignment vertical="center"/>
      <protection locked="0"/>
    </xf>
    <xf numFmtId="0" fontId="42" fillId="2" borderId="1" xfId="0" applyFont="1" applyFill="1" applyBorder="1" applyAlignment="1" applyProtection="1">
      <alignment horizontal="center" vertical="center"/>
      <protection locked="0"/>
    </xf>
    <xf numFmtId="0" fontId="42" fillId="2" borderId="3" xfId="0" applyFont="1" applyFill="1" applyBorder="1" applyAlignment="1" applyProtection="1">
      <alignment horizontal="center" vertical="center"/>
      <protection locked="0"/>
    </xf>
    <xf numFmtId="0" fontId="0" fillId="2" borderId="3" xfId="0" applyFill="1" applyBorder="1" applyAlignment="1" applyProtection="1">
      <alignment horizontal="center" vertical="center"/>
      <protection locked="0"/>
    </xf>
    <xf numFmtId="0" fontId="0" fillId="2" borderId="9" xfId="0" applyFill="1" applyBorder="1" applyAlignment="1" applyProtection="1">
      <alignment horizontal="center" vertical="center"/>
      <protection locked="0"/>
    </xf>
    <xf numFmtId="0" fontId="0" fillId="2" borderId="11" xfId="0" applyFill="1" applyBorder="1" applyAlignment="1" applyProtection="1">
      <alignment horizontal="center" vertical="center"/>
      <protection locked="0"/>
    </xf>
    <xf numFmtId="0" fontId="0" fillId="0" borderId="10" xfId="0" applyBorder="1" applyAlignment="1">
      <alignment horizontal="center" vertical="center"/>
    </xf>
    <xf numFmtId="0" fontId="1" fillId="0" borderId="4" xfId="0" applyFont="1" applyBorder="1" applyAlignment="1">
      <alignment horizontal="left"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5" fillId="0" borderId="4" xfId="0" applyFont="1" applyBorder="1" applyAlignment="1">
      <alignment horizontal="center" vertical="center" wrapText="1"/>
    </xf>
    <xf numFmtId="0" fontId="5" fillId="0" borderId="6" xfId="0" applyFont="1" applyBorder="1" applyAlignment="1">
      <alignment horizontal="center" vertical="center" wrapText="1"/>
    </xf>
    <xf numFmtId="0" fontId="5" fillId="0" borderId="5" xfId="0" applyFont="1" applyBorder="1" applyAlignment="1">
      <alignment horizontal="center" vertical="center" wrapText="1"/>
    </xf>
    <xf numFmtId="0" fontId="7" fillId="2" borderId="4" xfId="0" applyFont="1" applyFill="1" applyBorder="1" applyAlignment="1" applyProtection="1">
      <alignment horizontal="center" vertical="center" wrapText="1"/>
      <protection locked="0"/>
    </xf>
    <xf numFmtId="0" fontId="7" fillId="2" borderId="5" xfId="0" applyFont="1" applyFill="1" applyBorder="1" applyAlignment="1" applyProtection="1">
      <alignment horizontal="center" vertical="center" wrapText="1"/>
      <protection locked="0"/>
    </xf>
    <xf numFmtId="0" fontId="7" fillId="2" borderId="6" xfId="0" applyFont="1" applyFill="1" applyBorder="1" applyAlignment="1" applyProtection="1">
      <alignment horizontal="center" vertical="center" wrapText="1"/>
      <protection locked="0"/>
    </xf>
    <xf numFmtId="0" fontId="5" fillId="0" borderId="4" xfId="0" applyFont="1" applyBorder="1" applyAlignment="1">
      <alignment horizontal="left" vertical="center"/>
    </xf>
    <xf numFmtId="0" fontId="5" fillId="0" borderId="5" xfId="0" applyFont="1" applyBorder="1" applyAlignment="1">
      <alignment horizontal="left" vertical="center"/>
    </xf>
    <xf numFmtId="0" fontId="5" fillId="0" borderId="6" xfId="0" applyFont="1" applyBorder="1" applyAlignment="1">
      <alignment horizontal="left"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7" xfId="0" applyFont="1" applyBorder="1" applyAlignment="1">
      <alignment horizontal="center" vertical="center"/>
    </xf>
    <xf numFmtId="0" fontId="2" fillId="0" borderId="0" xfId="0" applyFont="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14" fontId="1" fillId="0" borderId="4" xfId="0" applyNumberFormat="1" applyFont="1" applyBorder="1" applyAlignment="1">
      <alignment horizontal="center" vertical="center"/>
    </xf>
    <xf numFmtId="14" fontId="1" fillId="0" borderId="5" xfId="0" applyNumberFormat="1" applyFont="1" applyBorder="1" applyAlignment="1">
      <alignment horizontal="center" vertical="center"/>
    </xf>
    <xf numFmtId="14" fontId="1" fillId="0" borderId="6" xfId="0" applyNumberFormat="1" applyFont="1" applyBorder="1" applyAlignment="1">
      <alignment horizontal="center" vertical="center"/>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9" fillId="2" borderId="0" xfId="0" applyFont="1" applyFill="1" applyAlignment="1" applyProtection="1">
      <alignment horizontal="center" vertical="center" shrinkToFit="1"/>
      <protection locked="0"/>
    </xf>
    <xf numFmtId="0" fontId="9" fillId="0" borderId="0" xfId="0" applyFont="1" applyAlignment="1">
      <alignment horizontal="center" vertical="center" shrinkToFit="1"/>
    </xf>
    <xf numFmtId="14" fontId="13" fillId="0" borderId="0" xfId="0" applyNumberFormat="1" applyFont="1" applyAlignment="1" applyProtection="1">
      <alignment horizontal="left" vertical="center"/>
      <protection locked="0"/>
    </xf>
    <xf numFmtId="0" fontId="13" fillId="0" borderId="0" xfId="0" applyFont="1" applyAlignment="1" applyProtection="1">
      <alignment horizontal="left" vertical="center"/>
      <protection locked="0"/>
    </xf>
    <xf numFmtId="0" fontId="5" fillId="2" borderId="4" xfId="0" quotePrefix="1" applyFont="1" applyFill="1" applyBorder="1" applyAlignment="1" applyProtection="1">
      <alignment horizontal="center" vertical="center"/>
      <protection locked="0"/>
    </xf>
    <xf numFmtId="0" fontId="5" fillId="2" borderId="5" xfId="0" applyFont="1" applyFill="1" applyBorder="1" applyAlignment="1" applyProtection="1">
      <alignment horizontal="center" vertical="center"/>
      <protection locked="0"/>
    </xf>
    <xf numFmtId="0" fontId="5" fillId="2" borderId="6" xfId="0" applyFont="1" applyFill="1" applyBorder="1" applyAlignment="1" applyProtection="1">
      <alignment horizontal="center" vertical="center"/>
      <protection locked="0"/>
    </xf>
    <xf numFmtId="0" fontId="94" fillId="0" borderId="1" xfId="0" applyFont="1" applyBorder="1" applyAlignment="1">
      <alignment horizontal="center" vertical="center"/>
    </xf>
    <xf numFmtId="0" fontId="94" fillId="0" borderId="2" xfId="0" applyFont="1" applyBorder="1" applyAlignment="1">
      <alignment horizontal="center" vertical="center"/>
    </xf>
    <xf numFmtId="0" fontId="94" fillId="0" borderId="3" xfId="0" applyFont="1" applyBorder="1" applyAlignment="1">
      <alignment horizontal="center" vertical="center"/>
    </xf>
    <xf numFmtId="0" fontId="94" fillId="0" borderId="7" xfId="0" applyFont="1" applyBorder="1" applyAlignment="1">
      <alignment horizontal="center" vertical="center"/>
    </xf>
    <xf numFmtId="0" fontId="94" fillId="0" borderId="0" xfId="0" applyFont="1" applyAlignment="1">
      <alignment horizontal="center" vertical="center"/>
    </xf>
    <xf numFmtId="0" fontId="94" fillId="0" borderId="8" xfId="0" applyFont="1" applyBorder="1" applyAlignment="1">
      <alignment horizontal="center" vertical="center"/>
    </xf>
    <xf numFmtId="0" fontId="94" fillId="0" borderId="9" xfId="0" applyFont="1" applyBorder="1" applyAlignment="1">
      <alignment horizontal="center" vertical="center"/>
    </xf>
    <xf numFmtId="0" fontId="94" fillId="0" borderId="10" xfId="0" applyFont="1" applyBorder="1" applyAlignment="1">
      <alignment horizontal="center" vertical="center"/>
    </xf>
    <xf numFmtId="0" fontId="94" fillId="0" borderId="11" xfId="0" applyFont="1" applyBorder="1" applyAlignment="1">
      <alignment horizontal="center" vertical="center"/>
    </xf>
    <xf numFmtId="0" fontId="4" fillId="0" borderId="2" xfId="0" applyFont="1" applyBorder="1" applyAlignment="1">
      <alignment horizontal="center"/>
    </xf>
    <xf numFmtId="0" fontId="4" fillId="0" borderId="3" xfId="0" applyFont="1" applyBorder="1" applyAlignment="1">
      <alignment horizontal="center"/>
    </xf>
    <xf numFmtId="0" fontId="5" fillId="2" borderId="4" xfId="0" applyFont="1" applyFill="1" applyBorder="1" applyAlignment="1" applyProtection="1">
      <alignment horizontal="center" vertical="center"/>
      <protection locked="0"/>
    </xf>
    <xf numFmtId="0" fontId="4" fillId="0" borderId="10" xfId="0" applyFont="1" applyBorder="1" applyAlignment="1">
      <alignment horizontal="center"/>
    </xf>
    <xf numFmtId="0" fontId="4" fillId="0" borderId="11" xfId="0" applyFont="1" applyBorder="1" applyAlignment="1">
      <alignment horizontal="center"/>
    </xf>
    <xf numFmtId="14" fontId="5" fillId="2" borderId="4" xfId="0" applyNumberFormat="1" applyFont="1" applyFill="1" applyBorder="1" applyAlignment="1" applyProtection="1">
      <alignment horizontal="center" vertical="center"/>
      <protection locked="0"/>
    </xf>
    <xf numFmtId="0" fontId="3" fillId="2" borderId="1" xfId="0" applyFont="1" applyFill="1" applyBorder="1" applyAlignment="1" applyProtection="1">
      <alignment horizontal="center" vertical="center" wrapText="1"/>
      <protection locked="0"/>
    </xf>
    <xf numFmtId="0" fontId="4" fillId="2" borderId="2" xfId="0" applyFont="1" applyFill="1" applyBorder="1" applyAlignment="1" applyProtection="1">
      <alignment horizontal="center" wrapText="1"/>
      <protection locked="0"/>
    </xf>
    <xf numFmtId="0" fontId="4" fillId="2" borderId="3" xfId="0" applyFont="1" applyFill="1" applyBorder="1" applyAlignment="1" applyProtection="1">
      <alignment horizontal="center" wrapText="1"/>
      <protection locked="0"/>
    </xf>
    <xf numFmtId="0" fontId="4" fillId="2" borderId="9" xfId="0" applyFont="1" applyFill="1" applyBorder="1" applyAlignment="1" applyProtection="1">
      <alignment horizontal="center" wrapText="1"/>
      <protection locked="0"/>
    </xf>
    <xf numFmtId="0" fontId="4" fillId="2" borderId="10" xfId="0" applyFont="1" applyFill="1" applyBorder="1" applyAlignment="1" applyProtection="1">
      <alignment horizontal="center" wrapText="1"/>
      <protection locked="0"/>
    </xf>
    <xf numFmtId="0" fontId="4" fillId="2" borderId="11" xfId="0" applyFont="1" applyFill="1" applyBorder="1" applyAlignment="1" applyProtection="1">
      <alignment horizontal="center" wrapText="1"/>
      <protection locked="0"/>
    </xf>
    <xf numFmtId="0" fontId="5" fillId="2" borderId="4" xfId="0" applyFont="1" applyFill="1" applyBorder="1" applyAlignment="1" applyProtection="1">
      <alignment horizontal="center" vertical="center" wrapText="1"/>
      <protection locked="0"/>
    </xf>
    <xf numFmtId="0" fontId="7" fillId="2" borderId="9" xfId="0" applyFont="1" applyFill="1" applyBorder="1" applyAlignment="1" applyProtection="1">
      <alignment horizontal="center" vertical="center" wrapText="1"/>
      <protection locked="0"/>
    </xf>
    <xf numFmtId="0" fontId="8" fillId="2" borderId="10" xfId="0" applyFont="1" applyFill="1" applyBorder="1" applyAlignment="1" applyProtection="1">
      <alignment horizontal="center" wrapText="1"/>
      <protection locked="0"/>
    </xf>
    <xf numFmtId="0" fontId="8" fillId="2" borderId="11" xfId="0" applyFont="1" applyFill="1" applyBorder="1" applyAlignment="1" applyProtection="1">
      <alignment horizontal="center" wrapText="1"/>
      <protection locked="0"/>
    </xf>
    <xf numFmtId="0" fontId="18" fillId="0" borderId="0" xfId="0" applyFont="1" applyAlignment="1">
      <alignment horizontal="left"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14" fontId="5" fillId="0" borderId="4" xfId="0" applyNumberFormat="1" applyFont="1" applyBorder="1" applyAlignment="1">
      <alignment horizontal="center" vertical="center"/>
    </xf>
    <xf numFmtId="0" fontId="0" fillId="0" borderId="0" xfId="0" applyAlignment="1">
      <alignment horizontal="left" vertical="center" wrapText="1" readingOrder="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12" fillId="0" borderId="12" xfId="0" applyFont="1" applyBorder="1" applyAlignment="1">
      <alignment horizontal="center" vertical="center" wrapText="1"/>
    </xf>
    <xf numFmtId="2" fontId="1" fillId="0" borderId="12" xfId="0" applyNumberFormat="1" applyFont="1" applyBorder="1" applyAlignment="1">
      <alignment horizontal="center" vertical="center" shrinkToFit="1"/>
    </xf>
    <xf numFmtId="2" fontId="1" fillId="0" borderId="12" xfId="0" applyNumberFormat="1" applyFont="1" applyBorder="1" applyAlignment="1">
      <alignment horizontal="center" vertical="center" wrapText="1"/>
    </xf>
    <xf numFmtId="0" fontId="0" fillId="0" borderId="12" xfId="0" applyBorder="1" applyAlignment="1">
      <alignment horizontal="center" vertical="center" wrapText="1"/>
    </xf>
    <xf numFmtId="0" fontId="0" fillId="0" borderId="12" xfId="0" applyBorder="1" applyAlignment="1">
      <alignment horizontal="center" vertical="center" shrinkToFit="1"/>
    </xf>
    <xf numFmtId="0" fontId="0" fillId="0" borderId="4" xfId="0" applyBorder="1" applyAlignment="1">
      <alignment horizontal="center" vertical="center" shrinkToFit="1"/>
    </xf>
    <xf numFmtId="0" fontId="0" fillId="0" borderId="6" xfId="0" applyBorder="1" applyAlignment="1">
      <alignment horizontal="center" vertical="center" shrinkToFit="1"/>
    </xf>
    <xf numFmtId="0" fontId="0" fillId="0" borderId="4" xfId="0" applyBorder="1" applyAlignment="1">
      <alignment horizontal="center" vertical="center" wrapText="1"/>
    </xf>
    <xf numFmtId="0" fontId="0" fillId="0" borderId="6" xfId="0" applyBorder="1" applyAlignment="1">
      <alignment horizontal="center" vertical="center" wrapText="1"/>
    </xf>
    <xf numFmtId="0" fontId="0" fillId="0" borderId="5" xfId="0" applyBorder="1" applyAlignment="1">
      <alignment horizontal="center" vertical="center" shrinkToFit="1"/>
    </xf>
    <xf numFmtId="2" fontId="0" fillId="0" borderId="2" xfId="0" applyNumberFormat="1" applyBorder="1" applyAlignment="1">
      <alignment horizontal="center" vertical="center"/>
    </xf>
    <xf numFmtId="2" fontId="0" fillId="0" borderId="10" xfId="0" applyNumberFormat="1" applyBorder="1" applyAlignment="1">
      <alignment horizontal="center" vertical="center"/>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13" xfId="0" applyBorder="1" applyAlignment="1">
      <alignment horizontal="center" vertical="center" wrapText="1"/>
    </xf>
    <xf numFmtId="0" fontId="0" fillId="0" borderId="4" xfId="0" applyBorder="1" applyAlignment="1">
      <alignment horizontal="center" vertical="center"/>
    </xf>
    <xf numFmtId="2" fontId="0" fillId="0" borderId="4" xfId="0" applyNumberFormat="1" applyBorder="1" applyAlignment="1">
      <alignment horizontal="center" vertical="center"/>
    </xf>
    <xf numFmtId="2" fontId="0" fillId="0" borderId="6" xfId="0" applyNumberFormat="1" applyBorder="1" applyAlignment="1">
      <alignment horizontal="center" vertical="center"/>
    </xf>
    <xf numFmtId="0" fontId="0" fillId="0" borderId="5" xfId="0" applyBorder="1" applyAlignment="1">
      <alignment horizontal="center" vertical="center"/>
    </xf>
    <xf numFmtId="0" fontId="12" fillId="0" borderId="5" xfId="0" applyFont="1" applyBorder="1" applyAlignment="1">
      <alignment horizontal="center" vertical="center"/>
    </xf>
    <xf numFmtId="1" fontId="0" fillId="0" borderId="12" xfId="0" applyNumberFormat="1" applyBorder="1" applyAlignment="1">
      <alignment horizontal="center" vertical="center"/>
    </xf>
    <xf numFmtId="2" fontId="0" fillId="0" borderId="12" xfId="0" applyNumberFormat="1" applyBorder="1" applyAlignment="1">
      <alignment horizontal="center" vertical="center"/>
    </xf>
    <xf numFmtId="0" fontId="1" fillId="0" borderId="14" xfId="0" applyFont="1" applyBorder="1" applyAlignment="1">
      <alignment horizontal="center" vertical="center"/>
    </xf>
    <xf numFmtId="167" fontId="1" fillId="0" borderId="14" xfId="0" applyNumberFormat="1" applyFont="1" applyBorder="1" applyAlignment="1">
      <alignment horizontal="center" vertical="center" shrinkToFit="1"/>
    </xf>
    <xf numFmtId="0" fontId="1" fillId="0" borderId="14" xfId="0" applyFont="1" applyBorder="1" applyAlignment="1">
      <alignment horizontal="center" vertical="center" wrapText="1" shrinkToFit="1"/>
    </xf>
    <xf numFmtId="0" fontId="0" fillId="0" borderId="1" xfId="0" applyBorder="1" applyAlignment="1">
      <alignment horizontal="center" vertical="center" shrinkToFit="1"/>
    </xf>
    <xf numFmtId="0" fontId="0" fillId="0" borderId="3" xfId="0" applyBorder="1" applyAlignment="1">
      <alignment horizontal="center" vertical="center" shrinkToFi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shrinkToFit="1"/>
    </xf>
    <xf numFmtId="0" fontId="0" fillId="0" borderId="12" xfId="0" quotePrefix="1" applyBorder="1" applyAlignment="1">
      <alignment horizontal="center" vertical="center" shrinkToFit="1"/>
    </xf>
    <xf numFmtId="2" fontId="1" fillId="0" borderId="1" xfId="0" applyNumberFormat="1" applyFont="1" applyBorder="1" applyAlignment="1">
      <alignment horizontal="center" vertical="center" shrinkToFit="1"/>
    </xf>
    <xf numFmtId="2" fontId="1" fillId="0" borderId="3" xfId="0" applyNumberFormat="1" applyFont="1" applyBorder="1" applyAlignment="1">
      <alignment horizontal="center" vertical="center" shrinkToFit="1"/>
    </xf>
    <xf numFmtId="2" fontId="1" fillId="0" borderId="7" xfId="0" applyNumberFormat="1" applyFont="1" applyBorder="1" applyAlignment="1">
      <alignment horizontal="center" vertical="center" shrinkToFit="1"/>
    </xf>
    <xf numFmtId="2" fontId="1" fillId="0" borderId="8" xfId="0" applyNumberFormat="1" applyFont="1" applyBorder="1" applyAlignment="1">
      <alignment horizontal="center" vertical="center" shrinkToFit="1"/>
    </xf>
    <xf numFmtId="2" fontId="1" fillId="0" borderId="9" xfId="0" applyNumberFormat="1" applyFont="1" applyBorder="1" applyAlignment="1">
      <alignment horizontal="center" vertical="center" shrinkToFit="1"/>
    </xf>
    <xf numFmtId="2" fontId="1" fillId="0" borderId="11" xfId="0" applyNumberFormat="1" applyFont="1" applyBorder="1" applyAlignment="1">
      <alignment horizontal="center" vertical="center" shrinkToFit="1"/>
    </xf>
    <xf numFmtId="0" fontId="1" fillId="0" borderId="4" xfId="0" applyFont="1" applyBorder="1" applyAlignment="1">
      <alignment horizontal="right" vertical="center" shrinkToFit="1"/>
    </xf>
    <xf numFmtId="0" fontId="1" fillId="0" borderId="4" xfId="0" applyFont="1" applyBorder="1" applyAlignment="1">
      <alignment horizontal="center" vertical="center" shrinkToFit="1"/>
    </xf>
    <xf numFmtId="0" fontId="1" fillId="0" borderId="5" xfId="0" applyFont="1" applyBorder="1" applyAlignment="1">
      <alignment horizontal="center" vertical="center" shrinkToFit="1"/>
    </xf>
    <xf numFmtId="0" fontId="1" fillId="0" borderId="6" xfId="0" applyFont="1" applyBorder="1" applyAlignment="1">
      <alignment horizontal="center" vertical="center" shrinkToFit="1"/>
    </xf>
    <xf numFmtId="0" fontId="1" fillId="0" borderId="6" xfId="0" applyFont="1" applyBorder="1" applyAlignment="1">
      <alignment horizontal="left" vertical="center" shrinkToFit="1"/>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1" fillId="0" borderId="9"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1" xfId="0" applyFont="1" applyBorder="1" applyAlignment="1">
      <alignment horizontal="center" vertical="center" wrapText="1" shrinkToFit="1"/>
    </xf>
    <xf numFmtId="0" fontId="1" fillId="0" borderId="3" xfId="0" applyFont="1" applyBorder="1" applyAlignment="1">
      <alignment horizontal="center" vertical="center" wrapText="1" shrinkToFit="1"/>
    </xf>
    <xf numFmtId="0" fontId="1" fillId="0" borderId="7" xfId="0" applyFont="1" applyBorder="1" applyAlignment="1">
      <alignment horizontal="center" vertical="center" wrapText="1" shrinkToFit="1"/>
    </xf>
    <xf numFmtId="0" fontId="1" fillId="0" borderId="8" xfId="0" applyFont="1" applyBorder="1" applyAlignment="1">
      <alignment horizontal="center" vertical="center" wrapText="1" shrinkToFit="1"/>
    </xf>
    <xf numFmtId="0" fontId="1" fillId="0" borderId="9" xfId="0" applyFont="1" applyBorder="1" applyAlignment="1">
      <alignment horizontal="center" vertical="center" wrapText="1" shrinkToFit="1"/>
    </xf>
    <xf numFmtId="0" fontId="1" fillId="0" borderId="11" xfId="0" applyFont="1" applyBorder="1" applyAlignment="1">
      <alignment horizontal="center" vertical="center" wrapText="1" shrinkToFit="1"/>
    </xf>
    <xf numFmtId="0" fontId="1" fillId="0" borderId="14" xfId="0" applyFont="1" applyBorder="1" applyAlignment="1">
      <alignment horizontal="center" vertical="center" wrapText="1"/>
    </xf>
    <xf numFmtId="0" fontId="1" fillId="0" borderId="4"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5" xfId="0" applyFont="1" applyBorder="1" applyAlignment="1">
      <alignment horizontal="center" vertical="center"/>
    </xf>
    <xf numFmtId="0" fontId="1" fillId="0" borderId="13" xfId="0" applyFont="1" applyBorder="1" applyAlignment="1">
      <alignment horizontal="center" vertical="center"/>
    </xf>
    <xf numFmtId="0" fontId="1" fillId="0" borderId="1"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167" fontId="1" fillId="0" borderId="15" xfId="0" applyNumberFormat="1" applyFont="1" applyBorder="1" applyAlignment="1">
      <alignment horizontal="center" vertical="center" shrinkToFit="1"/>
    </xf>
    <xf numFmtId="167" fontId="1" fillId="0" borderId="13" xfId="0" applyNumberFormat="1" applyFont="1" applyBorder="1" applyAlignment="1">
      <alignment horizontal="center" vertical="center" shrinkToFit="1"/>
    </xf>
    <xf numFmtId="0" fontId="1" fillId="0" borderId="3"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8" xfId="0" applyFont="1" applyBorder="1" applyAlignment="1">
      <alignment horizontal="center" vertical="center" shrinkToFit="1"/>
    </xf>
    <xf numFmtId="2" fontId="1" fillId="0" borderId="4" xfId="0" applyNumberFormat="1" applyFont="1" applyBorder="1" applyAlignment="1">
      <alignment horizontal="center" vertical="center" wrapText="1"/>
    </xf>
    <xf numFmtId="0" fontId="24" fillId="3" borderId="5" xfId="0" applyFont="1" applyFill="1" applyBorder="1" applyAlignment="1">
      <alignment horizontal="center" vertical="center"/>
    </xf>
    <xf numFmtId="0" fontId="24" fillId="3" borderId="6" xfId="0" applyFont="1" applyFill="1" applyBorder="1" applyAlignment="1">
      <alignment horizontal="center" vertical="center"/>
    </xf>
    <xf numFmtId="1" fontId="1" fillId="0" borderId="12" xfId="0" applyNumberFormat="1" applyFont="1" applyBorder="1" applyAlignment="1">
      <alignment horizontal="center" vertical="center" wrapText="1"/>
    </xf>
    <xf numFmtId="0" fontId="1" fillId="0" borderId="1" xfId="0" applyFont="1" applyBorder="1" applyAlignment="1">
      <alignment horizontal="center" vertical="center" shrinkToFit="1"/>
    </xf>
    <xf numFmtId="0" fontId="5" fillId="0" borderId="12" xfId="0" applyFont="1" applyBorder="1" applyAlignment="1">
      <alignment horizontal="center" vertical="center"/>
    </xf>
    <xf numFmtId="0" fontId="5" fillId="0" borderId="12" xfId="0" applyFont="1" applyBorder="1" applyAlignment="1">
      <alignment horizontal="center" vertical="center" wrapText="1"/>
    </xf>
    <xf numFmtId="0" fontId="3" fillId="2" borderId="12" xfId="0" applyFont="1" applyFill="1" applyBorder="1" applyAlignment="1">
      <alignment horizontal="center" vertical="center"/>
    </xf>
    <xf numFmtId="0" fontId="1" fillId="0" borderId="12" xfId="0" applyFont="1" applyBorder="1" applyAlignment="1">
      <alignment horizontal="left" vertical="center"/>
    </xf>
    <xf numFmtId="0" fontId="3" fillId="0" borderId="12" xfId="0" applyFont="1" applyBorder="1" applyAlignment="1">
      <alignment horizontal="center" vertical="center"/>
    </xf>
    <xf numFmtId="14" fontId="5" fillId="0" borderId="12" xfId="0" applyNumberFormat="1" applyFont="1" applyBorder="1" applyAlignment="1">
      <alignment horizontal="center" vertical="center"/>
    </xf>
    <xf numFmtId="0" fontId="37" fillId="0" borderId="0" xfId="0" applyFont="1" applyAlignment="1">
      <alignment horizontal="center" vertical="center"/>
    </xf>
    <xf numFmtId="0" fontId="1" fillId="0" borderId="2" xfId="0" applyFont="1" applyBorder="1" applyAlignment="1">
      <alignment horizontal="center" vertical="center" shrinkToFit="1"/>
    </xf>
    <xf numFmtId="0" fontId="1" fillId="0" borderId="0" xfId="0" applyFont="1" applyAlignment="1">
      <alignment horizontal="center" vertical="center" shrinkToFit="1"/>
    </xf>
    <xf numFmtId="0" fontId="1" fillId="0" borderId="10" xfId="0" applyFont="1" applyBorder="1" applyAlignment="1">
      <alignment horizontal="center" vertical="center" shrinkToFit="1"/>
    </xf>
    <xf numFmtId="167" fontId="1" fillId="0" borderId="3" xfId="0" applyNumberFormat="1" applyFont="1" applyBorder="1" applyAlignment="1">
      <alignment horizontal="center" vertical="center" shrinkToFit="1"/>
    </xf>
    <xf numFmtId="167" fontId="1" fillId="0" borderId="8" xfId="0" applyNumberFormat="1" applyFont="1" applyBorder="1" applyAlignment="1">
      <alignment horizontal="center" vertical="center" shrinkToFit="1"/>
    </xf>
    <xf numFmtId="167" fontId="1" fillId="0" borderId="11" xfId="0" applyNumberFormat="1" applyFont="1" applyBorder="1" applyAlignment="1">
      <alignment horizontal="center" vertical="center" shrinkToFit="1"/>
    </xf>
    <xf numFmtId="0" fontId="24" fillId="3" borderId="10" xfId="0" applyFont="1" applyFill="1" applyBorder="1" applyAlignment="1">
      <alignment horizontal="center" vertical="center"/>
    </xf>
    <xf numFmtId="0" fontId="24" fillId="3" borderId="11" xfId="0" applyFont="1" applyFill="1" applyBorder="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37" fillId="0" borderId="10" xfId="0" applyFont="1" applyBorder="1" applyAlignment="1">
      <alignment horizontal="center" vertical="center"/>
    </xf>
    <xf numFmtId="0" fontId="0" fillId="0" borderId="15" xfId="0" applyBorder="1" applyAlignment="1">
      <alignment horizontal="center" vertical="center"/>
    </xf>
    <xf numFmtId="1" fontId="0" fillId="0" borderId="2" xfId="0" applyNumberFormat="1" applyBorder="1" applyAlignment="1">
      <alignment horizontal="center" vertical="center"/>
    </xf>
    <xf numFmtId="1" fontId="0" fillId="0" borderId="0" xfId="0" applyNumberFormat="1" applyAlignment="1">
      <alignment horizontal="center" vertical="center"/>
    </xf>
    <xf numFmtId="1" fontId="0" fillId="0" borderId="10" xfId="0" applyNumberFormat="1" applyBorder="1" applyAlignment="1">
      <alignment horizontal="center" vertical="center"/>
    </xf>
    <xf numFmtId="0" fontId="0" fillId="0" borderId="14" xfId="0" applyBorder="1" applyAlignment="1">
      <alignment horizontal="center" vertical="center" shrinkToFit="1"/>
    </xf>
    <xf numFmtId="0" fontId="1" fillId="0" borderId="2" xfId="0" applyFont="1" applyBorder="1" applyAlignment="1">
      <alignment horizontal="center" vertical="center" wrapText="1" shrinkToFit="1"/>
    </xf>
    <xf numFmtId="0" fontId="1" fillId="0" borderId="0" xfId="0" applyFont="1" applyAlignment="1">
      <alignment horizontal="center" vertical="center" wrapText="1" shrinkToFit="1"/>
    </xf>
    <xf numFmtId="0" fontId="1" fillId="0" borderId="10" xfId="0" applyFont="1" applyBorder="1" applyAlignment="1">
      <alignment horizontal="center" vertical="center" wrapText="1" shrinkToFit="1"/>
    </xf>
    <xf numFmtId="49" fontId="61" fillId="2" borderId="0" xfId="0" applyNumberFormat="1" applyFont="1" applyFill="1" applyAlignment="1" applyProtection="1">
      <alignment horizontal="center" vertical="center" shrinkToFit="1"/>
      <protection locked="0"/>
    </xf>
    <xf numFmtId="0" fontId="0" fillId="0" borderId="0" xfId="0" applyAlignment="1">
      <alignment horizontal="center"/>
    </xf>
    <xf numFmtId="0" fontId="1" fillId="0" borderId="0" xfId="0" applyFont="1" applyAlignment="1">
      <alignment horizontal="center"/>
    </xf>
    <xf numFmtId="0" fontId="50" fillId="0" borderId="4" xfId="0" applyFont="1" applyBorder="1" applyAlignment="1">
      <alignment horizontal="center" vertical="center"/>
    </xf>
    <xf numFmtId="0" fontId="50" fillId="0" borderId="6" xfId="0" applyFont="1" applyBorder="1" applyAlignment="1">
      <alignment horizontal="center" vertical="center"/>
    </xf>
    <xf numFmtId="0" fontId="50" fillId="0" borderId="12" xfId="0" applyFont="1" applyBorder="1" applyAlignment="1">
      <alignment horizontal="center" vertical="center"/>
    </xf>
    <xf numFmtId="0" fontId="50" fillId="0" borderId="13" xfId="0" applyFont="1" applyBorder="1" applyAlignment="1">
      <alignment horizontal="center" vertical="center"/>
    </xf>
    <xf numFmtId="2" fontId="52" fillId="0" borderId="0" xfId="0" applyNumberFormat="1" applyFont="1" applyAlignment="1">
      <alignment horizontal="right"/>
    </xf>
    <xf numFmtId="0" fontId="0" fillId="0" borderId="0" xfId="0"/>
    <xf numFmtId="0" fontId="51" fillId="0" borderId="12" xfId="0" applyFont="1" applyBorder="1" applyAlignment="1">
      <alignment horizontal="center" vertical="center"/>
    </xf>
    <xf numFmtId="2" fontId="51" fillId="0" borderId="12" xfId="0" applyNumberFormat="1" applyFont="1" applyBorder="1" applyAlignment="1">
      <alignment horizontal="center" vertical="center"/>
    </xf>
    <xf numFmtId="2" fontId="42" fillId="2" borderId="4" xfId="0" applyNumberFormat="1" applyFont="1" applyFill="1" applyBorder="1" applyAlignment="1" applyProtection="1">
      <alignment horizontal="center" vertical="center"/>
      <protection locked="0"/>
    </xf>
    <xf numFmtId="2" fontId="12" fillId="2" borderId="6" xfId="0" applyNumberFormat="1" applyFont="1" applyFill="1" applyBorder="1" applyAlignment="1" applyProtection="1">
      <alignment horizontal="center" vertical="center"/>
      <protection locked="0"/>
    </xf>
    <xf numFmtId="2" fontId="42" fillId="2" borderId="12" xfId="0" applyNumberFormat="1" applyFont="1" applyFill="1" applyBorder="1" applyAlignment="1" applyProtection="1">
      <alignment horizontal="center" vertical="center"/>
      <protection locked="0"/>
    </xf>
    <xf numFmtId="2" fontId="12" fillId="2" borderId="12" xfId="0" applyNumberFormat="1" applyFont="1" applyFill="1" applyBorder="1" applyAlignment="1" applyProtection="1">
      <alignment horizontal="center" vertical="center"/>
      <protection locked="0"/>
    </xf>
    <xf numFmtId="0" fontId="42" fillId="2" borderId="12" xfId="0" applyFont="1" applyFill="1" applyBorder="1" applyAlignment="1" applyProtection="1">
      <alignment horizontal="center" vertical="center"/>
      <protection locked="0"/>
    </xf>
    <xf numFmtId="0" fontId="12" fillId="2" borderId="12" xfId="0" applyFont="1" applyFill="1" applyBorder="1" applyAlignment="1" applyProtection="1">
      <alignment horizontal="center" vertical="center"/>
      <protection locked="0"/>
    </xf>
    <xf numFmtId="0" fontId="0" fillId="0" borderId="0" xfId="0" applyAlignment="1">
      <alignment horizontal="left" vertical="center" wrapText="1"/>
    </xf>
    <xf numFmtId="2" fontId="1" fillId="0" borderId="12" xfId="0" applyNumberFormat="1" applyFont="1" applyBorder="1" applyAlignment="1">
      <alignment horizontal="center" vertical="center"/>
    </xf>
    <xf numFmtId="0" fontId="49" fillId="0" borderId="10" xfId="0" applyFont="1" applyBorder="1" applyAlignment="1">
      <alignment horizontal="center" vertical="center"/>
    </xf>
    <xf numFmtId="2" fontId="49" fillId="0" borderId="10" xfId="0" applyNumberFormat="1" applyFont="1" applyBorder="1" applyAlignment="1">
      <alignment horizontal="center" vertical="center"/>
    </xf>
    <xf numFmtId="0" fontId="3" fillId="0" borderId="7" xfId="0" applyFont="1" applyBorder="1" applyAlignment="1">
      <alignment horizontal="center" vertical="center" wrapText="1"/>
    </xf>
    <xf numFmtId="0" fontId="3" fillId="0" borderId="0" xfId="0" applyFont="1" applyAlignment="1">
      <alignment horizontal="center" vertical="center" wrapText="1"/>
    </xf>
    <xf numFmtId="0" fontId="3" fillId="0" borderId="8" xfId="0" applyFont="1" applyBorder="1" applyAlignment="1">
      <alignment horizontal="center" vertical="center" wrapText="1"/>
    </xf>
    <xf numFmtId="0" fontId="50" fillId="0" borderId="0" xfId="0" applyFont="1" applyAlignment="1">
      <alignment horizontal="center"/>
    </xf>
    <xf numFmtId="0" fontId="50" fillId="0" borderId="5" xfId="0" applyFont="1" applyBorder="1" applyAlignment="1">
      <alignment horizontal="center" vertical="center"/>
    </xf>
    <xf numFmtId="2" fontId="1" fillId="0" borderId="0" xfId="0" applyNumberFormat="1" applyFont="1" applyAlignment="1">
      <alignment horizontal="center"/>
    </xf>
    <xf numFmtId="166" fontId="1" fillId="0" borderId="0" xfId="0" applyNumberFormat="1" applyFont="1" applyAlignment="1">
      <alignment horizontal="center" vertical="center"/>
    </xf>
    <xf numFmtId="2" fontId="1" fillId="0" borderId="6" xfId="0" applyNumberFormat="1" applyFont="1" applyBorder="1" applyAlignment="1">
      <alignment horizontal="center"/>
    </xf>
    <xf numFmtId="43" fontId="1" fillId="0" borderId="0" xfId="0" applyNumberFormat="1" applyFont="1" applyAlignment="1">
      <alignment horizontal="center" vertical="center"/>
    </xf>
    <xf numFmtId="1" fontId="1" fillId="0" borderId="10" xfId="0" applyNumberFormat="1" applyFont="1" applyBorder="1" applyAlignment="1">
      <alignment horizontal="center" vertical="center"/>
    </xf>
    <xf numFmtId="167" fontId="1" fillId="0" borderId="10" xfId="0" applyNumberFormat="1" applyFont="1" applyBorder="1" applyAlignment="1">
      <alignment horizontal="center" vertical="center"/>
    </xf>
    <xf numFmtId="169" fontId="1" fillId="0" borderId="0" xfId="0" applyNumberFormat="1" applyFont="1" applyAlignment="1">
      <alignment horizontal="center" vertical="center"/>
    </xf>
    <xf numFmtId="1" fontId="1" fillId="0" borderId="4" xfId="0" applyNumberFormat="1" applyFont="1" applyBorder="1" applyAlignment="1">
      <alignment horizontal="center" vertical="center"/>
    </xf>
    <xf numFmtId="1" fontId="1" fillId="0" borderId="6" xfId="0" applyNumberFormat="1" applyFont="1" applyBorder="1" applyAlignment="1">
      <alignment horizontal="center" vertical="center"/>
    </xf>
    <xf numFmtId="173" fontId="0" fillId="0" borderId="0" xfId="0" applyNumberFormat="1" applyAlignment="1">
      <alignment horizontal="center" vertical="center"/>
    </xf>
    <xf numFmtId="171" fontId="0" fillId="0" borderId="0" xfId="0" applyNumberFormat="1" applyAlignment="1">
      <alignment horizontal="center" vertical="center"/>
    </xf>
    <xf numFmtId="173" fontId="1" fillId="0" borderId="0" xfId="0" applyNumberFormat="1" applyFont="1" applyAlignment="1">
      <alignment horizontal="center" vertical="center"/>
    </xf>
    <xf numFmtId="165" fontId="1" fillId="0" borderId="0" xfId="1" applyNumberFormat="1" applyFont="1" applyFill="1" applyBorder="1" applyAlignment="1">
      <alignment horizontal="center" vertical="center"/>
    </xf>
    <xf numFmtId="171" fontId="1" fillId="0" borderId="0" xfId="0" applyNumberFormat="1" applyFont="1" applyAlignment="1">
      <alignment horizontal="center" vertical="center"/>
    </xf>
    <xf numFmtId="166" fontId="1" fillId="0" borderId="0" xfId="0" applyNumberFormat="1" applyFont="1" applyAlignment="1">
      <alignment vertical="center"/>
    </xf>
    <xf numFmtId="0" fontId="1" fillId="0" borderId="0" xfId="0" applyFont="1" applyAlignment="1">
      <alignment vertical="center"/>
    </xf>
    <xf numFmtId="166" fontId="1" fillId="0" borderId="10" xfId="0" applyNumberFormat="1"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3" fillId="0" borderId="8" xfId="0" applyFont="1" applyBorder="1" applyAlignment="1">
      <alignment horizontal="center" vertical="center"/>
    </xf>
    <xf numFmtId="0" fontId="3" fillId="0" borderId="7" xfId="0" applyFont="1" applyBorder="1" applyAlignment="1">
      <alignment horizontal="center" vertical="center"/>
    </xf>
    <xf numFmtId="165" fontId="1" fillId="0" borderId="0" xfId="0" applyNumberFormat="1" applyFont="1" applyAlignment="1">
      <alignment horizontal="center" vertical="center"/>
    </xf>
    <xf numFmtId="0" fontId="12" fillId="2" borderId="12" xfId="0" applyFont="1" applyFill="1" applyBorder="1" applyAlignment="1" applyProtection="1">
      <alignment vertical="center"/>
      <protection locked="0"/>
    </xf>
    <xf numFmtId="2" fontId="42" fillId="2" borderId="12" xfId="1" applyNumberFormat="1" applyFont="1" applyFill="1" applyBorder="1" applyAlignment="1" applyProtection="1">
      <alignment horizontal="center" vertical="center"/>
      <protection locked="0"/>
    </xf>
    <xf numFmtId="170" fontId="1" fillId="0" borderId="0" xfId="0" applyNumberFormat="1" applyFont="1" applyAlignment="1">
      <alignment horizontal="center" vertical="center"/>
    </xf>
    <xf numFmtId="0" fontId="76" fillId="0" borderId="0" xfId="0" applyFont="1" applyAlignment="1" applyProtection="1">
      <alignment horizontal="center" vertical="center"/>
      <protection locked="0"/>
    </xf>
    <xf numFmtId="0" fontId="76" fillId="0" borderId="0" xfId="0" applyFont="1" applyAlignment="1" applyProtection="1">
      <alignment vertical="center"/>
      <protection locked="0"/>
    </xf>
    <xf numFmtId="0" fontId="42" fillId="2" borderId="4" xfId="1" applyNumberFormat="1" applyFont="1" applyFill="1" applyBorder="1" applyAlignment="1" applyProtection="1">
      <alignment horizontal="center" vertical="center"/>
      <protection locked="0"/>
    </xf>
    <xf numFmtId="0" fontId="12" fillId="2" borderId="6" xfId="0" applyFont="1" applyFill="1" applyBorder="1" applyAlignment="1" applyProtection="1">
      <alignment horizontal="center" vertical="center"/>
      <protection locked="0"/>
    </xf>
    <xf numFmtId="170" fontId="42" fillId="2" borderId="12" xfId="1" applyNumberFormat="1" applyFont="1" applyFill="1" applyBorder="1" applyAlignment="1" applyProtection="1">
      <alignment horizontal="center" vertical="center"/>
      <protection locked="0"/>
    </xf>
    <xf numFmtId="170" fontId="12" fillId="2" borderId="12" xfId="0" applyNumberFormat="1" applyFont="1" applyFill="1" applyBorder="1" applyAlignment="1" applyProtection="1">
      <alignment horizontal="center" vertical="center"/>
      <protection locked="0"/>
    </xf>
    <xf numFmtId="167" fontId="42" fillId="2" borderId="4" xfId="0" applyNumberFormat="1" applyFont="1" applyFill="1" applyBorder="1" applyAlignment="1" applyProtection="1">
      <alignment horizontal="center" vertical="center"/>
      <protection locked="0"/>
    </xf>
    <xf numFmtId="167" fontId="42" fillId="2" borderId="6" xfId="0" applyNumberFormat="1" applyFont="1" applyFill="1" applyBorder="1" applyAlignment="1" applyProtection="1">
      <alignment horizontal="center" vertical="center"/>
      <protection locked="0"/>
    </xf>
    <xf numFmtId="49" fontId="92" fillId="2" borderId="0" xfId="0" applyNumberFormat="1" applyFont="1" applyFill="1" applyAlignment="1" applyProtection="1">
      <alignment horizontal="center" vertical="center" wrapText="1" shrinkToFit="1"/>
      <protection locked="0"/>
    </xf>
    <xf numFmtId="165" fontId="0" fillId="0" borderId="0" xfId="0" applyNumberFormat="1" applyAlignment="1">
      <alignment horizontal="center" vertical="center"/>
    </xf>
    <xf numFmtId="0" fontId="42" fillId="7" borderId="4" xfId="0" applyFont="1" applyFill="1" applyBorder="1" applyAlignment="1" applyProtection="1">
      <alignment horizontal="center" vertical="center"/>
      <protection locked="0"/>
    </xf>
    <xf numFmtId="0" fontId="42" fillId="7" borderId="6" xfId="0" applyFont="1" applyFill="1" applyBorder="1" applyAlignment="1" applyProtection="1">
      <alignment horizontal="center" vertical="center"/>
      <protection locked="0"/>
    </xf>
    <xf numFmtId="0" fontId="64" fillId="7" borderId="4" xfId="0" applyFont="1" applyFill="1" applyBorder="1" applyAlignment="1" applyProtection="1">
      <alignment horizontal="center" vertical="center"/>
      <protection locked="0"/>
    </xf>
    <xf numFmtId="0" fontId="64" fillId="7" borderId="6" xfId="0" applyFont="1" applyFill="1" applyBorder="1" applyAlignment="1" applyProtection="1">
      <alignment horizontal="center" vertical="center"/>
      <protection locked="0"/>
    </xf>
    <xf numFmtId="0" fontId="42" fillId="7" borderId="12" xfId="0" applyFont="1" applyFill="1" applyBorder="1" applyAlignment="1" applyProtection="1">
      <alignment horizontal="center" vertical="center"/>
      <protection locked="0"/>
    </xf>
    <xf numFmtId="0" fontId="0" fillId="7" borderId="12" xfId="0" applyFill="1" applyBorder="1" applyAlignment="1" applyProtection="1">
      <alignment horizontal="center" vertical="center"/>
      <protection locked="0"/>
    </xf>
    <xf numFmtId="2" fontId="86" fillId="7" borderId="6" xfId="0" applyNumberFormat="1" applyFont="1" applyFill="1" applyBorder="1" applyAlignment="1" applyProtection="1">
      <alignment horizontal="center" vertical="center"/>
      <protection locked="0"/>
    </xf>
    <xf numFmtId="0" fontId="86" fillId="7" borderId="12" xfId="0" applyFont="1" applyFill="1" applyBorder="1" applyAlignment="1" applyProtection="1">
      <alignment horizontal="center" vertical="center"/>
      <protection locked="0"/>
    </xf>
    <xf numFmtId="165" fontId="86" fillId="7" borderId="6" xfId="0" applyNumberFormat="1" applyFont="1" applyFill="1" applyBorder="1" applyAlignment="1" applyProtection="1">
      <alignment horizontal="center" vertical="center"/>
      <protection locked="0"/>
    </xf>
    <xf numFmtId="165" fontId="86" fillId="7" borderId="12" xfId="0" applyNumberFormat="1" applyFont="1" applyFill="1" applyBorder="1" applyAlignment="1" applyProtection="1">
      <alignment horizontal="center" vertical="center"/>
      <protection locked="0"/>
    </xf>
    <xf numFmtId="2" fontId="86" fillId="7" borderId="3" xfId="0" applyNumberFormat="1" applyFont="1" applyFill="1" applyBorder="1" applyAlignment="1">
      <alignment horizontal="center" vertical="center"/>
    </xf>
    <xf numFmtId="0" fontId="86" fillId="7" borderId="14" xfId="0" applyFont="1" applyFill="1" applyBorder="1" applyAlignment="1">
      <alignment horizontal="center" vertical="center"/>
    </xf>
    <xf numFmtId="0" fontId="20" fillId="0" borderId="0" xfId="0" applyFont="1" applyAlignment="1">
      <alignment vertical="center"/>
    </xf>
    <xf numFmtId="0" fontId="20" fillId="0" borderId="10" xfId="0" applyFont="1" applyBorder="1" applyAlignment="1">
      <alignment horizontal="center" vertical="center"/>
    </xf>
    <xf numFmtId="0" fontId="20" fillId="0" borderId="0" xfId="0" quotePrefix="1" applyFont="1" applyAlignment="1">
      <alignment horizontal="center" vertical="center"/>
    </xf>
    <xf numFmtId="0" fontId="20" fillId="0" borderId="0" xfId="0" applyFont="1" applyAlignment="1">
      <alignment horizontal="right" vertical="center"/>
    </xf>
    <xf numFmtId="0" fontId="1" fillId="0" borderId="0" xfId="0" applyFont="1" applyAlignment="1">
      <alignment horizontal="right"/>
    </xf>
    <xf numFmtId="0" fontId="0" fillId="0" borderId="10" xfId="0" applyBorder="1"/>
    <xf numFmtId="0" fontId="1" fillId="0" borderId="0" xfId="0" quotePrefix="1" applyFont="1" applyAlignment="1">
      <alignment horizontal="center" vertical="center"/>
    </xf>
    <xf numFmtId="1" fontId="1" fillId="0" borderId="0" xfId="0" applyNumberFormat="1" applyFont="1" applyAlignment="1">
      <alignment horizontal="center" vertical="center"/>
    </xf>
    <xf numFmtId="2" fontId="0" fillId="0" borderId="0" xfId="0" applyNumberFormat="1" applyAlignment="1">
      <alignment horizontal="left" vertical="center"/>
    </xf>
    <xf numFmtId="0" fontId="0" fillId="0" borderId="12" xfId="0" applyBorder="1" applyAlignment="1">
      <alignment vertical="center" shrinkToFit="1"/>
    </xf>
    <xf numFmtId="2" fontId="0" fillId="0" borderId="12" xfId="0" applyNumberFormat="1" applyBorder="1" applyAlignment="1">
      <alignment horizontal="center" vertical="center" wrapText="1"/>
    </xf>
    <xf numFmtId="2" fontId="0" fillId="0" borderId="12" xfId="0" applyNumberFormat="1" applyBorder="1" applyAlignment="1">
      <alignment horizontal="center" vertical="center" shrinkToFit="1"/>
    </xf>
    <xf numFmtId="0" fontId="1" fillId="0" borderId="7" xfId="0" applyFont="1" applyBorder="1" applyAlignment="1">
      <alignment horizontal="left" vertical="center" wrapText="1"/>
    </xf>
    <xf numFmtId="0" fontId="0" fillId="0" borderId="0" xfId="0" applyAlignment="1">
      <alignment vertical="center" wrapText="1"/>
    </xf>
    <xf numFmtId="0" fontId="0" fillId="0" borderId="8" xfId="0" applyBorder="1" applyAlignment="1">
      <alignment vertical="center" wrapText="1"/>
    </xf>
    <xf numFmtId="0" fontId="0" fillId="0" borderId="7" xfId="0" applyBorder="1" applyAlignment="1">
      <alignment vertical="center" wrapText="1"/>
    </xf>
    <xf numFmtId="0" fontId="1" fillId="0" borderId="0" xfId="0" applyFont="1" applyAlignment="1">
      <alignment vertical="center" shrinkToFit="1"/>
    </xf>
    <xf numFmtId="0" fontId="0" fillId="0" borderId="0" xfId="0" applyAlignment="1">
      <alignment horizontal="center" vertical="center" shrinkToFit="1"/>
    </xf>
    <xf numFmtId="0" fontId="0" fillId="0" borderId="0" xfId="0" applyAlignment="1">
      <alignment vertical="center" shrinkToFit="1"/>
    </xf>
    <xf numFmtId="2" fontId="86" fillId="7" borderId="4" xfId="0" applyNumberFormat="1" applyFont="1" applyFill="1" applyBorder="1" applyAlignment="1" applyProtection="1">
      <alignment horizontal="center" vertical="center"/>
      <protection locked="0"/>
    </xf>
    <xf numFmtId="0" fontId="86" fillId="7" borderId="6" xfId="0" applyFont="1" applyFill="1" applyBorder="1" applyAlignment="1" applyProtection="1">
      <alignment horizontal="center" vertical="center"/>
      <protection locked="0"/>
    </xf>
    <xf numFmtId="0" fontId="7" fillId="7" borderId="4"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7" fillId="7" borderId="6" xfId="0" applyFont="1" applyFill="1" applyBorder="1" applyAlignment="1" applyProtection="1">
      <alignment horizontal="center" vertical="center" wrapText="1"/>
      <protection locked="0"/>
    </xf>
    <xf numFmtId="2" fontId="86" fillId="7" borderId="11" xfId="0" applyNumberFormat="1" applyFont="1" applyFill="1" applyBorder="1" applyAlignment="1" applyProtection="1">
      <alignment horizontal="center" vertical="center"/>
      <protection locked="0"/>
    </xf>
    <xf numFmtId="0" fontId="86" fillId="7" borderId="13" xfId="0" applyFont="1" applyFill="1" applyBorder="1" applyAlignment="1" applyProtection="1">
      <alignment horizontal="center" vertical="center"/>
      <protection locked="0"/>
    </xf>
    <xf numFmtId="0" fontId="42" fillId="7" borderId="4" xfId="0" applyFont="1" applyFill="1" applyBorder="1" applyAlignment="1" applyProtection="1">
      <alignment vertical="center"/>
      <protection locked="0"/>
    </xf>
    <xf numFmtId="0" fontId="42" fillId="7" borderId="6" xfId="0" applyFont="1" applyFill="1" applyBorder="1" applyAlignment="1" applyProtection="1">
      <alignment vertical="center"/>
      <protection locked="0"/>
    </xf>
    <xf numFmtId="0" fontId="42" fillId="0" borderId="0" xfId="0" applyFont="1" applyAlignment="1" applyProtection="1">
      <alignment horizontal="center" vertical="center"/>
      <protection locked="0"/>
    </xf>
    <xf numFmtId="0" fontId="42" fillId="7" borderId="9" xfId="0" applyFont="1" applyFill="1" applyBorder="1" applyAlignment="1" applyProtection="1">
      <alignment horizontal="center" vertical="center"/>
      <protection locked="0"/>
    </xf>
    <xf numFmtId="0" fontId="42" fillId="7" borderId="11" xfId="0" applyFont="1" applyFill="1" applyBorder="1" applyAlignment="1" applyProtection="1">
      <alignment horizontal="center" vertical="center"/>
      <protection locked="0"/>
    </xf>
    <xf numFmtId="0" fontId="85" fillId="7" borderId="4" xfId="0" applyFont="1" applyFill="1" applyBorder="1" applyAlignment="1" applyProtection="1">
      <alignment horizontal="center" vertical="center"/>
      <protection locked="0"/>
    </xf>
    <xf numFmtId="0" fontId="85" fillId="7" borderId="6" xfId="0" applyFont="1" applyFill="1" applyBorder="1" applyAlignment="1" applyProtection="1">
      <alignment horizontal="center" vertical="center"/>
      <protection locked="0"/>
    </xf>
    <xf numFmtId="0" fontId="0" fillId="0" borderId="0" xfId="0" applyAlignment="1">
      <alignment vertical="center"/>
    </xf>
    <xf numFmtId="0" fontId="0" fillId="0" borderId="0" xfId="0" applyAlignment="1">
      <alignment horizontal="left" vertical="center"/>
    </xf>
    <xf numFmtId="0" fontId="1" fillId="0" borderId="0" xfId="0" applyFont="1" applyAlignment="1">
      <alignment horizontal="left" vertical="center"/>
    </xf>
    <xf numFmtId="169" fontId="1" fillId="0" borderId="0" xfId="0" applyNumberFormat="1" applyFont="1" applyAlignment="1">
      <alignment horizontal="left" vertical="center"/>
    </xf>
    <xf numFmtId="2" fontId="1" fillId="0" borderId="0" xfId="0" applyNumberFormat="1" applyFont="1" applyAlignment="1">
      <alignment horizontal="left" vertical="center"/>
    </xf>
    <xf numFmtId="2" fontId="1" fillId="0" borderId="5" xfId="0" applyNumberFormat="1" applyFont="1" applyBorder="1" applyAlignment="1">
      <alignment horizontal="center" vertical="center"/>
    </xf>
    <xf numFmtId="0" fontId="1" fillId="0" borderId="2" xfId="0" quotePrefix="1" applyFont="1" applyBorder="1" applyAlignment="1">
      <alignment horizontal="center" vertical="center"/>
    </xf>
    <xf numFmtId="0" fontId="12" fillId="6" borderId="4" xfId="0" applyFont="1" applyFill="1" applyBorder="1" applyAlignment="1">
      <alignment horizontal="center" vertical="center"/>
    </xf>
    <xf numFmtId="0" fontId="12" fillId="6" borderId="6" xfId="0" applyFont="1" applyFill="1" applyBorder="1" applyAlignment="1">
      <alignment horizontal="center" vertical="center"/>
    </xf>
    <xf numFmtId="0" fontId="86" fillId="6" borderId="12" xfId="0" applyFont="1" applyFill="1" applyBorder="1" applyAlignment="1">
      <alignment horizontal="center" vertical="center"/>
    </xf>
    <xf numFmtId="0" fontId="0" fillId="2" borderId="12" xfId="0" applyFill="1" applyBorder="1" applyAlignment="1" applyProtection="1">
      <alignment horizontal="center" vertical="center"/>
      <protection locked="0"/>
    </xf>
    <xf numFmtId="2" fontId="12" fillId="5" borderId="4" xfId="0" applyNumberFormat="1" applyFont="1" applyFill="1" applyBorder="1" applyAlignment="1">
      <alignment horizontal="center" vertical="center"/>
    </xf>
    <xf numFmtId="0" fontId="12" fillId="5" borderId="6" xfId="0" applyFont="1" applyFill="1" applyBorder="1" applyAlignment="1">
      <alignment horizontal="center" vertical="center"/>
    </xf>
    <xf numFmtId="0" fontId="13" fillId="2" borderId="4" xfId="0" applyFont="1" applyFill="1" applyBorder="1" applyAlignment="1" applyProtection="1">
      <alignment horizontal="center" vertical="center"/>
      <protection locked="0"/>
    </xf>
    <xf numFmtId="2" fontId="13" fillId="2" borderId="13" xfId="0" applyNumberFormat="1" applyFont="1" applyFill="1" applyBorder="1" applyAlignment="1">
      <alignment horizontal="center" vertical="center"/>
    </xf>
    <xf numFmtId="0" fontId="13" fillId="2" borderId="9" xfId="0" applyFont="1" applyFill="1" applyBorder="1" applyAlignment="1">
      <alignment horizontal="center"/>
    </xf>
    <xf numFmtId="0" fontId="0" fillId="0" borderId="4" xfId="0" applyBorder="1" applyAlignment="1">
      <alignment horizontal="center"/>
    </xf>
    <xf numFmtId="0" fontId="1" fillId="0" borderId="7" xfId="0" applyFont="1" applyBorder="1" applyAlignment="1">
      <alignment vertical="center" wrapText="1"/>
    </xf>
    <xf numFmtId="0" fontId="1" fillId="0" borderId="0" xfId="0" applyFont="1" applyAlignment="1">
      <alignment vertical="center" wrapText="1"/>
    </xf>
    <xf numFmtId="0" fontId="1" fillId="0" borderId="8" xfId="0" applyFont="1" applyBorder="1" applyAlignment="1">
      <alignment vertical="center" wrapText="1"/>
    </xf>
    <xf numFmtId="0" fontId="20" fillId="0" borderId="10" xfId="0" quotePrefix="1" applyFont="1" applyBorder="1" applyAlignment="1">
      <alignment horizontal="center" vertical="center"/>
    </xf>
    <xf numFmtId="0" fontId="20" fillId="0" borderId="7" xfId="0" applyFont="1" applyBorder="1" applyAlignment="1">
      <alignment horizontal="right" vertical="center"/>
    </xf>
    <xf numFmtId="0" fontId="1" fillId="0" borderId="7" xfId="0" applyFont="1" applyBorder="1" applyAlignment="1">
      <alignment horizontal="right"/>
    </xf>
    <xf numFmtId="0" fontId="1" fillId="0" borderId="0" xfId="0" applyFont="1" applyAlignment="1">
      <alignment horizontal="right" vertical="center"/>
    </xf>
    <xf numFmtId="2" fontId="20" fillId="0" borderId="10" xfId="0" quotePrefix="1" applyNumberFormat="1" applyFont="1" applyBorder="1" applyAlignment="1">
      <alignment horizontal="center" vertical="center" shrinkToFit="1"/>
    </xf>
    <xf numFmtId="0" fontId="20" fillId="0" borderId="10" xfId="0" quotePrefix="1" applyFont="1" applyBorder="1" applyAlignment="1">
      <alignment horizontal="center" vertical="center" shrinkToFit="1"/>
    </xf>
    <xf numFmtId="0" fontId="1" fillId="0" borderId="0" xfId="0" applyFont="1" applyAlignment="1">
      <alignment horizontal="right" vertical="center" shrinkToFit="1"/>
    </xf>
    <xf numFmtId="0" fontId="0" fillId="0" borderId="0" xfId="0" applyAlignment="1">
      <alignment horizontal="right" vertical="center" shrinkToFit="1"/>
    </xf>
    <xf numFmtId="0" fontId="1" fillId="0" borderId="10" xfId="0" quotePrefix="1" applyFont="1" applyBorder="1" applyAlignment="1">
      <alignment horizontal="center" vertical="center" shrinkToFit="1"/>
    </xf>
    <xf numFmtId="0" fontId="0" fillId="0" borderId="10" xfId="0" applyBorder="1" applyAlignment="1">
      <alignment shrinkToFit="1"/>
    </xf>
    <xf numFmtId="0" fontId="0" fillId="0" borderId="0" xfId="0" applyAlignment="1">
      <alignment shrinkToFit="1"/>
    </xf>
    <xf numFmtId="1" fontId="1" fillId="0" borderId="0" xfId="0" applyNumberFormat="1" applyFont="1" applyAlignment="1">
      <alignment horizontal="right" vertical="center" shrinkToFit="1"/>
    </xf>
    <xf numFmtId="0" fontId="1" fillId="0" borderId="0" xfId="0" quotePrefix="1" applyFont="1" applyAlignment="1">
      <alignment horizontal="center" vertical="center" shrinkToFit="1"/>
    </xf>
    <xf numFmtId="2" fontId="1" fillId="0" borderId="0" xfId="0" applyNumberFormat="1" applyFont="1" applyAlignment="1">
      <alignment vertical="center" shrinkToFit="1"/>
    </xf>
    <xf numFmtId="0" fontId="1" fillId="0" borderId="0" xfId="0" applyFont="1" applyAlignment="1">
      <alignment shrinkToFit="1"/>
    </xf>
    <xf numFmtId="0" fontId="1" fillId="0" borderId="10" xfId="0" applyFont="1" applyBorder="1" applyAlignment="1">
      <alignment shrinkToFit="1"/>
    </xf>
    <xf numFmtId="0" fontId="0" fillId="0" borderId="4" xfId="0" applyBorder="1" applyAlignment="1">
      <alignment vertical="center"/>
    </xf>
    <xf numFmtId="0" fontId="0" fillId="0" borderId="6" xfId="0" applyBorder="1" applyAlignment="1">
      <alignment vertical="center"/>
    </xf>
    <xf numFmtId="0" fontId="63" fillId="0" borderId="4" xfId="0" applyFont="1" applyBorder="1" applyAlignment="1">
      <alignment horizontal="center" vertical="center"/>
    </xf>
    <xf numFmtId="0" fontId="63" fillId="0" borderId="6" xfId="0" applyFont="1" applyBorder="1" applyAlignment="1">
      <alignment horizontal="center" vertical="center"/>
    </xf>
    <xf numFmtId="0" fontId="85" fillId="2" borderId="1" xfId="0" applyFont="1" applyFill="1" applyBorder="1" applyAlignment="1">
      <alignment horizontal="center" vertical="center"/>
    </xf>
    <xf numFmtId="2" fontId="1" fillId="0" borderId="10" xfId="0" applyNumberFormat="1" applyFont="1" applyBorder="1" applyAlignment="1">
      <alignment horizontal="center" vertical="center"/>
    </xf>
    <xf numFmtId="2" fontId="12" fillId="0" borderId="4" xfId="0" applyNumberFormat="1" applyFont="1" applyBorder="1" applyAlignment="1">
      <alignment horizontal="center" vertical="center"/>
    </xf>
    <xf numFmtId="2" fontId="1" fillId="2" borderId="12" xfId="0" applyNumberFormat="1" applyFont="1" applyFill="1" applyBorder="1" applyAlignment="1">
      <alignment horizontal="center" vertical="center"/>
    </xf>
    <xf numFmtId="0" fontId="0" fillId="2" borderId="12" xfId="0" applyFill="1" applyBorder="1" applyAlignment="1">
      <alignment horizontal="center"/>
    </xf>
    <xf numFmtId="0" fontId="87" fillId="6" borderId="4" xfId="0" applyFont="1" applyFill="1" applyBorder="1" applyAlignment="1">
      <alignment horizontal="center" vertical="center"/>
    </xf>
    <xf numFmtId="0" fontId="87" fillId="6" borderId="6" xfId="0" applyFont="1" applyFill="1" applyBorder="1" applyAlignment="1">
      <alignment horizontal="center" vertical="center"/>
    </xf>
    <xf numFmtId="0" fontId="0" fillId="2" borderId="4" xfId="0" applyFill="1" applyBorder="1" applyAlignment="1">
      <alignment horizontal="center"/>
    </xf>
    <xf numFmtId="2" fontId="1" fillId="2" borderId="4" xfId="0" applyNumberFormat="1" applyFont="1" applyFill="1" applyBorder="1" applyAlignment="1">
      <alignment horizontal="center" vertical="center"/>
    </xf>
    <xf numFmtId="0" fontId="0" fillId="2" borderId="6" xfId="0" applyFill="1" applyBorder="1" applyAlignment="1">
      <alignment horizontal="center"/>
    </xf>
    <xf numFmtId="2" fontId="1" fillId="2" borderId="13" xfId="0" applyNumberFormat="1" applyFont="1" applyFill="1" applyBorder="1" applyAlignment="1">
      <alignment horizontal="center" vertical="center"/>
    </xf>
    <xf numFmtId="0" fontId="0" fillId="2" borderId="9" xfId="0" applyFill="1" applyBorder="1" applyAlignment="1">
      <alignment horizontal="center"/>
    </xf>
    <xf numFmtId="0" fontId="20" fillId="0" borderId="10" xfId="0" applyFont="1" applyBorder="1" applyAlignment="1">
      <alignment horizontal="center" vertical="center" shrinkToFit="1"/>
    </xf>
    <xf numFmtId="0" fontId="6" fillId="0" borderId="10" xfId="0" applyFont="1" applyBorder="1" applyAlignment="1">
      <alignment horizontal="center" vertical="center"/>
    </xf>
    <xf numFmtId="0" fontId="6" fillId="0" borderId="10" xfId="0" applyFont="1" applyBorder="1" applyAlignment="1">
      <alignment horizontal="center" vertical="center" shrinkToFit="1"/>
    </xf>
    <xf numFmtId="0" fontId="0" fillId="0" borderId="12" xfId="0" applyBorder="1" applyAlignment="1">
      <alignment horizontal="center"/>
    </xf>
    <xf numFmtId="0" fontId="0" fillId="0" borderId="6" xfId="0" applyBorder="1" applyAlignment="1">
      <alignment horizontal="center"/>
    </xf>
    <xf numFmtId="2" fontId="1" fillId="0" borderId="13" xfId="0" applyNumberFormat="1" applyFont="1" applyBorder="1" applyAlignment="1">
      <alignment horizontal="center" vertical="center"/>
    </xf>
    <xf numFmtId="0" fontId="0" fillId="0" borderId="9" xfId="0" applyBorder="1" applyAlignment="1">
      <alignment horizontal="center"/>
    </xf>
    <xf numFmtId="0" fontId="63" fillId="0" borderId="4" xfId="0" applyFont="1" applyBorder="1" applyAlignment="1">
      <alignment vertical="center"/>
    </xf>
    <xf numFmtId="0" fontId="63" fillId="0" borderId="6" xfId="0" applyFont="1" applyBorder="1" applyAlignment="1">
      <alignment vertical="center"/>
    </xf>
    <xf numFmtId="2" fontId="0" fillId="0" borderId="4" xfId="0" applyNumberFormat="1" applyBorder="1" applyAlignment="1">
      <alignment vertical="center"/>
    </xf>
    <xf numFmtId="165" fontId="1" fillId="0" borderId="6" xfId="0" applyNumberFormat="1" applyFont="1" applyBorder="1" applyAlignment="1">
      <alignment horizontal="center" vertical="center"/>
    </xf>
    <xf numFmtId="165" fontId="0" fillId="0" borderId="12" xfId="0" applyNumberFormat="1" applyBorder="1" applyAlignment="1">
      <alignment horizontal="center" vertical="center"/>
    </xf>
    <xf numFmtId="165" fontId="13" fillId="2" borderId="4" xfId="0" applyNumberFormat="1" applyFont="1" applyFill="1" applyBorder="1" applyAlignment="1" applyProtection="1">
      <alignment horizontal="center" vertical="center"/>
      <protection locked="0"/>
    </xf>
    <xf numFmtId="165" fontId="13" fillId="2" borderId="6" xfId="0" applyNumberFormat="1" applyFont="1" applyFill="1" applyBorder="1" applyAlignment="1" applyProtection="1">
      <alignment horizontal="center" vertical="center"/>
      <protection locked="0"/>
    </xf>
    <xf numFmtId="0" fontId="42" fillId="2" borderId="4" xfId="0" applyFont="1" applyFill="1" applyBorder="1" applyAlignment="1" applyProtection="1">
      <alignment vertical="center" shrinkToFit="1"/>
      <protection locked="0"/>
    </xf>
    <xf numFmtId="0" fontId="42" fillId="2" borderId="6" xfId="0" applyFont="1" applyFill="1" applyBorder="1" applyAlignment="1" applyProtection="1">
      <alignment vertical="center" shrinkToFit="1"/>
      <protection locked="0"/>
    </xf>
    <xf numFmtId="0" fontId="42" fillId="0" borderId="0" xfId="0" applyFont="1" applyAlignment="1" applyProtection="1">
      <alignment vertical="center" shrinkToFit="1"/>
      <protection locked="0"/>
    </xf>
    <xf numFmtId="49" fontId="91" fillId="2" borderId="0" xfId="0" applyNumberFormat="1" applyFont="1" applyFill="1" applyAlignment="1" applyProtection="1">
      <alignment horizontal="center" vertical="center" wrapText="1" shrinkToFit="1"/>
      <protection locked="0"/>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1" fontId="85" fillId="7" borderId="4" xfId="0" applyNumberFormat="1" applyFont="1" applyFill="1" applyBorder="1" applyAlignment="1" applyProtection="1">
      <alignment horizontal="center" vertical="center"/>
      <protection locked="0"/>
    </xf>
    <xf numFmtId="0" fontId="1" fillId="0" borderId="4" xfId="0" applyFont="1" applyBorder="1" applyAlignment="1">
      <alignment vertical="center" shrinkToFit="1"/>
    </xf>
    <xf numFmtId="0" fontId="1" fillId="0" borderId="5" xfId="0" applyFont="1" applyBorder="1" applyAlignment="1">
      <alignment vertical="center" shrinkToFit="1"/>
    </xf>
    <xf numFmtId="0" fontId="1" fillId="0" borderId="6" xfId="0" applyFont="1" applyBorder="1" applyAlignment="1">
      <alignment vertical="center" shrinkToFit="1"/>
    </xf>
    <xf numFmtId="0" fontId="0" fillId="0" borderId="4" xfId="0" applyBorder="1" applyAlignment="1">
      <alignment vertical="center" shrinkToFit="1"/>
    </xf>
    <xf numFmtId="0" fontId="0" fillId="0" borderId="5" xfId="0" applyBorder="1" applyAlignment="1">
      <alignment vertical="center" shrinkToFit="1"/>
    </xf>
    <xf numFmtId="0" fontId="0" fillId="0" borderId="6" xfId="0" applyBorder="1" applyAlignment="1">
      <alignment vertical="center" shrinkToFit="1"/>
    </xf>
    <xf numFmtId="2" fontId="1" fillId="0" borderId="0" xfId="0" applyNumberFormat="1" applyFont="1" applyAlignment="1">
      <alignment vertical="center"/>
    </xf>
    <xf numFmtId="2" fontId="20" fillId="0" borderId="10" xfId="0" applyNumberFormat="1" applyFont="1" applyBorder="1" applyAlignment="1">
      <alignment horizontal="center" vertical="center"/>
    </xf>
    <xf numFmtId="0" fontId="1" fillId="0" borderId="7" xfId="0" applyFont="1" applyBorder="1" applyAlignment="1">
      <alignment horizontal="right" vertical="center"/>
    </xf>
    <xf numFmtId="0" fontId="0" fillId="0" borderId="10" xfId="0" applyBorder="1" applyAlignment="1">
      <alignment vertical="center"/>
    </xf>
    <xf numFmtId="0" fontId="1" fillId="0" borderId="3" xfId="0" applyFont="1" applyBorder="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0" fontId="1" fillId="0" borderId="11" xfId="0" applyFont="1" applyBorder="1" applyAlignment="1">
      <alignment vertical="center"/>
    </xf>
    <xf numFmtId="0" fontId="68" fillId="0" borderId="12" xfId="0" applyFont="1" applyBorder="1" applyAlignment="1">
      <alignment horizontal="center" vertical="center"/>
    </xf>
    <xf numFmtId="0" fontId="68" fillId="0" borderId="12" xfId="0" applyFont="1" applyBorder="1" applyAlignment="1">
      <alignment vertical="center"/>
    </xf>
    <xf numFmtId="0" fontId="1" fillId="0" borderId="15" xfId="0" applyFont="1" applyBorder="1" applyAlignment="1">
      <alignment vertical="center" shrinkToFit="1"/>
    </xf>
    <xf numFmtId="0" fontId="1" fillId="0" borderId="13" xfId="0" applyFont="1" applyBorder="1" applyAlignment="1">
      <alignment vertical="center" shrinkToFit="1"/>
    </xf>
    <xf numFmtId="0" fontId="1" fillId="0" borderId="12" xfId="0" applyFont="1" applyBorder="1" applyAlignment="1">
      <alignment vertical="center" wrapText="1"/>
    </xf>
    <xf numFmtId="0" fontId="0" fillId="0" borderId="12" xfId="0" applyBorder="1" applyAlignment="1">
      <alignment vertical="center"/>
    </xf>
    <xf numFmtId="0" fontId="1" fillId="0" borderId="6" xfId="0" applyFont="1" applyBorder="1" applyAlignment="1">
      <alignment vertical="center"/>
    </xf>
    <xf numFmtId="0" fontId="1" fillId="0" borderId="3"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7" xfId="0" applyFont="1" applyBorder="1" applyAlignment="1">
      <alignment horizontal="center" vertical="center" wrapText="1"/>
    </xf>
    <xf numFmtId="0" fontId="1" fillId="0" borderId="0" xfId="0" applyFont="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0" xfId="0" applyFont="1" applyAlignment="1">
      <alignment horizontal="center" wrapText="1"/>
    </xf>
    <xf numFmtId="0" fontId="1" fillId="0" borderId="8" xfId="0" applyFont="1" applyBorder="1" applyAlignment="1">
      <alignment horizontal="center" wrapText="1"/>
    </xf>
    <xf numFmtId="0" fontId="1" fillId="0" borderId="7" xfId="0" applyFont="1" applyBorder="1" applyAlignment="1">
      <alignment horizontal="center" wrapText="1"/>
    </xf>
    <xf numFmtId="0" fontId="1" fillId="0" borderId="9" xfId="0" applyFont="1" applyBorder="1" applyAlignment="1">
      <alignment horizontal="center" wrapText="1"/>
    </xf>
    <xf numFmtId="0" fontId="1" fillId="0" borderId="10" xfId="0" applyFont="1" applyBorder="1" applyAlignment="1">
      <alignment horizontal="center" wrapText="1"/>
    </xf>
    <xf numFmtId="0" fontId="1" fillId="0" borderId="11" xfId="0" applyFont="1" applyBorder="1" applyAlignment="1">
      <alignment horizontal="center" wrapText="1"/>
    </xf>
    <xf numFmtId="2" fontId="1" fillId="0" borderId="12" xfId="0" applyNumberFormat="1" applyFont="1" applyBorder="1" applyAlignment="1">
      <alignment horizontal="right" vertical="center"/>
    </xf>
    <xf numFmtId="0" fontId="1" fillId="0" borderId="12" xfId="0" applyFont="1" applyBorder="1" applyAlignment="1">
      <alignment vertical="center"/>
    </xf>
    <xf numFmtId="2" fontId="1" fillId="0" borderId="13" xfId="0" applyNumberFormat="1" applyFont="1" applyBorder="1" applyAlignment="1">
      <alignment horizontal="right" vertical="center"/>
    </xf>
    <xf numFmtId="0" fontId="0" fillId="0" borderId="13" xfId="0" applyBorder="1" applyAlignment="1">
      <alignment vertical="center"/>
    </xf>
    <xf numFmtId="0" fontId="1" fillId="0" borderId="10" xfId="0" applyFont="1" applyBorder="1" applyAlignment="1">
      <alignment vertical="center"/>
    </xf>
    <xf numFmtId="0" fontId="7" fillId="0" borderId="4" xfId="0" applyFont="1" applyBorder="1" applyAlignment="1" applyProtection="1">
      <alignment horizontal="center" vertical="center" wrapText="1"/>
      <protection locked="0"/>
    </xf>
    <xf numFmtId="0" fontId="7" fillId="0" borderId="5" xfId="0" applyFont="1" applyBorder="1" applyAlignment="1" applyProtection="1">
      <alignment horizontal="center" vertical="center" wrapText="1"/>
      <protection locked="0"/>
    </xf>
    <xf numFmtId="0" fontId="7" fillId="0" borderId="6" xfId="0" applyFont="1" applyBorder="1" applyAlignment="1" applyProtection="1">
      <alignment horizontal="center" vertical="center" wrapText="1"/>
      <protection locked="0"/>
    </xf>
    <xf numFmtId="0" fontId="67" fillId="2" borderId="4" xfId="0" applyFont="1" applyFill="1" applyBorder="1" applyAlignment="1" applyProtection="1">
      <alignment horizontal="center" vertical="center"/>
      <protection locked="0"/>
    </xf>
    <xf numFmtId="0" fontId="67" fillId="2" borderId="6" xfId="0" applyFont="1" applyFill="1" applyBorder="1" applyAlignment="1" applyProtection="1">
      <alignment horizontal="center" vertical="center"/>
      <protection locked="0"/>
    </xf>
    <xf numFmtId="0" fontId="66" fillId="0" borderId="1" xfId="0" applyFont="1" applyBorder="1" applyAlignment="1">
      <alignment horizontal="center" vertical="center"/>
    </xf>
    <xf numFmtId="0" fontId="66" fillId="0" borderId="2" xfId="0" applyFont="1" applyBorder="1" applyAlignment="1">
      <alignment horizontal="center" vertical="center"/>
    </xf>
    <xf numFmtId="0" fontId="66" fillId="0" borderId="3" xfId="0" applyFont="1" applyBorder="1" applyAlignment="1">
      <alignment horizontal="center" vertical="center"/>
    </xf>
    <xf numFmtId="0" fontId="66" fillId="0" borderId="9" xfId="0" applyFont="1" applyBorder="1" applyAlignment="1">
      <alignment horizontal="center" vertical="center"/>
    </xf>
    <xf numFmtId="0" fontId="66" fillId="0" borderId="10" xfId="0" applyFont="1" applyBorder="1" applyAlignment="1">
      <alignment horizontal="center" vertical="center"/>
    </xf>
    <xf numFmtId="0" fontId="66" fillId="0" borderId="11" xfId="0" applyFont="1" applyBorder="1" applyAlignment="1">
      <alignment horizontal="center" vertical="center"/>
    </xf>
    <xf numFmtId="2" fontId="20" fillId="0" borderId="10" xfId="0" applyNumberFormat="1" applyFont="1" applyBorder="1" applyAlignment="1">
      <alignment horizontal="center" vertical="center" shrinkToFit="1"/>
    </xf>
    <xf numFmtId="0" fontId="0" fillId="0" borderId="10" xfId="0" applyBorder="1" applyAlignment="1">
      <alignment vertical="center" shrinkToFit="1"/>
    </xf>
    <xf numFmtId="2" fontId="1" fillId="0" borderId="0" xfId="0" applyNumberFormat="1" applyFont="1" applyAlignment="1">
      <alignment horizontal="center" vertical="center" shrinkToFit="1"/>
    </xf>
    <xf numFmtId="0" fontId="12" fillId="6" borderId="12" xfId="0" applyFont="1" applyFill="1" applyBorder="1" applyAlignment="1">
      <alignment horizontal="center" vertical="center"/>
    </xf>
    <xf numFmtId="0" fontId="0" fillId="0" borderId="8" xfId="0" applyBorder="1" applyAlignment="1">
      <alignment horizontal="left" vertical="center" wrapText="1"/>
    </xf>
    <xf numFmtId="0" fontId="0" fillId="0" borderId="7" xfId="0" applyBorder="1" applyAlignment="1">
      <alignment horizontal="left" vertical="center" wrapText="1"/>
    </xf>
    <xf numFmtId="0" fontId="20" fillId="0" borderId="7" xfId="0" applyFont="1" applyBorder="1" applyAlignment="1">
      <alignment horizontal="left" vertical="center"/>
    </xf>
    <xf numFmtId="0" fontId="1" fillId="0" borderId="0" xfId="0" applyFont="1" applyAlignment="1">
      <alignment horizontal="left" vertical="center" wrapText="1"/>
    </xf>
    <xf numFmtId="0" fontId="1" fillId="0" borderId="8" xfId="0" applyFont="1" applyBorder="1" applyAlignment="1">
      <alignment horizontal="left" vertical="center" wrapText="1"/>
    </xf>
    <xf numFmtId="0" fontId="0" fillId="2" borderId="12" xfId="0" applyFill="1" applyBorder="1" applyAlignment="1" applyProtection="1">
      <alignment vertical="center"/>
      <protection locked="0"/>
    </xf>
    <xf numFmtId="2" fontId="13" fillId="2" borderId="13" xfId="0" applyNumberFormat="1" applyFont="1" applyFill="1" applyBorder="1" applyAlignment="1" applyProtection="1">
      <alignment horizontal="center" vertical="center"/>
      <protection locked="0"/>
    </xf>
    <xf numFmtId="0" fontId="13" fillId="2" borderId="13" xfId="0" applyFont="1" applyFill="1" applyBorder="1" applyAlignment="1">
      <alignment horizontal="center" vertical="center"/>
    </xf>
    <xf numFmtId="2" fontId="13" fillId="2" borderId="12" xfId="0" applyNumberFormat="1" applyFont="1" applyFill="1" applyBorder="1" applyAlignment="1" applyProtection="1">
      <alignment horizontal="center" vertical="center"/>
      <protection locked="0"/>
    </xf>
    <xf numFmtId="0" fontId="15" fillId="0" borderId="0" xfId="0" applyFont="1" applyAlignment="1">
      <alignment horizontal="center" vertical="center"/>
    </xf>
    <xf numFmtId="0" fontId="12" fillId="0" borderId="4" xfId="0" applyFont="1" applyBorder="1" applyAlignment="1">
      <alignment horizontal="center" vertical="center" shrinkToFit="1"/>
    </xf>
    <xf numFmtId="0" fontId="12" fillId="0" borderId="6" xfId="0" applyFont="1" applyBorder="1" applyAlignment="1">
      <alignment horizontal="center" vertical="center" shrinkToFit="1"/>
    </xf>
    <xf numFmtId="2" fontId="13" fillId="2" borderId="4" xfId="0" applyNumberFormat="1" applyFont="1" applyFill="1" applyBorder="1" applyAlignment="1">
      <alignment horizontal="center" vertical="center"/>
    </xf>
    <xf numFmtId="0" fontId="13" fillId="2" borderId="6" xfId="0" applyFont="1" applyFill="1" applyBorder="1" applyAlignment="1">
      <alignment horizontal="center" vertical="center"/>
    </xf>
    <xf numFmtId="2" fontId="13" fillId="2" borderId="12" xfId="0" applyNumberFormat="1" applyFont="1" applyFill="1" applyBorder="1" applyAlignment="1">
      <alignment horizontal="center" vertical="center"/>
    </xf>
    <xf numFmtId="0" fontId="13" fillId="2" borderId="12" xfId="0" applyFont="1" applyFill="1" applyBorder="1" applyAlignment="1">
      <alignment horizontal="center" vertical="center"/>
    </xf>
    <xf numFmtId="0" fontId="42" fillId="2" borderId="4" xfId="0" applyFont="1" applyFill="1" applyBorder="1" applyAlignment="1" applyProtection="1">
      <alignment horizontal="center" vertical="center" shrinkToFit="1"/>
      <protection locked="0"/>
    </xf>
    <xf numFmtId="0" fontId="42" fillId="2" borderId="6" xfId="0" applyFont="1" applyFill="1" applyBorder="1" applyAlignment="1" applyProtection="1">
      <alignment horizontal="center" vertical="center" shrinkToFit="1"/>
      <protection locked="0"/>
    </xf>
    <xf numFmtId="0" fontId="1" fillId="0" borderId="4" xfId="0" applyFont="1" applyBorder="1" applyAlignment="1" applyProtection="1">
      <alignment horizontal="center" vertical="center"/>
      <protection locked="0"/>
    </xf>
    <xf numFmtId="0" fontId="1" fillId="0" borderId="5" xfId="0" applyFont="1" applyBorder="1" applyAlignment="1" applyProtection="1">
      <alignment horizontal="center" vertical="center"/>
      <protection locked="0"/>
    </xf>
    <xf numFmtId="0" fontId="1" fillId="0" borderId="6" xfId="0" applyFont="1" applyBorder="1" applyAlignment="1" applyProtection="1">
      <alignment horizontal="center" vertical="center"/>
      <protection locked="0"/>
    </xf>
    <xf numFmtId="0" fontId="13" fillId="2" borderId="3" xfId="0" applyFont="1" applyFill="1" applyBorder="1" applyAlignment="1" applyProtection="1">
      <alignment horizontal="center" vertical="center"/>
      <protection locked="0"/>
    </xf>
    <xf numFmtId="0" fontId="13" fillId="2" borderId="9" xfId="0" applyFont="1" applyFill="1" applyBorder="1" applyAlignment="1" applyProtection="1">
      <alignment horizontal="center" vertical="center"/>
      <protection locked="0"/>
    </xf>
    <xf numFmtId="0" fontId="13" fillId="2" borderId="11" xfId="0" applyFont="1" applyFill="1" applyBorder="1" applyAlignment="1" applyProtection="1">
      <alignment horizontal="center" vertical="center"/>
      <protection locked="0"/>
    </xf>
    <xf numFmtId="0" fontId="3" fillId="0" borderId="1" xfId="0" applyFont="1" applyBorder="1" applyAlignment="1" applyProtection="1">
      <alignment horizontal="center" vertical="center" wrapText="1"/>
      <protection locked="0"/>
    </xf>
    <xf numFmtId="0" fontId="3" fillId="0" borderId="2" xfId="0"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3" fillId="0" borderId="9" xfId="0" applyFont="1" applyBorder="1" applyAlignment="1" applyProtection="1">
      <alignment horizontal="center" vertical="center" wrapText="1"/>
      <protection locked="0"/>
    </xf>
    <xf numFmtId="0" fontId="3" fillId="0" borderId="10" xfId="0" applyFont="1" applyBorder="1" applyAlignment="1" applyProtection="1">
      <alignment horizontal="center" vertical="center" wrapText="1"/>
      <protection locked="0"/>
    </xf>
    <xf numFmtId="0" fontId="3" fillId="0" borderId="11" xfId="0" applyFont="1" applyBorder="1" applyAlignment="1" applyProtection="1">
      <alignment horizontal="center" vertical="center" wrapText="1"/>
      <protection locked="0"/>
    </xf>
    <xf numFmtId="0" fontId="86" fillId="6" borderId="6" xfId="0" applyFont="1" applyFill="1" applyBorder="1" applyAlignment="1">
      <alignment horizontal="center" vertical="center"/>
    </xf>
    <xf numFmtId="0" fontId="85" fillId="6" borderId="4" xfId="0" applyFont="1" applyFill="1" applyBorder="1" applyAlignment="1">
      <alignment horizontal="center" vertical="center" shrinkToFit="1"/>
    </xf>
    <xf numFmtId="0" fontId="85" fillId="6" borderId="6" xfId="0" applyFont="1" applyFill="1" applyBorder="1" applyAlignment="1">
      <alignment horizontal="center" vertical="center" shrinkToFit="1"/>
    </xf>
    <xf numFmtId="0" fontId="12" fillId="6" borderId="4" xfId="0" applyFont="1" applyFill="1" applyBorder="1" applyAlignment="1">
      <alignment horizontal="center" vertical="center" shrinkToFit="1"/>
    </xf>
    <xf numFmtId="0" fontId="12" fillId="6" borderId="6" xfId="0" applyFont="1" applyFill="1" applyBorder="1" applyAlignment="1">
      <alignment horizontal="center" vertical="center" shrinkToFit="1"/>
    </xf>
    <xf numFmtId="2" fontId="50" fillId="2" borderId="12" xfId="0" applyNumberFormat="1" applyFont="1" applyFill="1" applyBorder="1" applyAlignment="1" applyProtection="1">
      <alignment horizontal="center" vertical="center"/>
      <protection locked="0"/>
    </xf>
    <xf numFmtId="0" fontId="50" fillId="2" borderId="12" xfId="0" applyFont="1" applyFill="1" applyBorder="1" applyAlignment="1" applyProtection="1">
      <alignment horizontal="center" vertical="center"/>
      <protection locked="0"/>
    </xf>
    <xf numFmtId="0" fontId="0" fillId="2" borderId="6" xfId="0" applyFill="1" applyBorder="1" applyAlignment="1" applyProtection="1">
      <alignment horizontal="center" vertical="center"/>
      <protection locked="0"/>
    </xf>
    <xf numFmtId="0" fontId="42" fillId="0" borderId="7" xfId="0" applyFont="1" applyBorder="1" applyAlignment="1">
      <alignment horizontal="center" vertical="center"/>
    </xf>
    <xf numFmtId="0" fontId="42" fillId="0" borderId="0" xfId="0" applyFont="1" applyAlignment="1">
      <alignment horizontal="center" vertical="center"/>
    </xf>
    <xf numFmtId="165" fontId="13" fillId="2" borderId="12" xfId="0" applyNumberFormat="1" applyFont="1" applyFill="1" applyBorder="1" applyAlignment="1" applyProtection="1">
      <alignment horizontal="center" vertical="center"/>
      <protection locked="0"/>
    </xf>
    <xf numFmtId="0" fontId="4" fillId="0" borderId="10" xfId="0" applyFont="1" applyBorder="1" applyAlignment="1">
      <alignment horizontal="center" vertical="center"/>
    </xf>
    <xf numFmtId="0" fontId="53" fillId="0" borderId="10" xfId="0" applyFont="1" applyBorder="1" applyAlignment="1">
      <alignment horizontal="center" vertical="center"/>
    </xf>
    <xf numFmtId="0" fontId="1" fillId="0" borderId="2" xfId="0" applyFont="1" applyBorder="1" applyAlignment="1">
      <alignment horizontal="center" vertical="center"/>
    </xf>
    <xf numFmtId="2" fontId="1" fillId="0" borderId="10" xfId="0" applyNumberFormat="1" applyFont="1" applyBorder="1" applyAlignment="1">
      <alignment vertical="center"/>
    </xf>
    <xf numFmtId="0" fontId="0" fillId="0" borderId="0" xfId="0" quotePrefix="1" applyAlignment="1">
      <alignment horizontal="center" vertical="center"/>
    </xf>
    <xf numFmtId="2" fontId="0" fillId="0" borderId="0" xfId="0" applyNumberFormat="1" applyAlignment="1">
      <alignment vertical="center"/>
    </xf>
    <xf numFmtId="1" fontId="0" fillId="0" borderId="0" xfId="0" applyNumberFormat="1" applyAlignment="1">
      <alignment vertical="center"/>
    </xf>
    <xf numFmtId="169" fontId="0" fillId="0" borderId="0" xfId="0" applyNumberFormat="1" applyAlignment="1">
      <alignment horizontal="center" vertical="center"/>
    </xf>
    <xf numFmtId="167" fontId="0" fillId="0" borderId="0" xfId="0" applyNumberFormat="1" applyAlignment="1">
      <alignment horizontal="center" vertical="center"/>
    </xf>
    <xf numFmtId="49" fontId="61" fillId="2" borderId="0" xfId="0" applyNumberFormat="1" applyFont="1" applyFill="1" applyAlignment="1" applyProtection="1">
      <alignment horizontal="center" vertical="center" wrapText="1" shrinkToFit="1"/>
      <protection locked="0"/>
    </xf>
    <xf numFmtId="167" fontId="0" fillId="0" borderId="0" xfId="0" applyNumberFormat="1" applyAlignment="1">
      <alignment horizontal="left" vertical="center"/>
    </xf>
    <xf numFmtId="0" fontId="13" fillId="2" borderId="0" xfId="0" applyFont="1" applyFill="1" applyAlignment="1" applyProtection="1">
      <alignment horizontal="center" vertical="center" shrinkToFit="1"/>
      <protection locked="0"/>
    </xf>
    <xf numFmtId="1" fontId="1" fillId="0" borderId="4" xfId="0" applyNumberFormat="1" applyFont="1" applyBorder="1" applyAlignment="1">
      <alignment horizontal="center" vertical="center" shrinkToFit="1"/>
    </xf>
    <xf numFmtId="1" fontId="1" fillId="0" borderId="6" xfId="0" applyNumberFormat="1" applyFont="1" applyBorder="1" applyAlignment="1">
      <alignment horizontal="center" vertical="center" shrinkToFit="1"/>
    </xf>
    <xf numFmtId="1" fontId="0" fillId="0" borderId="4" xfId="0" applyNumberFormat="1" applyBorder="1" applyAlignment="1">
      <alignment horizontal="center" vertical="center"/>
    </xf>
    <xf numFmtId="1" fontId="0" fillId="0" borderId="6" xfId="0" applyNumberFormat="1" applyBorder="1" applyAlignment="1">
      <alignment horizontal="center" vertical="center"/>
    </xf>
    <xf numFmtId="166" fontId="1" fillId="0" borderId="0" xfId="0" applyNumberFormat="1" applyFont="1" applyAlignment="1">
      <alignment horizontal="left" vertical="center"/>
    </xf>
    <xf numFmtId="0" fontId="12" fillId="0" borderId="0" xfId="0" applyFont="1" applyAlignment="1">
      <alignment vertical="center"/>
    </xf>
    <xf numFmtId="2" fontId="42" fillId="7" borderId="4" xfId="0" applyNumberFormat="1" applyFont="1" applyFill="1" applyBorder="1" applyAlignment="1">
      <alignment horizontal="center" vertical="center"/>
    </xf>
    <xf numFmtId="2" fontId="42" fillId="7" borderId="6" xfId="0" applyNumberFormat="1" applyFont="1" applyFill="1" applyBorder="1" applyAlignment="1">
      <alignment horizontal="center" vertical="center"/>
    </xf>
    <xf numFmtId="0" fontId="63" fillId="0" borderId="0" xfId="0" applyFont="1" applyAlignment="1">
      <alignment vertical="center" wrapText="1"/>
    </xf>
    <xf numFmtId="0" fontId="63" fillId="0" borderId="8" xfId="0" applyFont="1" applyBorder="1" applyAlignment="1">
      <alignment vertical="center" wrapText="1"/>
    </xf>
    <xf numFmtId="0" fontId="13" fillId="7" borderId="4" xfId="0" applyFont="1" applyFill="1" applyBorder="1" applyAlignment="1" applyProtection="1">
      <alignment horizontal="center" vertical="center"/>
      <protection locked="0"/>
    </xf>
    <xf numFmtId="0" fontId="13" fillId="7" borderId="6" xfId="0" applyFont="1" applyFill="1" applyBorder="1" applyAlignment="1" applyProtection="1">
      <alignment horizontal="center" vertical="center"/>
      <protection locked="0"/>
    </xf>
    <xf numFmtId="2" fontId="86" fillId="7" borderId="13" xfId="0" applyNumberFormat="1" applyFont="1" applyFill="1" applyBorder="1" applyAlignment="1">
      <alignment horizontal="center" vertical="center"/>
    </xf>
    <xf numFmtId="0" fontId="86" fillId="7" borderId="9" xfId="0" applyFont="1" applyFill="1" applyBorder="1" applyAlignment="1">
      <alignment horizontal="center" vertical="center"/>
    </xf>
    <xf numFmtId="0" fontId="1" fillId="0" borderId="0" xfId="0" applyFont="1" applyAlignment="1" applyProtection="1">
      <alignment horizontal="center" vertical="center"/>
      <protection locked="0"/>
    </xf>
    <xf numFmtId="0" fontId="1" fillId="0" borderId="4" xfId="0" quotePrefix="1" applyFont="1" applyBorder="1" applyAlignment="1">
      <alignment horizontal="center" vertical="center"/>
    </xf>
    <xf numFmtId="0" fontId="12" fillId="0" borderId="4" xfId="0" applyFont="1" applyBorder="1" applyAlignment="1" applyProtection="1">
      <alignment horizontal="center" vertical="center"/>
      <protection locked="0"/>
    </xf>
    <xf numFmtId="0" fontId="12" fillId="0" borderId="6" xfId="0" applyFont="1" applyBorder="1" applyAlignment="1" applyProtection="1">
      <alignment horizontal="center" vertical="center"/>
      <protection locked="0"/>
    </xf>
    <xf numFmtId="0" fontId="0" fillId="0" borderId="9" xfId="0" applyBorder="1" applyAlignment="1">
      <alignment horizontal="center" vertical="center"/>
    </xf>
    <xf numFmtId="167" fontId="1" fillId="0" borderId="0" xfId="0" applyNumberFormat="1" applyFont="1" applyAlignment="1">
      <alignment horizontal="center" vertical="center"/>
    </xf>
    <xf numFmtId="2" fontId="1" fillId="0" borderId="4" xfId="0" applyNumberFormat="1" applyFont="1" applyBorder="1" applyAlignment="1">
      <alignment horizontal="center" vertical="center" shrinkToFit="1"/>
    </xf>
    <xf numFmtId="2" fontId="1" fillId="0" borderId="6" xfId="0" applyNumberFormat="1" applyFont="1" applyBorder="1" applyAlignment="1">
      <alignment horizontal="center" vertical="center" shrinkToFit="1"/>
    </xf>
    <xf numFmtId="0" fontId="12" fillId="2" borderId="4" xfId="0" applyFont="1" applyFill="1" applyBorder="1" applyAlignment="1" applyProtection="1">
      <alignment horizontal="center" vertical="center" wrapText="1"/>
      <protection locked="0"/>
    </xf>
    <xf numFmtId="0" fontId="12" fillId="2" borderId="5" xfId="0" applyFont="1" applyFill="1" applyBorder="1" applyAlignment="1" applyProtection="1">
      <alignment horizontal="center" vertical="center" wrapText="1"/>
      <protection locked="0"/>
    </xf>
    <xf numFmtId="0" fontId="12" fillId="2" borderId="6" xfId="0" applyFont="1" applyFill="1" applyBorder="1" applyAlignment="1" applyProtection="1">
      <alignment horizontal="center" vertical="center" wrapText="1"/>
      <protection locked="0"/>
    </xf>
    <xf numFmtId="0" fontId="12" fillId="0" borderId="9" xfId="0" applyFont="1" applyBorder="1" applyAlignment="1">
      <alignment horizontal="center" vertical="center"/>
    </xf>
    <xf numFmtId="0" fontId="12" fillId="0" borderId="11" xfId="0" applyFont="1" applyBorder="1" applyAlignment="1">
      <alignment horizontal="center" vertical="center"/>
    </xf>
    <xf numFmtId="0" fontId="13" fillId="0" borderId="5" xfId="0" applyFont="1" applyBorder="1" applyAlignment="1">
      <alignment horizontal="right" vertical="center"/>
    </xf>
    <xf numFmtId="0" fontId="1" fillId="0" borderId="5" xfId="0" applyFont="1" applyBorder="1" applyAlignment="1">
      <alignment vertical="center"/>
    </xf>
    <xf numFmtId="169" fontId="1" fillId="0" borderId="4" xfId="0" applyNumberFormat="1" applyFont="1" applyBorder="1" applyAlignment="1">
      <alignment horizontal="center" vertical="center"/>
    </xf>
    <xf numFmtId="169" fontId="0" fillId="0" borderId="6" xfId="0" applyNumberFormat="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11" xfId="0" applyBorder="1" applyAlignment="1">
      <alignment horizontal="center" vertical="center"/>
    </xf>
    <xf numFmtId="167" fontId="0" fillId="0" borderId="12" xfId="0" applyNumberFormat="1" applyBorder="1" applyAlignment="1">
      <alignment horizontal="center" vertical="center"/>
    </xf>
    <xf numFmtId="0" fontId="12" fillId="0" borderId="14" xfId="0" applyFont="1" applyBorder="1" applyAlignment="1">
      <alignment horizontal="center" vertical="center"/>
    </xf>
    <xf numFmtId="0" fontId="84" fillId="2" borderId="4" xfId="0" applyFont="1" applyFill="1" applyBorder="1" applyAlignment="1" applyProtection="1">
      <alignment horizontal="center" vertical="center" wrapText="1"/>
      <protection locked="0"/>
    </xf>
    <xf numFmtId="0" fontId="84" fillId="2" borderId="5" xfId="0" applyFont="1" applyFill="1" applyBorder="1" applyAlignment="1" applyProtection="1">
      <alignment horizontal="center" vertical="center" wrapText="1"/>
      <protection locked="0"/>
    </xf>
    <xf numFmtId="0" fontId="84" fillId="2" borderId="6" xfId="0" applyFont="1" applyFill="1" applyBorder="1" applyAlignment="1" applyProtection="1">
      <alignment horizontal="center" vertical="center" wrapText="1"/>
      <protection locked="0"/>
    </xf>
    <xf numFmtId="175" fontId="0" fillId="0" borderId="0" xfId="0" applyNumberFormat="1" applyAlignment="1">
      <alignment horizontal="center" vertical="center"/>
    </xf>
    <xf numFmtId="0" fontId="42" fillId="2" borderId="7" xfId="0" applyFont="1" applyFill="1" applyBorder="1" applyAlignment="1" applyProtection="1">
      <alignment horizontal="center" vertical="center"/>
      <protection locked="0"/>
    </xf>
    <xf numFmtId="0" fontId="42" fillId="2" borderId="8" xfId="0" applyFont="1" applyFill="1" applyBorder="1" applyAlignment="1" applyProtection="1">
      <alignment horizontal="center" vertical="center"/>
      <protection locked="0"/>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1" xfId="0" applyBorder="1" applyAlignment="1">
      <alignment horizontal="center" vertical="center" wrapText="1"/>
    </xf>
  </cellXfs>
  <cellStyles count="5">
    <cellStyle name="Comma" xfId="1" builtinId="3"/>
    <cellStyle name="Comma 2" xfId="4" xr:uid="{1095D7FC-EE8E-4DF1-944E-F06756D17CAA}"/>
    <cellStyle name="Hyperlink" xfId="2" builtinId="8"/>
    <cellStyle name="Normal" xfId="0" builtinId="0"/>
    <cellStyle name="Normal 3" xfId="3" xr:uid="{E642FE05-39EF-416F-AD0A-6D1B6B13D479}"/>
  </cellStyles>
  <dxfs count="98">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externalLink" Target="externalLinks/externalLink2.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theme" Target="theme/theme1.xml"/><Relationship Id="rId79"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externalLink" Target="externalLinks/externalLink3.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6.xml"/><Relationship Id="rId80"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externalLink" Target="externalLinks/externalLink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externalLink" Target="externalLinks/externalLink4.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externalLink" Target="externalLinks/externalLink7.xml"/><Relationship Id="rId78"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externalLink" Target="externalLinks/externalLink5.xml"/><Relationship Id="rId2" Type="http://schemas.openxmlformats.org/officeDocument/2006/relationships/worksheet" Target="worksheets/sheet2.xml"/><Relationship Id="rId29" Type="http://schemas.openxmlformats.org/officeDocument/2006/relationships/worksheet" Target="worksheets/sheet29.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Button" lockText="1"/>
</file>

<file path=xl/ctrlProps/ctrlProp13.xml><?xml version="1.0" encoding="utf-8"?>
<formControlPr xmlns="http://schemas.microsoft.com/office/spreadsheetml/2009/9/main" objectType="Button" lockText="1"/>
</file>

<file path=xl/ctrlProps/ctrlProp14.xml><?xml version="1.0" encoding="utf-8"?>
<formControlPr xmlns="http://schemas.microsoft.com/office/spreadsheetml/2009/9/main" objectType="Button" lockText="1"/>
</file>

<file path=xl/ctrlProps/ctrlProp15.xml><?xml version="1.0" encoding="utf-8"?>
<formControlPr xmlns="http://schemas.microsoft.com/office/spreadsheetml/2009/9/main" objectType="Button" lockText="1"/>
</file>

<file path=xl/ctrlProps/ctrlProp16.xml><?xml version="1.0" encoding="utf-8"?>
<formControlPr xmlns="http://schemas.microsoft.com/office/spreadsheetml/2009/9/main" objectType="Button" lockText="1"/>
</file>

<file path=xl/ctrlProps/ctrlProp17.xml><?xml version="1.0" encoding="utf-8"?>
<formControlPr xmlns="http://schemas.microsoft.com/office/spreadsheetml/2009/9/main" objectType="Button" lockText="1"/>
</file>

<file path=xl/ctrlProps/ctrlProp18.xml><?xml version="1.0" encoding="utf-8"?>
<formControlPr xmlns="http://schemas.microsoft.com/office/spreadsheetml/2009/9/main" objectType="Button" lockText="1"/>
</file>

<file path=xl/ctrlProps/ctrlProp19.xml><?xml version="1.0" encoding="utf-8"?>
<formControlPr xmlns="http://schemas.microsoft.com/office/spreadsheetml/2009/9/main" objectType="Button" lockText="1"/>
</file>

<file path=xl/ctrlProps/ctrlProp20.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1025" name="Button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449537" name="Button 1" hidden="1">
              <a:extLst>
                <a:ext uri="{63B3BB69-23CF-44E3-9099-C40C66FF867C}">
                  <a14:compatExt spid="_x0000_s449537"/>
                </a:ext>
                <a:ext uri="{FF2B5EF4-FFF2-40B4-BE49-F238E27FC236}">
                  <a16:creationId xmlns:a16="http://schemas.microsoft.com/office/drawing/2014/main" id="{00000000-0008-0000-0400-000001DC06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2049" name="Button 1" hidden="1">
              <a:extLst>
                <a:ext uri="{63B3BB69-23CF-44E3-9099-C40C66FF867C}">
                  <a14:compatExt spid="_x0000_s2049"/>
                </a:ext>
                <a:ext uri="{FF2B5EF4-FFF2-40B4-BE49-F238E27FC236}">
                  <a16:creationId xmlns:a16="http://schemas.microsoft.com/office/drawing/2014/main" id="{00000000-0008-0000-0500-00000108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5121" name="Button 1" hidden="1">
              <a:extLst>
                <a:ext uri="{63B3BB69-23CF-44E3-9099-C40C66FF867C}">
                  <a14:compatExt spid="_x0000_s5121"/>
                </a:ext>
                <a:ext uri="{FF2B5EF4-FFF2-40B4-BE49-F238E27FC236}">
                  <a16:creationId xmlns:a16="http://schemas.microsoft.com/office/drawing/2014/main" id="{00000000-0008-0000-0600-0000011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4097" name="Button 1" hidden="1">
              <a:extLst>
                <a:ext uri="{63B3BB69-23CF-44E3-9099-C40C66FF867C}">
                  <a14:compatExt spid="_x0000_s4097"/>
                </a:ext>
                <a:ext uri="{FF2B5EF4-FFF2-40B4-BE49-F238E27FC236}">
                  <a16:creationId xmlns:a16="http://schemas.microsoft.com/office/drawing/2014/main" id="{00000000-0008-0000-0700-00000110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3073" name="Button 1" hidden="1">
              <a:extLst>
                <a:ext uri="{63B3BB69-23CF-44E3-9099-C40C66FF867C}">
                  <a14:compatExt spid="_x0000_s3073"/>
                </a:ext>
                <a:ext uri="{FF2B5EF4-FFF2-40B4-BE49-F238E27FC236}">
                  <a16:creationId xmlns:a16="http://schemas.microsoft.com/office/drawing/2014/main" id="{00000000-0008-0000-0F00-0000010C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355329" name="Button 1" hidden="1">
              <a:extLst>
                <a:ext uri="{63B3BB69-23CF-44E3-9099-C40C66FF867C}">
                  <a14:compatExt spid="_x0000_s355329"/>
                </a:ext>
                <a:ext uri="{FF2B5EF4-FFF2-40B4-BE49-F238E27FC236}">
                  <a16:creationId xmlns:a16="http://schemas.microsoft.com/office/drawing/2014/main" id="{00000000-0008-0000-1500-0000016C05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292865" name="Button 1" hidden="1">
              <a:extLst>
                <a:ext uri="{63B3BB69-23CF-44E3-9099-C40C66FF867C}">
                  <a14:compatExt spid="_x0000_s292865"/>
                </a:ext>
                <a:ext uri="{FF2B5EF4-FFF2-40B4-BE49-F238E27FC236}">
                  <a16:creationId xmlns:a16="http://schemas.microsoft.com/office/drawing/2014/main" id="{00000000-0008-0000-2000-0000017804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295937" name="Button 1" hidden="1">
              <a:extLst>
                <a:ext uri="{63B3BB69-23CF-44E3-9099-C40C66FF867C}">
                  <a14:compatExt spid="_x0000_s295937"/>
                </a:ext>
                <a:ext uri="{FF2B5EF4-FFF2-40B4-BE49-F238E27FC236}">
                  <a16:creationId xmlns:a16="http://schemas.microsoft.com/office/drawing/2014/main" id="{00000000-0008-0000-2300-0000018404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13313" name="Button 1" hidden="1">
              <a:extLst>
                <a:ext uri="{63B3BB69-23CF-44E3-9099-C40C66FF867C}">
                  <a14:compatExt spid="_x0000_s13313"/>
                </a:ext>
                <a:ext uri="{FF2B5EF4-FFF2-40B4-BE49-F238E27FC236}">
                  <a16:creationId xmlns:a16="http://schemas.microsoft.com/office/drawing/2014/main" id="{00000000-0008-0000-2600-0000013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397313" name="Button 1" hidden="1">
              <a:extLst>
                <a:ext uri="{63B3BB69-23CF-44E3-9099-C40C66FF867C}">
                  <a14:compatExt spid="_x0000_s397313"/>
                </a:ext>
                <a:ext uri="{FF2B5EF4-FFF2-40B4-BE49-F238E27FC236}">
                  <a16:creationId xmlns:a16="http://schemas.microsoft.com/office/drawing/2014/main" id="{00000000-0008-0000-2F00-0000011006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14337" name="Button 1" hidden="1">
              <a:extLst>
                <a:ext uri="{63B3BB69-23CF-44E3-9099-C40C66FF867C}">
                  <a14:compatExt spid="_x0000_s14337"/>
                </a:ext>
                <a:ext uri="{FF2B5EF4-FFF2-40B4-BE49-F238E27FC236}">
                  <a16:creationId xmlns:a16="http://schemas.microsoft.com/office/drawing/2014/main" id="{00000000-0008-0000-3700-00000138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509953" name="Button 1" hidden="1">
              <a:extLst>
                <a:ext uri="{63B3BB69-23CF-44E3-9099-C40C66FF867C}">
                  <a14:compatExt spid="_x0000_s509953"/>
                </a:ext>
                <a:ext uri="{FF2B5EF4-FFF2-40B4-BE49-F238E27FC236}">
                  <a16:creationId xmlns:a16="http://schemas.microsoft.com/office/drawing/2014/main" id="{00000000-0008-0000-3800-000001C807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518160</xdr:colOff>
          <xdr:row>1</xdr:row>
          <xdr:rowOff>426720</xdr:rowOff>
        </xdr:from>
        <xdr:to>
          <xdr:col>27</xdr:col>
          <xdr:colOff>182880</xdr:colOff>
          <xdr:row>3</xdr:row>
          <xdr:rowOff>426720</xdr:rowOff>
        </xdr:to>
        <xdr:sp macro="" textlink="">
          <xdr:nvSpPr>
            <xdr:cNvPr id="15361" name="Button 1" hidden="1">
              <a:extLst>
                <a:ext uri="{63B3BB69-23CF-44E3-9099-C40C66FF867C}">
                  <a14:compatExt spid="_x0000_s15361"/>
                </a:ext>
                <a:ext uri="{FF2B5EF4-FFF2-40B4-BE49-F238E27FC236}">
                  <a16:creationId xmlns:a16="http://schemas.microsoft.com/office/drawing/2014/main" id="{00000000-0008-0000-3900-0000013C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510977" name="Button 1" hidden="1">
              <a:extLst>
                <a:ext uri="{63B3BB69-23CF-44E3-9099-C40C66FF867C}">
                  <a14:compatExt spid="_x0000_s510977"/>
                </a:ext>
                <a:ext uri="{FF2B5EF4-FFF2-40B4-BE49-F238E27FC236}">
                  <a16:creationId xmlns:a16="http://schemas.microsoft.com/office/drawing/2014/main" id="{00000000-0008-0000-3A00-000001CC07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518160</xdr:colOff>
          <xdr:row>1</xdr:row>
          <xdr:rowOff>426720</xdr:rowOff>
        </xdr:from>
        <xdr:to>
          <xdr:col>27</xdr:col>
          <xdr:colOff>182880</xdr:colOff>
          <xdr:row>3</xdr:row>
          <xdr:rowOff>426720</xdr:rowOff>
        </xdr:to>
        <xdr:sp macro="" textlink="">
          <xdr:nvSpPr>
            <xdr:cNvPr id="403457" name="Button 1" hidden="1">
              <a:extLst>
                <a:ext uri="{63B3BB69-23CF-44E3-9099-C40C66FF867C}">
                  <a14:compatExt spid="_x0000_s403457"/>
                </a:ext>
                <a:ext uri="{FF2B5EF4-FFF2-40B4-BE49-F238E27FC236}">
                  <a16:creationId xmlns:a16="http://schemas.microsoft.com/office/drawing/2014/main" id="{00000000-0008-0000-3B00-0000012806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512001" name="Button 1" hidden="1">
              <a:extLst>
                <a:ext uri="{63B3BB69-23CF-44E3-9099-C40C66FF867C}">
                  <a14:compatExt spid="_x0000_s512001"/>
                </a:ext>
                <a:ext uri="{FF2B5EF4-FFF2-40B4-BE49-F238E27FC236}">
                  <a16:creationId xmlns:a16="http://schemas.microsoft.com/office/drawing/2014/main" id="{00000000-0008-0000-3C00-000001D007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518160</xdr:colOff>
          <xdr:row>1</xdr:row>
          <xdr:rowOff>426720</xdr:rowOff>
        </xdr:from>
        <xdr:to>
          <xdr:col>27</xdr:col>
          <xdr:colOff>182880</xdr:colOff>
          <xdr:row>3</xdr:row>
          <xdr:rowOff>426720</xdr:rowOff>
        </xdr:to>
        <xdr:sp macro="" textlink="">
          <xdr:nvSpPr>
            <xdr:cNvPr id="326657" name="Button 1" hidden="1">
              <a:extLst>
                <a:ext uri="{63B3BB69-23CF-44E3-9099-C40C66FF867C}">
                  <a14:compatExt spid="_x0000_s326657"/>
                </a:ext>
                <a:ext uri="{FF2B5EF4-FFF2-40B4-BE49-F238E27FC236}">
                  <a16:creationId xmlns:a16="http://schemas.microsoft.com/office/drawing/2014/main" id="{00000000-0008-0000-3D00-000001FC04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22</xdr:col>
          <xdr:colOff>0</xdr:colOff>
          <xdr:row>1</xdr:row>
          <xdr:rowOff>365760</xdr:rowOff>
        </xdr:from>
        <xdr:to>
          <xdr:col>25</xdr:col>
          <xdr:colOff>60960</xdr:colOff>
          <xdr:row>3</xdr:row>
          <xdr:rowOff>289560</xdr:rowOff>
        </xdr:to>
        <xdr:sp macro="" textlink="">
          <xdr:nvSpPr>
            <xdr:cNvPr id="230401" name="Button 1" hidden="1">
              <a:extLst>
                <a:ext uri="{63B3BB69-23CF-44E3-9099-C40C66FF867C}">
                  <a14:compatExt spid="_x0000_s230401"/>
                </a:ext>
                <a:ext uri="{FF2B5EF4-FFF2-40B4-BE49-F238E27FC236}">
                  <a16:creationId xmlns:a16="http://schemas.microsoft.com/office/drawing/2014/main" id="{00000000-0008-0000-3E00-0000018403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2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22</xdr:col>
          <xdr:colOff>0</xdr:colOff>
          <xdr:row>1</xdr:row>
          <xdr:rowOff>365760</xdr:rowOff>
        </xdr:from>
        <xdr:to>
          <xdr:col>25</xdr:col>
          <xdr:colOff>60960</xdr:colOff>
          <xdr:row>3</xdr:row>
          <xdr:rowOff>289560</xdr:rowOff>
        </xdr:to>
        <xdr:sp macro="" textlink="">
          <xdr:nvSpPr>
            <xdr:cNvPr id="273409" name="Button 1" hidden="1">
              <a:extLst>
                <a:ext uri="{63B3BB69-23CF-44E3-9099-C40C66FF867C}">
                  <a14:compatExt spid="_x0000_s273409"/>
                </a:ext>
                <a:ext uri="{FF2B5EF4-FFF2-40B4-BE49-F238E27FC236}">
                  <a16:creationId xmlns:a16="http://schemas.microsoft.com/office/drawing/2014/main" id="{00000000-0008-0000-3F00-0000012C04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Book5"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hitachipowergrids.sharepoint.com/teams/GAApT/Shared%20Documents/General/ApT/01.%20Projects/1.%20AE/25.4%20220kV%20&amp;%2033kV%20TAZIZ%20(TAQA)/4.%20CT%20Calculation/3.%20Cal/D4D48A00.xls" TargetMode="External"/><Relationship Id="rId1" Type="http://schemas.openxmlformats.org/officeDocument/2006/relationships/externalLinkPath" Target="https://hitachipowergrids-my.sharepoint.com/teams/GAApT/Shared%20Documents/General/ApT/01.%20Projects/1.%20AE/25.4%20220kV%20&amp;%2033kV%20TAZIZ%20(TAQA)/4.%20CT%20Calculation/3.%20Cal/D4D48A00.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hitachipowergrids-my.sharepoint.com/personal/yhokesh_d_hitachienergy_com/Documents/Desktop/CT%20PT/project/CT%20calculation.xlsm" TargetMode="External"/><Relationship Id="rId1" Type="http://schemas.openxmlformats.org/officeDocument/2006/relationships/externalLinkPath" Target="https://hitachipowergrids-my.sharepoint.com/personal/karthik_sankaranarayanan_hitachienergy_com/Documents/CT%20VT%20ADEQUCY%20TEST/400%20kV%20AL%20DHFRA%20PROJ/CT%20calculation.xlsm"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hitachipowergrids.sharepoint.com/sites/INOPC-GridAutomation-Application/Shared%20Documents/Projects/AE/25.10%20Al%20Dhafra%20DFWG%20GS/4.%20CT%20Calculation/3.%20Cal/33kV%20CT_VT%20Cal.xlsx" TargetMode="External"/><Relationship Id="rId1" Type="http://schemas.openxmlformats.org/officeDocument/2006/relationships/externalLinkPath" Target="https://hitachipowergrids.sharepoint.com/sites/INOPC-GridAutomation-Application/Shared%20Documents/Projects/AE/25.10%20Al%20Dhafra%20DFWG%20GS/4.%20CT%20Calculation/3.%20Cal/33kV%20CT_VT%20Cal.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hitachipowergrids.sharepoint.com/teams/GAApT/Shared%20Documents/General/ApT/01.%20Projects/1.%20AE/25.9%20N19957_DF5W/4.%20CT%20Calculation/3.%20Cal/Ref/TWPS_CT%20VT_Calc_Rev.A.xls" TargetMode="External"/><Relationship Id="rId1" Type="http://schemas.openxmlformats.org/officeDocument/2006/relationships/externalLinkPath" Target="https://hitachipowergrids-my.sharepoint.com/personal/karthik_sankaranarayanan_hitachienergy_com/Documents/CT%20VT%20ADEQUCY%20TEST/400%20kV%20AL%20DHFRA%20PROJ/Ref/TWPS_CT%20VT_Calc_Rev.A.xls" TargetMode="External"/></Relationships>
</file>

<file path=xl/externalLinks/_rels/externalLink6.xml.rels><?xml version="1.0" encoding="UTF-8" standalone="yes"?>
<Relationships xmlns="http://schemas.openxmlformats.org/package/2006/relationships"><Relationship Id="rId3" Type="http://schemas.openxmlformats.org/officeDocument/2006/relationships/externalLinkPath" Target="../../../../AK3014/Hitachi%20Energy/INOPC%20-%20Grid%20Automation%20-%20Application%20-%20Documents/Projects/SA/24.2.%20132kV%20GIS%20SG%20PDAS%20SS/4.%20CT%20Calculation/3.%20CT%20Calculation/REV%20D/CT%20calculation.xlsm" TargetMode="External"/><Relationship Id="rId2" Type="http://schemas.openxmlformats.org/officeDocument/2006/relationships/externalLinkPath" Target="file:///C:\Users\AK3014\Hitachi%20Energy\INOPC%20-%20Grid%20Automation%20-%20Application%20-%20Documents\Projects\SA\24.2.%20132kV%20GIS%20SG%20PDAS%20SS\4.%20CT%20Calculation\3.%20CT%20Calculation\REV%20D\CT%20calculation.xlsm" TargetMode="External"/><Relationship Id="rId1" Type="http://schemas.openxmlformats.org/officeDocument/2006/relationships/externalLinkPath" Target="/Users/AK3014/Hitachi%20Energy/INOPC%20-%20Grid%20Automation%20-%20Application%20-%20Documents/Projects/SA/24.2.%20132kV%20GIS%20SG%20PDAS%20SS/4.%20CT%20Calculation/3.%20CT%20Calculation/REV%20D/CT%20calculation.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https://hitachipowergrids.sharepoint.com/teams/GAApT/Shared%20Documents/General/ApT/01.%20Projects/1.%20AE/25.4%20220kV%20&amp;%2033kV%20TAZIZ%20(TAQA)/4.%20CT%20Calculation/3.%20Cal/220kV/ref/NIMR_CT%20VT_Calc.xls" TargetMode="External"/><Relationship Id="rId1" Type="http://schemas.openxmlformats.org/officeDocument/2006/relationships/externalLinkPath" Target="https://hitachipowergrids-my.sharepoint.com/teams/GAApT/Shared%20Documents/General/ApT/01.%20Projects/1.%20AE/25.4%20220kV%20&amp;%2033kV%20TAZIZ%20(TAQA)/4.%20CT%20Calculation/3.%20Cal/220kV/ref/NIMR_CT%20VT_Calc.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1"/>
      <sheetName val="Main 2"/>
      <sheetName val="Sheet1"/>
      <sheetName val="Sheet2"/>
      <sheetName val="Sheet3"/>
      <sheetName val="Output_Earthing"/>
    </sheetNames>
    <sheetDataSet>
      <sheetData sheetId="0" refreshError="1">
        <row r="61">
          <cell r="M61" t="str">
            <v>Section Resistor values available:</v>
          </cell>
        </row>
        <row r="68">
          <cell r="M68" t="str">
            <v>Type of Fault</v>
          </cell>
        </row>
      </sheetData>
      <sheetData sheetId="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B650-X-dz (2)"/>
      <sheetName val="RED670_1.1-X (2)"/>
      <sheetName val="Revision Index"/>
      <sheetName val="Guidelines"/>
      <sheetName val="Sheet1"/>
      <sheetName val="Main-Prometer100-0.2FS  (2)"/>
      <sheetName val="Check-Prometer100-0.2FS (2)"/>
      <sheetName val="Title"/>
      <sheetName val="INDEX"/>
      <sheetName val="Notes Or Assumptions"/>
      <sheetName val="CT-VT Data"/>
      <sheetName val="SHT (Cable)"/>
      <sheetName val="CT-VT Burdens"/>
      <sheetName val="Parameters &amp; Fault Cal.(OHL)"/>
      <sheetName val="1"/>
      <sheetName val="2"/>
      <sheetName val="Parameters &amp; Fault Cal."/>
      <sheetName val="RED670_2.2C42-PX"/>
      <sheetName val="7SD522-X"/>
      <sheetName val="P54x-X"/>
      <sheetName val="SEL3-411L-X"/>
      <sheetName val="GRZ100-X"/>
      <sheetName val="Solkar-R-RF-X"/>
      <sheetName val="Solkar-N-X"/>
      <sheetName val="REB650-X-dz"/>
      <sheetName val="REB650-X -cz"/>
      <sheetName val="132kV CF-OTTCO"/>
      <sheetName val="REB650-X-dz (3)"/>
      <sheetName val="REB650-X -cz (2)"/>
      <sheetName val="132kV GT-ST_Feeder"/>
      <sheetName val="RET670_650-X"/>
      <sheetName val="7SA522-X (OHL)"/>
      <sheetName val="REL670_2.2C42-X (3)"/>
      <sheetName val="REL670_2.2C42-X"/>
      <sheetName val="REB500-5P (2)"/>
      <sheetName val="3"/>
      <sheetName val="REB500-5P (7)"/>
      <sheetName val="REB500-X (3)"/>
      <sheetName val="REB500-5P (8)"/>
      <sheetName val="CT-VT Burdens (4sqmm)"/>
      <sheetName val="4"/>
      <sheetName val="GRL100-X old superseded"/>
      <sheetName val="GRL100-X New"/>
      <sheetName val="RET670_650-PX (LV)"/>
      <sheetName val="RET670_650-PX (HV-T12) "/>
      <sheetName val="RET615_Trafo LV REF (High)"/>
      <sheetName val="REF615-X"/>
      <sheetName val="REB500-5P (3)"/>
      <sheetName val="REB500-5P (4)"/>
      <sheetName val="REF615 OC-5P (5)"/>
      <sheetName val="BCU-0.2FS  (2)"/>
      <sheetName val="RET615_REF (High)"/>
      <sheetName val="RET670_650-5P (LV)"/>
      <sheetName val="REC670-0.2FS (2)"/>
      <sheetName val="REQ650_BFR_5P"/>
      <sheetName val="REB650-X-dz (4)"/>
      <sheetName val="REB650-X -cz (3)"/>
      <sheetName val="SHT (OHL)"/>
      <sheetName val="RED670-X (OHL)"/>
      <sheetName val="P54x-X (OHL)"/>
      <sheetName val="REL670_650-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5P"/>
      <sheetName val="P63_-X"/>
      <sheetName val="DAD-X-dz Tx"/>
      <sheetName val="DAD-X -cz TX"/>
      <sheetName val="RET670-X_Cable Diff (High) (Ph)"/>
      <sheetName val="RET670_650-X (LV)"/>
      <sheetName val="REF615 OC-5P (3)"/>
      <sheetName val="SBEF-X"/>
      <sheetName val="SBEF-5P"/>
      <sheetName val="OC+FMS+BCU-X (TR)"/>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7SS5XX-X"/>
      <sheetName val="7SS5XX-5P"/>
      <sheetName val="P74X-X"/>
      <sheetName val="P74X-5P"/>
      <sheetName val="SEL487B-X"/>
      <sheetName val="SEL487B-5P"/>
      <sheetName val="MCAG-X"/>
      <sheetName val="SHT (MV Cable)"/>
      <sheetName val="RED615-X"/>
      <sheetName val="RED615-5P"/>
      <sheetName val="33kV_EMF"/>
      <sheetName val="REF620-5P emf"/>
      <sheetName val="REB650_BBP+EMF"/>
      <sheetName val="REF620-5P-33-EMF"/>
      <sheetName val="BC Metering"/>
      <sheetName val="DAD-X-dz BC"/>
      <sheetName val="DAD-X -cz BC"/>
      <sheetName val="ZIV RTF"/>
      <sheetName val="RET670-X_Cable (Reactor fdr)"/>
      <sheetName val="RET670_650-X (TV)"/>
      <sheetName val="RET670-X_Reactor Diff (High)"/>
      <sheetName val="RET615-X_Reactor REF (High)"/>
      <sheetName val="RED670_2.2-5P"/>
      <sheetName val="REB500-X (4)"/>
      <sheetName val="REB500-5P"/>
      <sheetName val="REB500-PX (5)"/>
      <sheetName val="REF615 OC-5P (SBEF)"/>
      <sheetName val="5"/>
      <sheetName val="RET615-5P_220-33kV Tx"/>
      <sheetName val="RET670_650-PX (HV) (2)"/>
      <sheetName val="SEL487E-X"/>
      <sheetName val="RET670_650-PX (HV) (3)"/>
      <sheetName val="REF615 OC-10P (11)"/>
      <sheetName val="REB500-5P (5)"/>
      <sheetName val="RET615_REF (High) (2)"/>
      <sheetName val="RET615__HV_REF (High) (15)"/>
      <sheetName val="REB500-5P (6)"/>
      <sheetName val="REF615 OC-5P_EHV_SBEF(7)"/>
      <sheetName val="RET670_650-X (LV) (3)"/>
      <sheetName val="RET615__LV_REF (High) (14)"/>
      <sheetName val="RET615__LV_REF (High) (4)"/>
      <sheetName val="RET670_650-5P (LV) (2)"/>
      <sheetName val="6"/>
      <sheetName val="REF615 OC-5P (6)"/>
      <sheetName val="RET670_650-5P (LV) (3)"/>
      <sheetName val="RET615_REF (High) (3)"/>
      <sheetName val="REF615 OC-5P (8)"/>
      <sheetName val="REF615 OC-5P (9)"/>
      <sheetName val="REF615 OC-5P (10)"/>
      <sheetName val="REB500-5P (10)"/>
      <sheetName val="REB500-5P (9)"/>
      <sheetName val="7"/>
      <sheetName val="REB500-5P (11)"/>
      <sheetName val="REB500-5P (12)"/>
      <sheetName val="8"/>
      <sheetName val="REB500-X (6)"/>
      <sheetName val="REB500-5P (14)"/>
      <sheetName val="7SL86-X"/>
      <sheetName val="BCU+OC-5P SEL751+7SJ85"/>
      <sheetName val="BCU-5P"/>
      <sheetName val="Tariff Main-0.2FS "/>
      <sheetName val="Tariff Check-0.2FS  (2)"/>
      <sheetName val="Tariff Check-0.2FS"/>
      <sheetName val="REF615 OC-5P"/>
      <sheetName val="REF615 OC-5P_HV_SBEF(8)"/>
      <sheetName val="REF615 EF-5P_HV(9)"/>
      <sheetName val="5 (2)"/>
      <sheetName val="REF615 OC-5P_HV_SBEF4Sqmm(9)"/>
      <sheetName val="5 (3)"/>
      <sheetName val="REF615 EF-5P_HV4Sqmm(10)"/>
      <sheetName val="CT-VT Data landscape"/>
      <sheetName val="5 (6)"/>
      <sheetName val="Parameters &amp; Fault Cal. (4)"/>
      <sheetName val="RED670_2.2C42-X (2)"/>
      <sheetName val="BCU+OC-5P SEL751+7SJ85 (2)"/>
      <sheetName val="Tariff Main-0.2FS  (2)"/>
      <sheetName val="Tariff Check-0.2FS  (3)"/>
      <sheetName val="5 (5)"/>
      <sheetName val="Parameters &amp; Fault Cal. (3)"/>
      <sheetName val="RED670_2.2C42-X (3)"/>
      <sheetName val="BCU+OC-5P SEL751+7SJ85 (3)"/>
      <sheetName val="Tariff Main-0.2FS  (3)"/>
      <sheetName val="Tariff Check-0.2FS  (4)"/>
      <sheetName val="5 (7)"/>
      <sheetName val="Parameters &amp; Fault Cal. (5)"/>
      <sheetName val="RED670_2.2C42-X (4)"/>
      <sheetName val="BCU+OC-5P SEL751+7SJ85 (4)"/>
      <sheetName val="Tariff Main-0.2FS  (4)"/>
      <sheetName val="Tariff Check-0.2FS  (5)"/>
      <sheetName val="5 (8)"/>
      <sheetName val="OC-5P 7SJ82 (5)"/>
      <sheetName val="BCU-5P 7SJ85 (6)"/>
      <sheetName val="Ammeter-0.2FS  (6)"/>
      <sheetName val="5 (9)"/>
      <sheetName val="BCU+OC-5P SEL751+7SJ85 (5)"/>
      <sheetName val="Ammeter-0.2FS  (7)"/>
      <sheetName val="5 (4)"/>
      <sheetName val="REB500-X (2)"/>
      <sheetName val="REB500-X"/>
      <sheetName val="9"/>
      <sheetName val="Line VT"/>
      <sheetName val="Bus VT"/>
      <sheetName val="Line VT (2)"/>
      <sheetName val="Sheet4"/>
      <sheetName val="OC+FMS+BCU-X"/>
      <sheetName val="Sheet2"/>
      <sheetName val="Sheet3"/>
      <sheetName val="D4D48A00"/>
    </sheetNames>
    <definedNames>
      <definedName name="Button1_Click"/>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12">
          <cell r="Q12">
            <v>132</v>
          </cell>
        </row>
        <row r="31">
          <cell r="Q31">
            <v>40000</v>
          </cell>
        </row>
        <row r="33">
          <cell r="Q33">
            <v>40000</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row r="100">
          <cell r="H100">
            <v>94.143205209421495</v>
          </cell>
        </row>
        <row r="398">
          <cell r="A398" t="str">
            <v>BC1</v>
          </cell>
          <cell r="B398" t="str">
            <v>Core1</v>
          </cell>
          <cell r="D398">
            <v>1500</v>
          </cell>
          <cell r="F398">
            <v>1</v>
          </cell>
          <cell r="G398">
            <v>50</v>
          </cell>
          <cell r="H398">
            <v>2.5</v>
          </cell>
          <cell r="I398" t="str">
            <v>PX</v>
          </cell>
          <cell r="K398">
            <v>3</v>
          </cell>
          <cell r="M398">
            <v>1500</v>
          </cell>
          <cell r="O398">
            <v>37.76</v>
          </cell>
          <cell r="Q398" t="str">
            <v>RET670</v>
          </cell>
          <cell r="S398" t="str">
            <v>Suitably Dimensioned</v>
          </cell>
        </row>
        <row r="399">
          <cell r="D399" t="str">
            <v>-</v>
          </cell>
          <cell r="K399" t="str">
            <v>-</v>
          </cell>
          <cell r="M399" t="str">
            <v>-</v>
          </cell>
          <cell r="O399" t="str">
            <v>-</v>
          </cell>
        </row>
        <row r="400">
          <cell r="D400" t="str">
            <v>-</v>
          </cell>
          <cell r="K400" t="str">
            <v>-</v>
          </cell>
          <cell r="M400" t="str">
            <v>-</v>
          </cell>
          <cell r="O400" t="str">
            <v>-</v>
          </cell>
          <cell r="S400" t="str">
            <v>-</v>
          </cell>
        </row>
      </sheetData>
      <sheetData sheetId="44" refreshError="1">
        <row r="100">
          <cell r="H100">
            <v>177.39685253704729</v>
          </cell>
        </row>
        <row r="398">
          <cell r="A398" t="str">
            <v>T12</v>
          </cell>
          <cell r="B398" t="str">
            <v>Core1</v>
          </cell>
          <cell r="D398">
            <v>1200</v>
          </cell>
          <cell r="F398">
            <v>1</v>
          </cell>
          <cell r="G398">
            <v>50</v>
          </cell>
          <cell r="H398">
            <v>2.5</v>
          </cell>
          <cell r="I398" t="str">
            <v>PX</v>
          </cell>
          <cell r="K398">
            <v>5</v>
          </cell>
          <cell r="M398">
            <v>1000</v>
          </cell>
          <cell r="O398">
            <v>30</v>
          </cell>
          <cell r="Q398" t="str">
            <v>RET670</v>
          </cell>
          <cell r="S398" t="str">
            <v>Suitably Dimensioned</v>
          </cell>
        </row>
        <row r="399">
          <cell r="D399" t="str">
            <v>-</v>
          </cell>
          <cell r="K399" t="str">
            <v>-</v>
          </cell>
          <cell r="M399" t="str">
            <v>-</v>
          </cell>
          <cell r="O399" t="str">
            <v>-</v>
          </cell>
          <cell r="S399" t="str">
            <v>-</v>
          </cell>
        </row>
        <row r="400">
          <cell r="D400" t="str">
            <v>-</v>
          </cell>
          <cell r="K400" t="str">
            <v>-</v>
          </cell>
          <cell r="M400" t="str">
            <v>-</v>
          </cell>
          <cell r="O400" t="str">
            <v>-</v>
          </cell>
          <cell r="S400" t="str">
            <v>-</v>
          </cell>
        </row>
      </sheetData>
      <sheetData sheetId="45" refreshError="1">
        <row r="78">
          <cell r="G78">
            <v>308.19170832649024</v>
          </cell>
        </row>
        <row r="91">
          <cell r="A91" t="str">
            <v>BC1</v>
          </cell>
          <cell r="B91" t="str">
            <v>Core2</v>
          </cell>
          <cell r="D91">
            <v>1500</v>
          </cell>
          <cell r="F91">
            <v>1</v>
          </cell>
          <cell r="G91">
            <v>50</v>
          </cell>
          <cell r="H91">
            <v>2.5</v>
          </cell>
          <cell r="I91" t="str">
            <v>PX</v>
          </cell>
          <cell r="K91">
            <v>3</v>
          </cell>
          <cell r="M91">
            <v>1500</v>
          </cell>
          <cell r="O91">
            <v>74.39</v>
          </cell>
          <cell r="Q91" t="str">
            <v>RET615</v>
          </cell>
          <cell r="S91" t="str">
            <v>Suitably Dimensioned</v>
          </cell>
        </row>
        <row r="92">
          <cell r="D92" t="str">
            <v>-</v>
          </cell>
          <cell r="K92" t="str">
            <v>-</v>
          </cell>
          <cell r="M92" t="str">
            <v>-</v>
          </cell>
          <cell r="O92" t="str">
            <v>-</v>
          </cell>
          <cell r="S92" t="str">
            <v>-</v>
          </cell>
        </row>
        <row r="93">
          <cell r="D93" t="str">
            <v>-</v>
          </cell>
          <cell r="K93" t="str">
            <v>-</v>
          </cell>
          <cell r="M93" t="str">
            <v>-</v>
          </cell>
          <cell r="O93" t="str">
            <v>-</v>
          </cell>
          <cell r="S93" t="str">
            <v>-</v>
          </cell>
        </row>
        <row r="94">
          <cell r="A94" t="str">
            <v>T2N</v>
          </cell>
          <cell r="B94" t="str">
            <v>Core1</v>
          </cell>
          <cell r="D94">
            <v>1500</v>
          </cell>
          <cell r="F94">
            <v>1</v>
          </cell>
          <cell r="G94">
            <v>50</v>
          </cell>
          <cell r="H94">
            <v>2.5</v>
          </cell>
          <cell r="I94" t="str">
            <v>PX</v>
          </cell>
          <cell r="K94">
            <v>10</v>
          </cell>
          <cell r="M94">
            <v>1500</v>
          </cell>
          <cell r="O94">
            <v>100</v>
          </cell>
          <cell r="Q94" t="str">
            <v>RET615</v>
          </cell>
          <cell r="S94" t="str">
            <v>Suitably Dimensioned</v>
          </cell>
        </row>
        <row r="95">
          <cell r="D95" t="str">
            <v>-</v>
          </cell>
          <cell r="K95" t="str">
            <v>-</v>
          </cell>
          <cell r="M95" t="str">
            <v>-</v>
          </cell>
          <cell r="O95" t="str">
            <v>-</v>
          </cell>
          <cell r="S95" t="str">
            <v>-</v>
          </cell>
        </row>
        <row r="96">
          <cell r="D96" t="str">
            <v>-</v>
          </cell>
          <cell r="K96" t="str">
            <v>-</v>
          </cell>
          <cell r="M96" t="str">
            <v>-</v>
          </cell>
          <cell r="O96" t="str">
            <v>-</v>
          </cell>
          <cell r="S96" t="str">
            <v>-</v>
          </cell>
        </row>
        <row r="97">
          <cell r="A97">
            <v>0</v>
          </cell>
          <cell r="B97">
            <v>0</v>
          </cell>
          <cell r="D97">
            <v>1500</v>
          </cell>
          <cell r="F97">
            <v>1</v>
          </cell>
          <cell r="G97">
            <v>50</v>
          </cell>
          <cell r="H97">
            <v>2.5</v>
          </cell>
          <cell r="I97" t="str">
            <v>PX</v>
          </cell>
          <cell r="K97">
            <v>3</v>
          </cell>
          <cell r="M97">
            <v>1500</v>
          </cell>
          <cell r="O97">
            <v>74.39</v>
          </cell>
          <cell r="Q97" t="str">
            <v>RET615</v>
          </cell>
          <cell r="S97" t="str">
            <v>Suitably Dimensioned</v>
          </cell>
        </row>
        <row r="98">
          <cell r="D98" t="str">
            <v>-</v>
          </cell>
          <cell r="K98" t="str">
            <v>-</v>
          </cell>
          <cell r="M98" t="str">
            <v>-</v>
          </cell>
          <cell r="O98" t="str">
            <v>-</v>
          </cell>
          <cell r="S98" t="str">
            <v>-</v>
          </cell>
        </row>
        <row r="99">
          <cell r="D99" t="str">
            <v>-</v>
          </cell>
          <cell r="K99" t="str">
            <v>-</v>
          </cell>
          <cell r="M99" t="str">
            <v>-</v>
          </cell>
          <cell r="O99" t="str">
            <v>-</v>
          </cell>
          <cell r="S99" t="str">
            <v>-</v>
          </cell>
        </row>
      </sheetData>
      <sheetData sheetId="46" refreshError="1"/>
      <sheetData sheetId="47" refreshError="1"/>
      <sheetData sheetId="48" refreshError="1"/>
      <sheetData sheetId="49" refreshError="1">
        <row r="40">
          <cell r="G40">
            <v>26.666666666666668</v>
          </cell>
        </row>
        <row r="141">
          <cell r="A141" t="str">
            <v>BC1</v>
          </cell>
          <cell r="B141" t="str">
            <v>Core3</v>
          </cell>
          <cell r="D141">
            <v>1500</v>
          </cell>
          <cell r="F141">
            <v>1</v>
          </cell>
          <cell r="G141">
            <v>50</v>
          </cell>
          <cell r="H141">
            <v>2.5</v>
          </cell>
          <cell r="I141" t="str">
            <v>5P</v>
          </cell>
          <cell r="K141">
            <v>4</v>
          </cell>
          <cell r="M141">
            <v>30</v>
          </cell>
          <cell r="O141" t="str">
            <v>-</v>
          </cell>
          <cell r="Q141" t="str">
            <v>REF615+REF615</v>
          </cell>
          <cell r="S141" t="str">
            <v>Suitably Dimensioned</v>
          </cell>
        </row>
        <row r="142">
          <cell r="D142" t="str">
            <v>-</v>
          </cell>
          <cell r="K142" t="str">
            <v>-</v>
          </cell>
          <cell r="M142" t="str">
            <v>-</v>
          </cell>
          <cell r="O142" t="str">
            <v>-</v>
          </cell>
          <cell r="S142" t="str">
            <v>-</v>
          </cell>
        </row>
        <row r="143">
          <cell r="D143" t="str">
            <v>-</v>
          </cell>
          <cell r="K143" t="str">
            <v>-</v>
          </cell>
          <cell r="M143" t="str">
            <v>-</v>
          </cell>
          <cell r="O143" t="str">
            <v>-</v>
          </cell>
          <cell r="S143" t="str">
            <v>-</v>
          </cell>
        </row>
      </sheetData>
      <sheetData sheetId="50" refreshError="1">
        <row r="137">
          <cell r="A137" t="str">
            <v>BC1</v>
          </cell>
          <cell r="B137" t="str">
            <v>Core4</v>
          </cell>
          <cell r="D137">
            <v>1500</v>
          </cell>
          <cell r="F137">
            <v>1</v>
          </cell>
          <cell r="H137">
            <v>50</v>
          </cell>
          <cell r="I137">
            <v>2.5</v>
          </cell>
          <cell r="J137" t="str">
            <v>1FS5</v>
          </cell>
          <cell r="O137">
            <v>20</v>
          </cell>
          <cell r="R137" t="str">
            <v>REC670</v>
          </cell>
          <cell r="U137" t="str">
            <v>Not suitable</v>
          </cell>
        </row>
      </sheetData>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row r="148">
          <cell r="G148">
            <v>10</v>
          </cell>
        </row>
        <row r="260">
          <cell r="A260" t="str">
            <v>BC1</v>
          </cell>
          <cell r="B260" t="str">
            <v>Core5</v>
          </cell>
          <cell r="D260">
            <v>3150</v>
          </cell>
          <cell r="F260">
            <v>1</v>
          </cell>
          <cell r="G260">
            <v>100</v>
          </cell>
          <cell r="H260">
            <v>4</v>
          </cell>
          <cell r="I260" t="str">
            <v>PX</v>
          </cell>
          <cell r="K260">
            <v>10</v>
          </cell>
          <cell r="M260">
            <v>3150</v>
          </cell>
          <cell r="O260">
            <v>210.8</v>
          </cell>
          <cell r="Q260" t="str">
            <v>REB500</v>
          </cell>
          <cell r="S260" t="str">
            <v>Suitably Dimensioned</v>
          </cell>
        </row>
        <row r="261">
          <cell r="D261">
            <v>1500</v>
          </cell>
          <cell r="K261">
            <v>5</v>
          </cell>
          <cell r="M261">
            <v>1000</v>
          </cell>
          <cell r="O261">
            <v>147.72999999999999</v>
          </cell>
          <cell r="S261" t="str">
            <v>Suitably Dimensioned</v>
          </cell>
        </row>
        <row r="262">
          <cell r="D262" t="str">
            <v>-</v>
          </cell>
          <cell r="K262" t="str">
            <v>-</v>
          </cell>
          <cell r="M262" t="str">
            <v>-</v>
          </cell>
          <cell r="O262" t="str">
            <v>-</v>
          </cell>
          <cell r="S262" t="str">
            <v>-</v>
          </cell>
        </row>
      </sheetData>
      <sheetData sheetId="164" refreshError="1">
        <row r="40">
          <cell r="G40">
            <v>26.666666666666668</v>
          </cell>
        </row>
        <row r="141">
          <cell r="A141" t="str">
            <v>T2N</v>
          </cell>
          <cell r="B141" t="str">
            <v>Core2</v>
          </cell>
          <cell r="D141">
            <v>1500</v>
          </cell>
          <cell r="F141">
            <v>1</v>
          </cell>
          <cell r="G141">
            <v>50</v>
          </cell>
          <cell r="H141">
            <v>2.5</v>
          </cell>
          <cell r="I141" t="str">
            <v>5P</v>
          </cell>
          <cell r="J141">
            <v>20</v>
          </cell>
          <cell r="K141">
            <v>4</v>
          </cell>
          <cell r="M141">
            <v>15</v>
          </cell>
          <cell r="O141" t="str">
            <v>-</v>
          </cell>
          <cell r="Q141" t="str">
            <v>REF615</v>
          </cell>
          <cell r="S141" t="str">
            <v>Suitably Dimensioned</v>
          </cell>
        </row>
        <row r="142">
          <cell r="D142" t="str">
            <v>-</v>
          </cell>
          <cell r="K142" t="str">
            <v>-</v>
          </cell>
          <cell r="M142" t="str">
            <v>-</v>
          </cell>
          <cell r="O142" t="str">
            <v>-</v>
          </cell>
          <cell r="S142" t="str">
            <v>-</v>
          </cell>
        </row>
        <row r="143">
          <cell r="D143" t="str">
            <v>-</v>
          </cell>
          <cell r="K143" t="str">
            <v>-</v>
          </cell>
          <cell r="M143" t="str">
            <v>-</v>
          </cell>
          <cell r="O143" t="str">
            <v>-</v>
          </cell>
          <cell r="S143" t="str">
            <v>-</v>
          </cell>
        </row>
      </sheetData>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row r="40">
          <cell r="G40">
            <v>33.333333333333336</v>
          </cell>
        </row>
      </sheetData>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row r="36">
          <cell r="G36">
            <v>1.0404833234988959</v>
          </cell>
        </row>
        <row r="137">
          <cell r="G137" t="str">
            <v>/</v>
          </cell>
        </row>
      </sheetData>
      <sheetData sheetId="241" refreshError="1"/>
      <sheetData sheetId="242" refreshError="1"/>
      <sheetData sheetId="243" refreshError="1"/>
      <sheetData sheetId="244" refreshError="1"/>
      <sheetData sheetId="24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B650-X-dz (2)"/>
      <sheetName val="RED670_1.1-X (2)"/>
      <sheetName val="Revision Index"/>
      <sheetName val="Guidelines"/>
      <sheetName val="Sheet1"/>
      <sheetName val="Check meter-0.2FS"/>
      <sheetName val="SEL3-411L-X"/>
      <sheetName val="Title"/>
      <sheetName val="CT-VT Data"/>
      <sheetName val="SHT (Cable)"/>
      <sheetName val="CT-VT Data landscape"/>
      <sheetName val="Contents"/>
      <sheetName val="Notes"/>
      <sheetName val="CT Summary"/>
      <sheetName val="VT Summary"/>
      <sheetName val="CT-VT Burdens"/>
      <sheetName val="1"/>
      <sheetName val="Fault Calc (8)"/>
      <sheetName val="7SL87-X-1"/>
      <sheetName val="RED670_2.2C42-X-1"/>
      <sheetName val="P54x-X-2"/>
      <sheetName val="1 (2)"/>
      <sheetName val="Fault Calc (9)"/>
      <sheetName val="P54x-X (OHL)"/>
      <sheetName val="BCU-0.2FS  (2)"/>
      <sheetName val="7SL87-X-1 (2)"/>
      <sheetName val="RED670_2.2C42-X-1 (2)"/>
      <sheetName val="Main Meter-0.2FS "/>
      <sheetName val="2"/>
      <sheetName val="7SD522-X"/>
      <sheetName val="Parameters &amp; Fault Cal.(OHL)"/>
      <sheetName val="GRL100-X"/>
      <sheetName val="GRZ100-X"/>
      <sheetName val="Solkar-R-RF-X"/>
      <sheetName val="Solkar-N-X"/>
      <sheetName val="REB650-X -cz"/>
      <sheetName val="132kV CF-OTTCO"/>
      <sheetName val="RED670_2.2C42-X (2)"/>
      <sheetName val="132kV GT-ST_Feeder"/>
      <sheetName val="RET670_650-X"/>
      <sheetName val="RET670_650-X (HV)"/>
      <sheetName val="REC670-0.2FS (2)"/>
      <sheetName val="REQ650_BFR_5P"/>
      <sheetName val="REB650-X-dz (4)"/>
      <sheetName val="REB650-X -cz (3)"/>
      <sheetName val="BCU-5P"/>
      <sheetName val="SHT (OHL)"/>
      <sheetName val="RED670-X (OHL)"/>
      <sheetName val="7SA522-X (OHL)"/>
      <sheetName val="REL670_650-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X"/>
      <sheetName val="SEL487E-5P"/>
      <sheetName val="P63_-X"/>
      <sheetName val="DAD-X-dz Tx"/>
      <sheetName val="DAD-X -cz TX"/>
      <sheetName val="Hi Imp. REF-HV"/>
      <sheetName val="REF615 OC-5P"/>
      <sheetName val="RED670_2.2C42-X-2"/>
      <sheetName val="3"/>
      <sheetName val="REF615-X (OC)"/>
      <sheetName val="Hi Imp. REF-LV"/>
      <sheetName val="RET670_650-5P (LV)"/>
      <sheetName val="RET670_650-X (LV)"/>
      <sheetName val="REF615 OC-5P (3)"/>
      <sheetName val="SBEF-X"/>
      <sheetName val="SBEF-5P"/>
      <sheetName val="REF620-5P emf"/>
      <sheetName val="OC+FMS+BCU-X (TR)"/>
      <sheetName val="REB500-X"/>
      <sheetName val="RET615-5P_220-33kV Tx"/>
      <sheetName val="RET615-5P_220-33kV Tx (2)"/>
      <sheetName val="RET615-5P_220-33kV Tx (3)"/>
      <sheetName val="RET615-5P_220-33kV Tx (4)"/>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REB500-5P"/>
      <sheetName val="7SS5XX-X"/>
      <sheetName val="7SS5XX-5P"/>
      <sheetName val="P74X-X"/>
      <sheetName val="P74X-5P"/>
      <sheetName val="SEL487B-X"/>
      <sheetName val="SEL487B-5P"/>
      <sheetName val="MCAG-X"/>
      <sheetName val="SHT (MV Cable)"/>
      <sheetName val="RED615-X"/>
      <sheetName val="RED615-5P"/>
      <sheetName val="33kV_EMF"/>
      <sheetName val="REB650_BBP+EMF"/>
      <sheetName val="REF620-5P-33-EMF"/>
      <sheetName val="BC Metering"/>
      <sheetName val="DAD-X-dz BC"/>
      <sheetName val="DAD-X -cz BC"/>
      <sheetName val="SHT VT Cal"/>
      <sheetName val="132KV BusVT"/>
      <sheetName val="OTTCOfdrVT"/>
      <sheetName val="Line VT -OTTCO"/>
      <sheetName val="LINE--VT"/>
      <sheetName val="OC+FMS+BCU-X"/>
      <sheetName val="Fault Calc (3)"/>
      <sheetName val="SEL 411L-X-3"/>
      <sheetName val="RED670_2.2C42-X (3)-North line"/>
      <sheetName val="P54x-X-3"/>
      <sheetName val="4"/>
      <sheetName val="Fault Calc (4)"/>
      <sheetName val="SEL 411L-X-4"/>
      <sheetName val="RED670_2.2C42-X (4)-South line"/>
      <sheetName val="P54x-X-4"/>
      <sheetName val="5"/>
      <sheetName val="Fault Calc (5)"/>
      <sheetName val="GE T60-X-5"/>
      <sheetName val="SEL 451-X-5"/>
      <sheetName val="6"/>
      <sheetName val="Fault Calc (6)"/>
      <sheetName val="RED670_2.2C42-X-6"/>
      <sheetName val="P54x-X-6"/>
      <sheetName val="7"/>
      <sheetName val="Fault Calc (7)"/>
      <sheetName val="RED670_2.2C42-X-7"/>
      <sheetName val="P54x-X-7"/>
      <sheetName val="8"/>
      <sheetName val="SEL 451-X-8"/>
      <sheetName val="9"/>
      <sheetName val="Fault Calc"/>
      <sheetName val="REB650-X-dz"/>
      <sheetName val="P142-X (High Z)"/>
      <sheetName val="10"/>
      <sheetName val="Meter-0.2FS (New)"/>
      <sheetName val="Meter-0.2FS (New) (2)"/>
      <sheetName val="11"/>
      <sheetName val="Meter-0.2FS (New) (3)"/>
      <sheetName val="12"/>
      <sheetName val="Bus VT"/>
      <sheetName val="Line VT"/>
      <sheetName val="Sheet4"/>
      <sheetName val="Sheet5"/>
      <sheetName val="Parameters &amp; Fault Cal. (2)"/>
      <sheetName val="Sheet2"/>
      <sheetName val="Sheet3"/>
    </sheetNames>
    <sheetDataSet>
      <sheetData sheetId="0"/>
      <sheetData sheetId="1"/>
      <sheetData sheetId="2"/>
      <sheetData sheetId="3"/>
      <sheetData sheetId="4"/>
      <sheetData sheetId="5"/>
      <sheetData sheetId="6"/>
      <sheetData sheetId="7">
        <row r="1">
          <cell r="A1" t="str">
            <v/>
          </cell>
          <cell r="H1" t="str">
            <v>CT / VT</v>
          </cell>
        </row>
        <row r="2">
          <cell r="H2" t="str">
            <v>ADEQUACY CHECK</v>
          </cell>
          <cell r="O2" t="str">
            <v>Date</v>
          </cell>
        </row>
        <row r="3">
          <cell r="O3" t="str">
            <v>Document No.</v>
          </cell>
        </row>
        <row r="4">
          <cell r="O4" t="str">
            <v>Revision No.</v>
          </cell>
        </row>
        <row r="5">
          <cell r="A5" t="str">
            <v>Prep. By</v>
          </cell>
          <cell r="C5" t="str">
            <v>AK</v>
          </cell>
          <cell r="D5" t="str">
            <v>Checked By</v>
          </cell>
          <cell r="G5" t="str">
            <v>LN</v>
          </cell>
          <cell r="O5" t="str">
            <v>Contractor</v>
          </cell>
          <cell r="R5" t="str">
            <v>HITACHI ENERGY</v>
          </cell>
        </row>
      </sheetData>
      <sheetData sheetId="8"/>
      <sheetData sheetId="9"/>
      <sheetData sheetId="10"/>
      <sheetData sheetId="11"/>
      <sheetData sheetId="12"/>
      <sheetData sheetId="13"/>
      <sheetData sheetId="14"/>
      <sheetData sheetId="15">
        <row r="11">
          <cell r="S11">
            <v>6</v>
          </cell>
        </row>
      </sheetData>
      <sheetData sheetId="16"/>
      <sheetData sheetId="17">
        <row r="31">
          <cell r="Q31">
            <v>40000</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itle"/>
      <sheetName val="INDEX"/>
      <sheetName val="Notes Or Assumptions"/>
      <sheetName val="CT-VT Data landscape"/>
      <sheetName val="CT-VT Burdens"/>
      <sheetName val="5 (6)"/>
      <sheetName val="Parameters &amp; Fault Cal. (4)"/>
      <sheetName val="RED670_2.2C42-X (2)"/>
      <sheetName val="OC+BCPU+FMS-X"/>
      <sheetName val="OC+FMS+BFR-X (BS)"/>
      <sheetName val="BCU+OC-5P SEL751+7SJ85 (2)"/>
      <sheetName val="(Metering + Ammeter)"/>
      <sheetName val="Tariff Check-0.2FS  (3)"/>
      <sheetName val="5"/>
      <sheetName val="RET670_650-PX (HV) (2)"/>
      <sheetName val="SEL487E-X"/>
      <sheetName val="BCU+OC-5P SEL751+7SJ85"/>
      <sheetName val="Tariff Main-0.2FS "/>
      <sheetName val="Tariff Check-0.2FS  (2)"/>
      <sheetName val="7UT635-X"/>
      <sheetName val="OC+BCPU+FMS-X (2)"/>
      <sheetName val="Main Tariff Meter "/>
      <sheetName val="Check Tariff Meter + Ammeters"/>
      <sheetName val="5 (7)"/>
      <sheetName val="OC+BCPU+FMS-X (3)"/>
      <sheetName val="(Metering + Ammeter) (2)"/>
      <sheetName val="5 (8)"/>
      <sheetName val="OC+BCPU+FMS-X (4)"/>
      <sheetName val="(Metering + Ammeter) (3)"/>
      <sheetName val="5 (4)"/>
      <sheetName val="REB500-X (2)"/>
      <sheetName val="9"/>
      <sheetName val="Incomer VT"/>
      <sheetName val="Cable Feeder"/>
      <sheetName val="Bus VT (2)"/>
      <sheetName val="Bus VT (3)"/>
    </sheetNames>
    <sheetDataSet>
      <sheetData sheetId="0">
        <row r="1">
          <cell r="H1" t="str">
            <v>CT / VT</v>
          </cell>
          <cell r="O1" t="str">
            <v>Contract No.</v>
          </cell>
          <cell r="R1" t="str">
            <v>N-19957.1-DF5W</v>
          </cell>
        </row>
        <row r="2">
          <cell r="H2" t="str">
            <v>ADEQUACY CHECK</v>
          </cell>
          <cell r="O2" t="str">
            <v>Date</v>
          </cell>
          <cell r="R2">
            <v>45925</v>
          </cell>
        </row>
        <row r="3">
          <cell r="H3" t="str">
            <v>33kV DF5W SS</v>
          </cell>
          <cell r="O3" t="str">
            <v>Document No.</v>
          </cell>
          <cell r="R3" t="str">
            <v>-</v>
          </cell>
        </row>
        <row r="4">
          <cell r="O4" t="str">
            <v>Revision No.</v>
          </cell>
          <cell r="R4" t="str">
            <v>A</v>
          </cell>
        </row>
        <row r="5">
          <cell r="A5" t="str">
            <v>Prep. By</v>
          </cell>
          <cell r="C5" t="str">
            <v>AP</v>
          </cell>
          <cell r="D5" t="str">
            <v>Checked By</v>
          </cell>
          <cell r="G5" t="str">
            <v>RB</v>
          </cell>
          <cell r="O5" t="str">
            <v>Contractor</v>
          </cell>
          <cell r="R5" t="str">
            <v>HITACHI</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B650-X-dz (2)"/>
      <sheetName val="RED670_1.1-X (2)"/>
      <sheetName val="Revision Index"/>
      <sheetName val="Guidelines"/>
      <sheetName val="Sheet1"/>
      <sheetName val="Title"/>
      <sheetName val="INDEX"/>
      <sheetName val="Notes Or Assumptions"/>
      <sheetName val="CT-VT Data"/>
      <sheetName val="SHT (Cable)"/>
      <sheetName val="CT-VT Data landscape"/>
      <sheetName val="CT-VT Burdens"/>
      <sheetName val="Parameters &amp; Fault Cal.(OHL)"/>
      <sheetName val="1"/>
      <sheetName val="Parameters &amp; Fault Cal. (3)"/>
      <sheetName val="RED670_2.2C42-X (2)"/>
      <sheetName val="REB500-X (4)"/>
      <sheetName val="REB500-PX (5)"/>
      <sheetName val="REB500-5P"/>
      <sheetName val="2"/>
      <sheetName val="Parameters &amp; Fault Cal."/>
      <sheetName val="RED670_2.2C42-PX"/>
      <sheetName val="7SD522-X"/>
      <sheetName val="P54x-X"/>
      <sheetName val="SEL3-411L-X"/>
      <sheetName val="GRZ100-X"/>
      <sheetName val="Solkar-R-RF-X"/>
      <sheetName val="Solkar-N-X"/>
      <sheetName val="BCU-0.2FS  (2)"/>
      <sheetName val="REB650-X-dz"/>
      <sheetName val="REB650-X -cz"/>
      <sheetName val="132kV CF-OTTCO"/>
      <sheetName val="7SL86-X"/>
      <sheetName val="Main-Prometer100-0.2FS "/>
      <sheetName val="Check-Prometer100-0.2FS"/>
      <sheetName val="REB650-X-dz (3)"/>
      <sheetName val="REB650-X -cz (2)"/>
      <sheetName val="132kV GT-ST_Feeder"/>
      <sheetName val="RET670_650-X"/>
      <sheetName val="7SA522-X (OHL)"/>
      <sheetName val="REL670_2.2C42-X (3)"/>
      <sheetName val="REL670_2.2C42-X"/>
      <sheetName val="REB500-5P (2)"/>
      <sheetName val="REB500-X"/>
      <sheetName val="3"/>
      <sheetName val="REB500-5P (7)"/>
      <sheetName val="REB500-X (3)"/>
      <sheetName val="REB500-5P (8)"/>
      <sheetName val="4"/>
      <sheetName val="GRL100-X old superseded"/>
      <sheetName val="GRL100-X New"/>
      <sheetName val="RET670_650-X (HV)"/>
      <sheetName val="REF615-X"/>
      <sheetName val="REB500-5P (3)"/>
      <sheetName val="REB500-5P (4)"/>
      <sheetName val="RET615_AutoTrafo EHV REF (High)"/>
      <sheetName val="REF615 OC-5P (SBEF)"/>
      <sheetName val="REF615 OC-5P"/>
      <sheetName val="RET615_REF (High)"/>
      <sheetName val="RET670_650-5P (LV)"/>
      <sheetName val="REC670-0.2FS (2)"/>
      <sheetName val="REQ650_BFR_5P"/>
      <sheetName val="REB650-X-dz (4)"/>
      <sheetName val="REB650-X -cz (3)"/>
      <sheetName val="BCU-5P"/>
      <sheetName val="SHT (OHL)"/>
      <sheetName val="RED670-X (OHL)"/>
      <sheetName val="P54x-X (OHL)"/>
      <sheetName val="REL670_650-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X"/>
      <sheetName val="SEL487E-5P"/>
      <sheetName val="P63_-X"/>
      <sheetName val="DAD-X-dz Tx"/>
      <sheetName val="DAD-X -cz TX"/>
      <sheetName val="RET670-X_Cable Diff (High) (Ph)"/>
      <sheetName val="REF615 OC-5P (5)"/>
      <sheetName val="RET670_650-X (LV)"/>
      <sheetName val="REF615 OC-5P (3)"/>
      <sheetName val="SBEF-X"/>
      <sheetName val="SBEF-5P"/>
      <sheetName val="OC+FMS+BCU-X (TR)"/>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7SS5XX-X"/>
      <sheetName val="7SS5XX-5P"/>
      <sheetName val="P74X-X"/>
      <sheetName val="P74X-5P"/>
      <sheetName val="SEL487B-X"/>
      <sheetName val="SEL487B-5P"/>
      <sheetName val="MCAG-X"/>
      <sheetName val="SHT (MV Cable)"/>
      <sheetName val="RED615-X"/>
      <sheetName val="RED615-5P"/>
      <sheetName val="33kV_EMF"/>
      <sheetName val="REF620-5P emf"/>
      <sheetName val="REB650_BBP+EMF"/>
      <sheetName val="REF620-5P-33-EMF"/>
      <sheetName val="BC Metering"/>
      <sheetName val="DAD-X-dz BC"/>
      <sheetName val="DAD-X -cz BC"/>
      <sheetName val="Bus VT"/>
      <sheetName val="ZIV RTF"/>
      <sheetName val="RET670-X_Cable (Reactor fdr)"/>
      <sheetName val="RET670_650-X (TV)"/>
      <sheetName val="RET670-X_Reactor Diff (High)"/>
      <sheetName val="RET615-X_Reactor REF (High)"/>
      <sheetName val="RED670_2.2-5P"/>
      <sheetName val="5"/>
      <sheetName val="RET615-5P_220-33kV Tx"/>
      <sheetName val="RET670_650-X (HV) (2)"/>
      <sheetName val="REF615 OC-10P (11)"/>
      <sheetName val="REB500-5P (5)"/>
      <sheetName val="RET615_REF (High) (2)"/>
      <sheetName val="RET615__LV_REF (High) (15)"/>
      <sheetName val="REB500-5P (6)"/>
      <sheetName val="REF615 OC-5P_EHV_SBEF(7)"/>
      <sheetName val="REF615 OC-5P_HV_SBEF(8)"/>
      <sheetName val="RET670_650-X (LV) (3)"/>
      <sheetName val="RET615__LV_REF (High) (14)"/>
      <sheetName val="RET615__LV_REF (High) (4)"/>
      <sheetName val="RET670_650-5P (LV) (2)"/>
      <sheetName val="6"/>
      <sheetName val="REF615 OC-5P (6)"/>
      <sheetName val="RET670_650-5P (LV) (3)"/>
      <sheetName val="RET615_REF (High) (3)"/>
      <sheetName val="REF615 OC-5P (8)"/>
      <sheetName val="REF615 OC-5P (9)"/>
      <sheetName val="REF615 OC-5P (10)"/>
      <sheetName val="REB500-5P (10)"/>
      <sheetName val="REB500-5P (9)"/>
      <sheetName val="7"/>
      <sheetName val="REB500-5P (11)"/>
      <sheetName val="REB500-5P (12)"/>
      <sheetName val="8"/>
      <sheetName val="REB500-X (6)"/>
      <sheetName val="REB500-5P (14)"/>
      <sheetName val="9"/>
      <sheetName val="Line VT"/>
      <sheetName val="OC+FMS+BCU-X"/>
      <sheetName val="Sheet2"/>
      <sheetName val="Sheet3"/>
    </sheetNames>
    <sheetDataSet>
      <sheetData sheetId="0"/>
      <sheetData sheetId="1"/>
      <sheetData sheetId="2"/>
      <sheetData sheetId="3"/>
      <sheetData sheetId="4"/>
      <sheetData sheetId="5">
        <row r="1">
          <cell r="A1" t="str">
            <v/>
          </cell>
          <cell r="H1" t="str">
            <v>CT / VT</v>
          </cell>
          <cell r="O1" t="str">
            <v>Contract No.</v>
          </cell>
          <cell r="R1" t="str">
            <v>N-16682</v>
          </cell>
        </row>
        <row r="2">
          <cell r="H2" t="str">
            <v>CALCULATION</v>
          </cell>
          <cell r="O2" t="str">
            <v>Date</v>
          </cell>
          <cell r="R2">
            <v>45276</v>
          </cell>
        </row>
        <row r="3">
          <cell r="A3" t="str">
            <v>HITACHI ENERGY - GRID AUTOMATION</v>
          </cell>
          <cell r="O3" t="str">
            <v>Document No.</v>
          </cell>
          <cell r="R3" t="str">
            <v>N16682-CB-0070-J-7901</v>
          </cell>
        </row>
        <row r="4">
          <cell r="O4" t="str">
            <v>Revision No.</v>
          </cell>
          <cell r="R4" t="str">
            <v>A</v>
          </cell>
        </row>
        <row r="5">
          <cell r="A5" t="str">
            <v>Prep. By</v>
          </cell>
          <cell r="C5" t="str">
            <v>PK</v>
          </cell>
          <cell r="D5" t="str">
            <v>Checked By</v>
          </cell>
          <cell r="G5" t="str">
            <v>RN</v>
          </cell>
          <cell r="O5" t="str">
            <v>Contractor</v>
          </cell>
          <cell r="R5" t="str">
            <v>HITACHI ENERGY</v>
          </cell>
        </row>
      </sheetData>
      <sheetData sheetId="6"/>
      <sheetData sheetId="7"/>
      <sheetData sheetId="8"/>
      <sheetData sheetId="9"/>
      <sheetData sheetId="10"/>
      <sheetData sheetId="11">
        <row r="10">
          <cell r="S10">
            <v>4</v>
          </cell>
        </row>
        <row r="18">
          <cell r="S18">
            <v>1</v>
          </cell>
        </row>
        <row r="19">
          <cell r="S19">
            <v>100</v>
          </cell>
        </row>
      </sheetData>
      <sheetData sheetId="12"/>
      <sheetData sheetId="13"/>
      <sheetData sheetId="14"/>
      <sheetData sheetId="15"/>
      <sheetData sheetId="16"/>
      <sheetData sheetId="17"/>
      <sheetData sheetId="18"/>
      <sheetData sheetId="19"/>
      <sheetData sheetId="20">
        <row r="12">
          <cell r="Q12">
            <v>132</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B650-X-dz (2)"/>
      <sheetName val="RED670_1.1-X (2)"/>
      <sheetName val="Revision Index"/>
      <sheetName val="Guidelines"/>
      <sheetName val="Sheet1"/>
      <sheetName val="Check meter-0.2FS"/>
      <sheetName val="SEL3-411L-X"/>
      <sheetName val="Title"/>
      <sheetName val="CT-VT Data"/>
      <sheetName val="SHT (Cable)"/>
      <sheetName val="CT-VT Data landscape"/>
      <sheetName val="Contents"/>
      <sheetName val="Notes"/>
      <sheetName val="CT Summary"/>
      <sheetName val="VT Summary"/>
      <sheetName val="CT-VT Burdens"/>
      <sheetName val="1"/>
      <sheetName val="Fault Calc (8)"/>
      <sheetName val="7SL87-X-1"/>
      <sheetName val="RED670_2.2C42-X-1"/>
      <sheetName val="1 (2)"/>
      <sheetName val="Fault Calc (9)"/>
      <sheetName val="7SL87-X-1 (2)"/>
      <sheetName val="RED670_2.2C42-X-1 (2)"/>
      <sheetName val="Main Meter-0.2FS "/>
      <sheetName val="P54x-X-2"/>
      <sheetName val="2"/>
      <sheetName val="7SD522-X"/>
      <sheetName val="Parameters &amp; Fault Cal.(OHL)"/>
      <sheetName val="GRL100-X"/>
      <sheetName val="GRZ100-X"/>
      <sheetName val="Solkar-R-RF-X"/>
      <sheetName val="Solkar-N-X"/>
      <sheetName val="BCU-0.2FS  (2)"/>
      <sheetName val="REB650-X -cz"/>
      <sheetName val="132kV CF-OTTCO"/>
      <sheetName val="RED670_2.2C42-X (2)"/>
      <sheetName val="132kV GT-ST_Feeder"/>
      <sheetName val="RET670_650-X"/>
      <sheetName val="RET670_650-X (HV)"/>
      <sheetName val="REC670-0.2FS (2)"/>
      <sheetName val="REQ650_BFR_5P"/>
      <sheetName val="REB650-X-dz (4)"/>
      <sheetName val="REB650-X -cz (3)"/>
      <sheetName val="BCU-5P"/>
      <sheetName val="SHT (OHL)"/>
      <sheetName val="RED670-X (OHL)"/>
      <sheetName val="7SA522-X (OHL)"/>
      <sheetName val="P54x-X (OHL)"/>
      <sheetName val="REL670_650-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X"/>
      <sheetName val="SEL487E-5P"/>
      <sheetName val="P63_-X"/>
      <sheetName val="DAD-X-dz Tx"/>
      <sheetName val="DAD-X -cz TX"/>
      <sheetName val="Hi Imp. REF-HV"/>
      <sheetName val="REF615 OC-5P"/>
      <sheetName val="RED670_2.2C42-X-2"/>
      <sheetName val="3"/>
      <sheetName val="REF615-X (OC)"/>
      <sheetName val="Hi Imp. REF-LV"/>
      <sheetName val="RET670_650-5P (LV)"/>
      <sheetName val="RET670_650-X (LV)"/>
      <sheetName val="REF615 OC-5P (3)"/>
      <sheetName val="SBEF-X"/>
      <sheetName val="SBEF-5P"/>
      <sheetName val="OC+FMS+BCU-X (TR)"/>
      <sheetName val="REB500-X"/>
      <sheetName val="RET615-5P_220-33kV Tx"/>
      <sheetName val="RET615-5P_220-33kV Tx (2)"/>
      <sheetName val="RET615-5P_220-33kV Tx (3)"/>
      <sheetName val="RET615-5P_220-33kV Tx (4)"/>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REB500-5P"/>
      <sheetName val="7SS5XX-X"/>
      <sheetName val="7SS5XX-5P"/>
      <sheetName val="P74X-X"/>
      <sheetName val="P74X-5P"/>
      <sheetName val="SEL487B-X"/>
      <sheetName val="SEL487B-5P"/>
      <sheetName val="MCAG-X"/>
      <sheetName val="SHT (MV Cable)"/>
      <sheetName val="RED615-X"/>
      <sheetName val="RED615-5P"/>
      <sheetName val="33kV_EMF"/>
      <sheetName val="REF620-5P emf"/>
      <sheetName val="REB650_BBP+EMF"/>
      <sheetName val="REF620-5P-33-EMF"/>
      <sheetName val="BC Metering"/>
      <sheetName val="DAD-X-dz BC"/>
      <sheetName val="DAD-X -cz BC"/>
      <sheetName val="SHT VT Cal"/>
      <sheetName val="132KV BusVT"/>
      <sheetName val="OTTCOfdrVT"/>
      <sheetName val="Line VT -OTTCO"/>
      <sheetName val="LINE--VT"/>
      <sheetName val="OC+FMS+BCU-X"/>
      <sheetName val="Fault Calc (3)"/>
      <sheetName val="SEL 411L-X-3"/>
      <sheetName val="RED670_2.2C42-X (3)-North line"/>
      <sheetName val="P54x-X-3"/>
      <sheetName val="4"/>
      <sheetName val="Fault Calc (4)"/>
      <sheetName val="SEL 411L-X-4"/>
      <sheetName val="RED670_2.2C42-X (4)-South line"/>
      <sheetName val="P54x-X-4"/>
      <sheetName val="5"/>
      <sheetName val="Fault Calc (5)"/>
      <sheetName val="GE T60-X-5"/>
      <sheetName val="SEL 451-X-5"/>
      <sheetName val="6"/>
      <sheetName val="Fault Calc (6)"/>
      <sheetName val="RED670_2.2C42-X-6"/>
      <sheetName val="P54x-X-6"/>
      <sheetName val="7"/>
      <sheetName val="Fault Calc (7)"/>
      <sheetName val="RED670_2.2C42-X-7"/>
      <sheetName val="P54x-X-7"/>
      <sheetName val="8"/>
      <sheetName val="SEL 451-X-8"/>
      <sheetName val="9"/>
      <sheetName val="Fault Calc"/>
      <sheetName val="REB650-X-dz"/>
      <sheetName val="P142-X (High Z)"/>
      <sheetName val="10"/>
      <sheetName val="Meter-0.2FS (New)"/>
      <sheetName val="Meter-0.2FS (New) (2)"/>
      <sheetName val="11"/>
      <sheetName val="Meter-0.2FS (New) (3)"/>
      <sheetName val="12"/>
      <sheetName val="Bus VT"/>
      <sheetName val="Line VT"/>
      <sheetName val="Parameters &amp; Fault Cal. (2)"/>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11">
          <cell r="S11">
            <v>6</v>
          </cell>
        </row>
        <row r="19">
          <cell r="S19">
            <v>1</v>
          </cell>
        </row>
        <row r="20">
          <cell r="S20">
            <v>75</v>
          </cell>
        </row>
        <row r="23">
          <cell r="S23">
            <v>0.56186130000000001</v>
          </cell>
        </row>
        <row r="64">
          <cell r="Q64">
            <v>0.1</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row r="11">
          <cell r="Q11">
            <v>23.6</v>
          </cell>
        </row>
        <row r="31">
          <cell r="Q31">
            <v>55677</v>
          </cell>
        </row>
        <row r="53">
          <cell r="E53">
            <v>44.649765884250023</v>
          </cell>
        </row>
        <row r="107">
          <cell r="M107">
            <v>54458.667796386726</v>
          </cell>
        </row>
      </sheetData>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row r="31">
          <cell r="Q31">
            <v>55677</v>
          </cell>
        </row>
      </sheetData>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B650-X-dz (2)"/>
      <sheetName val="RED670_1.1-X (2)"/>
      <sheetName val="Revision Index"/>
      <sheetName val="Guidelines"/>
      <sheetName val="Sheet1"/>
      <sheetName val="Title"/>
      <sheetName val="INDEX"/>
      <sheetName val="Notes Or Assumptions"/>
      <sheetName val="CT-VT Data"/>
      <sheetName val="SHT (Cable)"/>
      <sheetName val="CT-VT Data landscape"/>
      <sheetName val="CT-VT Burdens"/>
      <sheetName val="RED670_2.2C42-X"/>
      <sheetName val="7SD522-X"/>
      <sheetName val="Parameters &amp; Fault Cal.(OHL)"/>
      <sheetName val="P54x-X"/>
      <sheetName val="SEL3-411L-X"/>
      <sheetName val="GRZ100-X"/>
      <sheetName val="Solkar-R-RF-X"/>
      <sheetName val="Solkar-N-X"/>
      <sheetName val="BCU-0.2FS  (2)"/>
      <sheetName val="REB650-X-dz"/>
      <sheetName val="REB650-X -cz"/>
      <sheetName val="132kV CF-OTTCO"/>
      <sheetName val="Main-Prometer100-0.2FS "/>
      <sheetName val="Check-Prometer100-0.2FS"/>
      <sheetName val="REB650-X-dz (3)"/>
      <sheetName val="REB650-X -cz (2)"/>
      <sheetName val="132kV GT-ST_Feeder"/>
      <sheetName val="RET670_650-X"/>
      <sheetName val="REB500-X"/>
      <sheetName val="GRL100-X old superseded"/>
      <sheetName val="RET670_650-X (HV)"/>
      <sheetName val="REC670-0.2FS (2)"/>
      <sheetName val="REQ650_BFR_5P"/>
      <sheetName val="REB650-X-dz (4)"/>
      <sheetName val="REB650-X -cz (3)"/>
      <sheetName val="BCU-5P"/>
      <sheetName val="SHT (OHL)"/>
      <sheetName val="RED670-X (OHL)"/>
      <sheetName val="7SA522-X (OHL)"/>
      <sheetName val="P54x-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X"/>
      <sheetName val="SEL487E-5P"/>
      <sheetName val="P63_-X"/>
      <sheetName val="REF615 OC-5P"/>
      <sheetName val="Hi Imp. REF-HV"/>
      <sheetName val="DAD-X-dz Tx"/>
      <sheetName val="DAD-X -cz TX"/>
      <sheetName val="OC+FMS+BCU-X (OHL)"/>
      <sheetName val="RET670_650-5P (LV)"/>
      <sheetName val="Hi Imp. REF-LV"/>
      <sheetName val="RET670_650-X (LV)"/>
      <sheetName val="REB500-X High Imp"/>
      <sheetName val="REF615 OC-5P (3)"/>
      <sheetName val="SBEF-X"/>
      <sheetName val="SBEF-5P"/>
      <sheetName val="OC+FMS+BCU-X (TR)"/>
      <sheetName val="RET615-5P_220-33kV Tx"/>
      <sheetName val="RET615-5P_220-33kV Tx (2)"/>
      <sheetName val="RET615-5P_220-33kV Tx (3)"/>
      <sheetName val="RET615-5P_220-33kV Tx (4)"/>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7SS5XX-X"/>
      <sheetName val="7SS5XX-5P"/>
      <sheetName val="P74X-X"/>
      <sheetName val="P74X-5P"/>
      <sheetName val="SEL487B-X"/>
      <sheetName val="SEL487B-5P"/>
      <sheetName val="MCAG-X"/>
      <sheetName val="SHT (MV Cable)"/>
      <sheetName val="RED615-X"/>
      <sheetName val="RED615-5P"/>
      <sheetName val="33kV_EMF"/>
      <sheetName val="REF620-5P emf"/>
      <sheetName val="REB650_BBP+EMF"/>
      <sheetName val="REF620-5P-33-EMF"/>
      <sheetName val="BC Metering"/>
      <sheetName val="DAD-X-dz BC"/>
      <sheetName val="DAD-X -cz BC"/>
      <sheetName val="Bus VT"/>
      <sheetName val="ZIV RTF"/>
      <sheetName val="REL670_650-X (OHL)"/>
      <sheetName val="7SL86-X"/>
      <sheetName val="Parameters &amp; Fault Cal."/>
      <sheetName val="Parameters &amp; Fault Cal. (2)"/>
      <sheetName val="Parameters &amp; Fault Cal. (3)"/>
      <sheetName val="Parameters &amp; Fault Cal. (4)"/>
      <sheetName val="5"/>
      <sheetName val="GRL100-X New"/>
      <sheetName val="RED670_2.2 C42-5P"/>
      <sheetName val="CT-VT Burdens (2)"/>
      <sheetName val="Parameters &amp; Fault Cal. (5)"/>
      <sheetName val="RED670_2.2 C42-5P (4)"/>
      <sheetName val="7SL86-5P"/>
      <sheetName val="REB500-5P"/>
      <sheetName val="6"/>
      <sheetName val="RED670_2.2 C42-5P (2)"/>
      <sheetName val="7SL86-5P (2)"/>
      <sheetName val="REB500-5P (2)"/>
      <sheetName val="7"/>
      <sheetName val="GRL100-5P"/>
      <sheetName val="REL670_2.2 C42-5P (2)"/>
      <sheetName val="REB500-5P (3)"/>
      <sheetName val="8"/>
      <sheetName val="RED670_2.2 C42-5P (3)"/>
      <sheetName val="REL670_2.2 C42-5P (3)"/>
      <sheetName val="REB500-5P (4)"/>
      <sheetName val="9"/>
      <sheetName val="REB500-5P (5)"/>
      <sheetName val="10"/>
      <sheetName val="REB500-5P (6)"/>
      <sheetName val="11"/>
      <sheetName val="REB500-5P (7)"/>
      <sheetName val="12"/>
      <sheetName val="REB500-5P (8)"/>
      <sheetName val="13"/>
      <sheetName val="REB500-5P (9)"/>
      <sheetName val="14"/>
      <sheetName val="REB500-5P (10)"/>
      <sheetName val="15"/>
      <sheetName val="Line VT"/>
      <sheetName val="OC+FMS+BCU-X"/>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row r="10">
          <cell r="S10">
            <v>4</v>
          </cell>
        </row>
        <row r="19">
          <cell r="S19">
            <v>20</v>
          </cell>
        </row>
        <row r="22">
          <cell r="S22">
            <v>0.23593310000000001</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row r="31">
          <cell r="Q31">
            <v>17140</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trlProp" Target="../ctrlProps/ctrlProp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trlProp" Target="../ctrlProps/ctrlProp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6.bin"/><Relationship Id="rId5" Type="http://schemas.openxmlformats.org/officeDocument/2006/relationships/comments" Target="../comments1.xml"/><Relationship Id="rId4" Type="http://schemas.openxmlformats.org/officeDocument/2006/relationships/ctrlProp" Target="../ctrlProps/ctrlProp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7.bin"/><Relationship Id="rId5" Type="http://schemas.openxmlformats.org/officeDocument/2006/relationships/comments" Target="../comments2.xml"/><Relationship Id="rId4" Type="http://schemas.openxmlformats.org/officeDocument/2006/relationships/ctrlProp" Target="../ctrlProps/ctrlProp4.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8.bin"/><Relationship Id="rId4" Type="http://schemas.openxmlformats.org/officeDocument/2006/relationships/ctrlProp" Target="../ctrlProps/ctrlProp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16.bin"/><Relationship Id="rId4" Type="http://schemas.openxmlformats.org/officeDocument/2006/relationships/ctrlProp" Target="../ctrlProps/ctrlProp6.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22.bin"/><Relationship Id="rId4" Type="http://schemas.openxmlformats.org/officeDocument/2006/relationships/ctrlProp" Target="../ctrlProps/ctrlProp7.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33.bin"/><Relationship Id="rId4" Type="http://schemas.openxmlformats.org/officeDocument/2006/relationships/ctrlProp" Target="../ctrlProps/ctrlProp8.xml"/></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36.bin"/><Relationship Id="rId4" Type="http://schemas.openxmlformats.org/officeDocument/2006/relationships/ctrlProp" Target="../ctrlProps/ctrlProp9.xml"/></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39.bin"/><Relationship Id="rId4" Type="http://schemas.openxmlformats.org/officeDocument/2006/relationships/ctrlProp" Target="../ctrlProps/ctrlProp10.xml"/></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48.bin"/><Relationship Id="rId4" Type="http://schemas.openxmlformats.org/officeDocument/2006/relationships/ctrlProp" Target="../ctrlProps/ctrlProp11.xml"/></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2.xml"/><Relationship Id="rId1" Type="http://schemas.openxmlformats.org/officeDocument/2006/relationships/printerSettings" Target="../printerSettings/printerSettings56.bin"/><Relationship Id="rId4" Type="http://schemas.openxmlformats.org/officeDocument/2006/relationships/ctrlProp" Target="../ctrlProps/ctrlProp12.xml"/></Relationships>
</file>

<file path=xl/worksheets/_rels/sheet57.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3.xml"/><Relationship Id="rId1" Type="http://schemas.openxmlformats.org/officeDocument/2006/relationships/printerSettings" Target="../printerSettings/printerSettings57.bin"/><Relationship Id="rId4" Type="http://schemas.openxmlformats.org/officeDocument/2006/relationships/ctrlProp" Target="../ctrlProps/ctrlProp13.xml"/></Relationships>
</file>

<file path=xl/worksheets/_rels/sheet58.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4.xml"/><Relationship Id="rId1" Type="http://schemas.openxmlformats.org/officeDocument/2006/relationships/printerSettings" Target="../printerSettings/printerSettings58.bin"/><Relationship Id="rId4" Type="http://schemas.openxmlformats.org/officeDocument/2006/relationships/ctrlProp" Target="../ctrlProps/ctrlProp14.xml"/></Relationships>
</file>

<file path=xl/worksheets/_rels/sheet59.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5.xml"/><Relationship Id="rId1" Type="http://schemas.openxmlformats.org/officeDocument/2006/relationships/printerSettings" Target="../printerSettings/printerSettings59.bin"/><Relationship Id="rId4" Type="http://schemas.openxmlformats.org/officeDocument/2006/relationships/ctrlProp" Target="../ctrlProps/ctrlProp15.xml"/></Relationships>
</file>

<file path=xl/worksheets/_rels/sheet60.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6.xml"/><Relationship Id="rId1" Type="http://schemas.openxmlformats.org/officeDocument/2006/relationships/printerSettings" Target="../printerSettings/printerSettings60.bin"/><Relationship Id="rId4" Type="http://schemas.openxmlformats.org/officeDocument/2006/relationships/ctrlProp" Target="../ctrlProps/ctrlProp16.xml"/></Relationships>
</file>

<file path=xl/worksheets/_rels/sheet61.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7.xml"/><Relationship Id="rId1" Type="http://schemas.openxmlformats.org/officeDocument/2006/relationships/printerSettings" Target="../printerSettings/printerSettings61.bin"/><Relationship Id="rId4" Type="http://schemas.openxmlformats.org/officeDocument/2006/relationships/ctrlProp" Target="../ctrlProps/ctrlProp17.xml"/></Relationships>
</file>

<file path=xl/worksheets/_rels/sheet62.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8.xml"/><Relationship Id="rId1" Type="http://schemas.openxmlformats.org/officeDocument/2006/relationships/printerSettings" Target="../printerSettings/printerSettings62.bin"/><Relationship Id="rId4" Type="http://schemas.openxmlformats.org/officeDocument/2006/relationships/ctrlProp" Target="../ctrlProps/ctrlProp18.xml"/></Relationships>
</file>

<file path=xl/worksheets/_rels/sheet63.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19.xml"/><Relationship Id="rId1" Type="http://schemas.openxmlformats.org/officeDocument/2006/relationships/printerSettings" Target="../printerSettings/printerSettings63.bin"/><Relationship Id="rId4" Type="http://schemas.openxmlformats.org/officeDocument/2006/relationships/ctrlProp" Target="../ctrlProps/ctrlProp19.xml"/></Relationships>
</file>

<file path=xl/worksheets/_rels/sheet64.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20.xml"/><Relationship Id="rId1" Type="http://schemas.openxmlformats.org/officeDocument/2006/relationships/printerSettings" Target="../printerSettings/printerSettings64.bin"/><Relationship Id="rId4" Type="http://schemas.openxmlformats.org/officeDocument/2006/relationships/ctrlProp" Target="../ctrlProps/ctrlProp20.xml"/></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51D02-D4FC-4C11-9319-806A440254BB}">
  <sheetPr codeName="Sheet3">
    <tabColor indexed="44"/>
  </sheetPr>
  <dimension ref="A1:AA45"/>
  <sheetViews>
    <sheetView view="pageBreakPreview" zoomScaleNormal="100" zoomScaleSheetLayoutView="100" workbookViewId="0">
      <selection activeCell="K13" sqref="K13"/>
    </sheetView>
  </sheetViews>
  <sheetFormatPr defaultColWidth="4.33203125" defaultRowHeight="18" customHeight="1"/>
  <cols>
    <col min="22" max="22" width="3.6640625" customWidth="1"/>
    <col min="278" max="278" width="3.6640625" customWidth="1"/>
    <col min="534" max="534" width="3.6640625" customWidth="1"/>
    <col min="790" max="790" width="3.6640625" customWidth="1"/>
    <col min="1046" max="1046" width="3.6640625" customWidth="1"/>
    <col min="1302" max="1302" width="3.6640625" customWidth="1"/>
    <col min="1558" max="1558" width="3.6640625" customWidth="1"/>
    <col min="1814" max="1814" width="3.6640625" customWidth="1"/>
    <col min="2070" max="2070" width="3.6640625" customWidth="1"/>
    <col min="2326" max="2326" width="3.6640625" customWidth="1"/>
    <col min="2582" max="2582" width="3.6640625" customWidth="1"/>
    <col min="2838" max="2838" width="3.6640625" customWidth="1"/>
    <col min="3094" max="3094" width="3.6640625" customWidth="1"/>
    <col min="3350" max="3350" width="3.6640625" customWidth="1"/>
    <col min="3606" max="3606" width="3.6640625" customWidth="1"/>
    <col min="3862" max="3862" width="3.6640625" customWidth="1"/>
    <col min="4118" max="4118" width="3.6640625" customWidth="1"/>
    <col min="4374" max="4374" width="3.6640625" customWidth="1"/>
    <col min="4630" max="4630" width="3.6640625" customWidth="1"/>
    <col min="4886" max="4886" width="3.6640625" customWidth="1"/>
    <col min="5142" max="5142" width="3.6640625" customWidth="1"/>
    <col min="5398" max="5398" width="3.6640625" customWidth="1"/>
    <col min="5654" max="5654" width="3.6640625" customWidth="1"/>
    <col min="5910" max="5910" width="3.6640625" customWidth="1"/>
    <col min="6166" max="6166" width="3.6640625" customWidth="1"/>
    <col min="6422" max="6422" width="3.6640625" customWidth="1"/>
    <col min="6678" max="6678" width="3.6640625" customWidth="1"/>
    <col min="6934" max="6934" width="3.6640625" customWidth="1"/>
    <col min="7190" max="7190" width="3.6640625" customWidth="1"/>
    <col min="7446" max="7446" width="3.6640625" customWidth="1"/>
    <col min="7702" max="7702" width="3.6640625" customWidth="1"/>
    <col min="7958" max="7958" width="3.6640625" customWidth="1"/>
    <col min="8214" max="8214" width="3.6640625" customWidth="1"/>
    <col min="8470" max="8470" width="3.6640625" customWidth="1"/>
    <col min="8726" max="8726" width="3.6640625" customWidth="1"/>
    <col min="8982" max="8982" width="3.6640625" customWidth="1"/>
    <col min="9238" max="9238" width="3.6640625" customWidth="1"/>
    <col min="9494" max="9494" width="3.6640625" customWidth="1"/>
    <col min="9750" max="9750" width="3.6640625" customWidth="1"/>
    <col min="10006" max="10006" width="3.6640625" customWidth="1"/>
    <col min="10262" max="10262" width="3.6640625" customWidth="1"/>
    <col min="10518" max="10518" width="3.6640625" customWidth="1"/>
    <col min="10774" max="10774" width="3.6640625" customWidth="1"/>
    <col min="11030" max="11030" width="3.6640625" customWidth="1"/>
    <col min="11286" max="11286" width="3.6640625" customWidth="1"/>
    <col min="11542" max="11542" width="3.6640625" customWidth="1"/>
    <col min="11798" max="11798" width="3.6640625" customWidth="1"/>
    <col min="12054" max="12054" width="3.6640625" customWidth="1"/>
    <col min="12310" max="12310" width="3.6640625" customWidth="1"/>
    <col min="12566" max="12566" width="3.6640625" customWidth="1"/>
    <col min="12822" max="12822" width="3.6640625" customWidth="1"/>
    <col min="13078" max="13078" width="3.6640625" customWidth="1"/>
    <col min="13334" max="13334" width="3.6640625" customWidth="1"/>
    <col min="13590" max="13590" width="3.6640625" customWidth="1"/>
    <col min="13846" max="13846" width="3.6640625" customWidth="1"/>
    <col min="14102" max="14102" width="3.6640625" customWidth="1"/>
    <col min="14358" max="14358" width="3.6640625" customWidth="1"/>
    <col min="14614" max="14614" width="3.6640625" customWidth="1"/>
    <col min="14870" max="14870" width="3.6640625" customWidth="1"/>
    <col min="15126" max="15126" width="3.6640625" customWidth="1"/>
    <col min="15382" max="15382" width="3.6640625" customWidth="1"/>
    <col min="15638" max="15638" width="3.6640625" customWidth="1"/>
    <col min="15894" max="15894" width="3.6640625" customWidth="1"/>
    <col min="16150" max="16150" width="3.6640625" customWidth="1"/>
  </cols>
  <sheetData>
    <row r="1" spans="1:27" s="6" customFormat="1" ht="18" customHeight="1">
      <c r="A1" s="748" t="s">
        <v>0</v>
      </c>
      <c r="B1" s="749"/>
      <c r="C1" s="749"/>
      <c r="D1" s="749"/>
      <c r="E1" s="749"/>
      <c r="F1" s="749"/>
      <c r="G1" s="750"/>
      <c r="H1" s="726" t="s">
        <v>1</v>
      </c>
      <c r="I1" s="757"/>
      <c r="J1" s="757"/>
      <c r="K1" s="757"/>
      <c r="L1" s="757"/>
      <c r="M1" s="757"/>
      <c r="N1" s="758"/>
      <c r="O1" s="702" t="s">
        <v>2</v>
      </c>
      <c r="P1" s="703"/>
      <c r="Q1" s="704"/>
      <c r="R1" s="759" t="s">
        <v>3</v>
      </c>
      <c r="S1" s="746"/>
      <c r="T1" s="746"/>
      <c r="U1" s="746"/>
      <c r="V1" s="747"/>
      <c r="W1" s="4"/>
      <c r="X1" s="4"/>
      <c r="Y1" s="5"/>
      <c r="Z1" s="5"/>
      <c r="AA1" s="5"/>
    </row>
    <row r="2" spans="1:27" ht="18" customHeight="1">
      <c r="A2" s="751"/>
      <c r="B2" s="752"/>
      <c r="C2" s="752"/>
      <c r="D2" s="752"/>
      <c r="E2" s="752"/>
      <c r="F2" s="752"/>
      <c r="G2" s="753"/>
      <c r="H2" s="729" t="s">
        <v>4</v>
      </c>
      <c r="I2" s="760"/>
      <c r="J2" s="760"/>
      <c r="K2" s="760"/>
      <c r="L2" s="760"/>
      <c r="M2" s="760"/>
      <c r="N2" s="761"/>
      <c r="O2" s="702" t="s">
        <v>5</v>
      </c>
      <c r="P2" s="703"/>
      <c r="Q2" s="704"/>
      <c r="R2" s="762">
        <v>46106</v>
      </c>
      <c r="S2" s="746"/>
      <c r="T2" s="746"/>
      <c r="U2" s="746"/>
      <c r="V2" s="747"/>
    </row>
    <row r="3" spans="1:27" ht="23.4" customHeight="1">
      <c r="A3" s="751"/>
      <c r="B3" s="752"/>
      <c r="C3" s="752"/>
      <c r="D3" s="752"/>
      <c r="E3" s="752"/>
      <c r="F3" s="752"/>
      <c r="G3" s="753"/>
      <c r="H3" s="763" t="s">
        <v>823</v>
      </c>
      <c r="I3" s="764"/>
      <c r="J3" s="764"/>
      <c r="K3" s="764"/>
      <c r="L3" s="764"/>
      <c r="M3" s="764"/>
      <c r="N3" s="765"/>
      <c r="O3" s="702" t="s">
        <v>6</v>
      </c>
      <c r="P3" s="703"/>
      <c r="Q3" s="704"/>
      <c r="R3" s="769" t="s">
        <v>7</v>
      </c>
      <c r="S3" s="746"/>
      <c r="T3" s="746"/>
      <c r="U3" s="746"/>
      <c r="V3" s="747"/>
      <c r="X3" s="7"/>
    </row>
    <row r="4" spans="1:27" ht="18" customHeight="1">
      <c r="A4" s="754"/>
      <c r="B4" s="755"/>
      <c r="C4" s="755"/>
      <c r="D4" s="755"/>
      <c r="E4" s="755"/>
      <c r="F4" s="755"/>
      <c r="G4" s="756"/>
      <c r="H4" s="766"/>
      <c r="I4" s="767"/>
      <c r="J4" s="767"/>
      <c r="K4" s="767"/>
      <c r="L4" s="767"/>
      <c r="M4" s="767"/>
      <c r="N4" s="768"/>
      <c r="O4" s="702" t="s">
        <v>8</v>
      </c>
      <c r="P4" s="703"/>
      <c r="Q4" s="704"/>
      <c r="R4" s="745" t="s">
        <v>9</v>
      </c>
      <c r="S4" s="746"/>
      <c r="T4" s="746"/>
      <c r="U4" s="746"/>
      <c r="V4" s="747"/>
      <c r="X4" s="7"/>
    </row>
    <row r="5" spans="1:27" ht="18" customHeight="1">
      <c r="A5" s="708" t="s">
        <v>10</v>
      </c>
      <c r="B5" s="710"/>
      <c r="C5" s="8" t="s">
        <v>11</v>
      </c>
      <c r="D5" s="708" t="s">
        <v>12</v>
      </c>
      <c r="E5" s="710"/>
      <c r="F5" s="710"/>
      <c r="G5" s="8" t="s">
        <v>13</v>
      </c>
      <c r="H5" s="770" t="s">
        <v>14</v>
      </c>
      <c r="I5" s="771"/>
      <c r="J5" s="771"/>
      <c r="K5" s="771"/>
      <c r="L5" s="771"/>
      <c r="M5" s="771"/>
      <c r="N5" s="772"/>
      <c r="O5" s="702" t="s">
        <v>15</v>
      </c>
      <c r="P5" s="703"/>
      <c r="Q5" s="704"/>
      <c r="R5" s="759" t="s">
        <v>0</v>
      </c>
      <c r="S5" s="746"/>
      <c r="T5" s="746"/>
      <c r="U5" s="746"/>
      <c r="V5" s="747"/>
    </row>
    <row r="6" spans="1:27" ht="18" customHeight="1">
      <c r="A6" s="9"/>
      <c r="V6" s="10"/>
    </row>
    <row r="7" spans="1:27" ht="18" customHeight="1">
      <c r="A7" s="9"/>
      <c r="V7" s="10"/>
    </row>
    <row r="8" spans="1:27" ht="18" customHeight="1">
      <c r="A8" s="9"/>
      <c r="V8" s="10"/>
    </row>
    <row r="9" spans="1:27" ht="18" customHeight="1">
      <c r="A9" s="9"/>
      <c r="V9" s="10"/>
    </row>
    <row r="10" spans="1:27" ht="18" customHeight="1">
      <c r="A10" s="9"/>
      <c r="V10" s="10"/>
    </row>
    <row r="11" spans="1:27" ht="18" customHeight="1">
      <c r="A11" s="9"/>
      <c r="V11" s="10"/>
    </row>
    <row r="12" spans="1:27" ht="18" customHeight="1">
      <c r="A12" s="9"/>
      <c r="V12" s="10"/>
    </row>
    <row r="13" spans="1:27" ht="18" customHeight="1">
      <c r="A13" s="9"/>
      <c r="V13" s="10"/>
    </row>
    <row r="14" spans="1:27" ht="18" customHeight="1">
      <c r="A14" s="9"/>
      <c r="V14" s="10"/>
    </row>
    <row r="15" spans="1:27" ht="18" customHeight="1">
      <c r="A15" s="9"/>
      <c r="V15" s="10"/>
    </row>
    <row r="16" spans="1:27" ht="18" customHeight="1">
      <c r="A16" s="9"/>
      <c r="V16" s="10"/>
    </row>
    <row r="17" spans="1:22" ht="18" customHeight="1">
      <c r="A17" s="9"/>
      <c r="E17" s="741" t="str">
        <f>H3</f>
        <v>LT14 - LEWIS
400/132kV SUBSTATION</v>
      </c>
      <c r="F17" s="741"/>
      <c r="G17" s="741"/>
      <c r="H17" s="741"/>
      <c r="I17" s="741"/>
      <c r="J17" s="741"/>
      <c r="K17" s="741"/>
      <c r="L17" s="741"/>
      <c r="M17" s="741"/>
      <c r="N17" s="741"/>
      <c r="O17" s="741"/>
      <c r="P17" s="741"/>
      <c r="Q17" s="741"/>
      <c r="R17" s="741"/>
      <c r="S17" s="11"/>
      <c r="T17" s="11"/>
      <c r="V17" s="10"/>
    </row>
    <row r="18" spans="1:22" ht="18" customHeight="1">
      <c r="A18" s="9"/>
      <c r="E18" s="741"/>
      <c r="F18" s="741"/>
      <c r="G18" s="741"/>
      <c r="H18" s="741"/>
      <c r="I18" s="741"/>
      <c r="J18" s="741"/>
      <c r="K18" s="741"/>
      <c r="L18" s="741"/>
      <c r="M18" s="741"/>
      <c r="N18" s="741"/>
      <c r="O18" s="741"/>
      <c r="P18" s="741"/>
      <c r="Q18" s="741"/>
      <c r="R18" s="741"/>
      <c r="S18" s="11"/>
      <c r="T18" s="11"/>
      <c r="V18" s="10"/>
    </row>
    <row r="19" spans="1:22" ht="18" customHeight="1">
      <c r="A19" s="9"/>
      <c r="E19" s="741" t="s">
        <v>16</v>
      </c>
      <c r="F19" s="741"/>
      <c r="G19" s="741"/>
      <c r="H19" s="741"/>
      <c r="I19" s="741"/>
      <c r="J19" s="741"/>
      <c r="K19" s="741"/>
      <c r="L19" s="741"/>
      <c r="M19" s="741"/>
      <c r="N19" s="741"/>
      <c r="O19" s="741"/>
      <c r="P19" s="741"/>
      <c r="Q19" s="741"/>
      <c r="R19" s="741"/>
      <c r="S19" s="11"/>
      <c r="T19" s="11"/>
      <c r="V19" s="10"/>
    </row>
    <row r="20" spans="1:22" ht="18" customHeight="1">
      <c r="A20" s="9"/>
      <c r="E20" s="741"/>
      <c r="F20" s="741"/>
      <c r="G20" s="741"/>
      <c r="H20" s="741"/>
      <c r="I20" s="741"/>
      <c r="J20" s="741"/>
      <c r="K20" s="741"/>
      <c r="L20" s="741"/>
      <c r="M20" s="741"/>
      <c r="N20" s="741"/>
      <c r="O20" s="741"/>
      <c r="P20" s="741"/>
      <c r="Q20" s="741"/>
      <c r="R20" s="741"/>
      <c r="S20" s="11"/>
      <c r="T20" s="11"/>
      <c r="V20" s="10"/>
    </row>
    <row r="21" spans="1:22" ht="18" customHeight="1">
      <c r="A21" s="9"/>
      <c r="E21" s="742"/>
      <c r="F21" s="742"/>
      <c r="G21" s="742"/>
      <c r="H21" s="742"/>
      <c r="I21" s="742"/>
      <c r="J21" s="742"/>
      <c r="K21" s="742"/>
      <c r="L21" s="742" t="s">
        <v>17</v>
      </c>
      <c r="M21" s="742"/>
      <c r="N21" s="742"/>
      <c r="O21" s="742"/>
      <c r="P21" s="742"/>
      <c r="Q21" s="742"/>
      <c r="R21" s="742"/>
      <c r="S21" s="11"/>
      <c r="T21" s="11"/>
      <c r="V21" s="10"/>
    </row>
    <row r="22" spans="1:22" ht="18" customHeight="1">
      <c r="A22" s="9"/>
      <c r="E22" s="742"/>
      <c r="F22" s="742"/>
      <c r="G22" s="742"/>
      <c r="H22" s="742"/>
      <c r="I22" s="742"/>
      <c r="J22" s="742"/>
      <c r="K22" s="742"/>
      <c r="L22" s="742"/>
      <c r="M22" s="742"/>
      <c r="N22" s="742"/>
      <c r="O22" s="742"/>
      <c r="P22" s="742"/>
      <c r="Q22" s="742"/>
      <c r="R22" s="742"/>
      <c r="S22" s="11"/>
      <c r="T22" s="11"/>
      <c r="V22" s="10"/>
    </row>
    <row r="23" spans="1:22" ht="18" customHeight="1">
      <c r="A23" s="9"/>
      <c r="V23" s="10"/>
    </row>
    <row r="24" spans="1:22" ht="18" customHeight="1">
      <c r="A24" s="9"/>
      <c r="V24" s="10"/>
    </row>
    <row r="25" spans="1:22" ht="18" customHeight="1">
      <c r="A25" s="9"/>
      <c r="V25" s="10"/>
    </row>
    <row r="26" spans="1:22" ht="18" customHeight="1">
      <c r="A26" s="9"/>
      <c r="V26" s="10"/>
    </row>
    <row r="27" spans="1:22" ht="18" customHeight="1">
      <c r="A27" s="9"/>
      <c r="V27" s="10"/>
    </row>
    <row r="28" spans="1:22" ht="18" customHeight="1">
      <c r="A28" s="9"/>
      <c r="V28" s="10"/>
    </row>
    <row r="29" spans="1:22" ht="18" customHeight="1">
      <c r="A29" s="9"/>
      <c r="V29" s="10"/>
    </row>
    <row r="30" spans="1:22" ht="18" customHeight="1">
      <c r="A30" s="9"/>
      <c r="V30" s="10"/>
    </row>
    <row r="31" spans="1:22" ht="18" customHeight="1">
      <c r="A31" s="9"/>
      <c r="V31" s="10"/>
    </row>
    <row r="32" spans="1:22" ht="18" customHeight="1">
      <c r="A32" s="9"/>
      <c r="V32" s="10"/>
    </row>
    <row r="33" spans="1:24" ht="18" customHeight="1">
      <c r="A33" s="9"/>
      <c r="M33" s="535" t="s">
        <v>18</v>
      </c>
      <c r="N33" s="13"/>
      <c r="O33" s="14"/>
      <c r="P33" s="13"/>
      <c r="Q33" s="13"/>
      <c r="R33" s="13"/>
      <c r="S33" s="13"/>
      <c r="T33" s="13"/>
      <c r="V33" s="10"/>
    </row>
    <row r="34" spans="1:24" ht="18" customHeight="1">
      <c r="A34" s="9"/>
      <c r="M34" s="15" t="s">
        <v>19</v>
      </c>
      <c r="N34" s="13"/>
      <c r="O34" s="14"/>
      <c r="P34" s="13"/>
      <c r="Q34" s="13"/>
      <c r="R34" s="13"/>
      <c r="S34" s="13"/>
      <c r="T34" s="13"/>
      <c r="V34" s="10"/>
      <c r="X34" s="13"/>
    </row>
    <row r="35" spans="1:24" ht="18" customHeight="1">
      <c r="A35" s="9"/>
      <c r="N35" s="13"/>
      <c r="O35" s="14"/>
      <c r="P35" s="13"/>
      <c r="Q35" s="13"/>
      <c r="R35" s="13"/>
      <c r="S35" s="13"/>
      <c r="T35" s="13"/>
      <c r="V35" s="10"/>
      <c r="X35" s="13"/>
    </row>
    <row r="36" spans="1:24" ht="18" customHeight="1">
      <c r="A36" s="9"/>
      <c r="M36" s="15" t="s">
        <v>20</v>
      </c>
      <c r="N36" s="13"/>
      <c r="O36" s="14"/>
      <c r="P36" s="743">
        <f>R2</f>
        <v>46106</v>
      </c>
      <c r="Q36" s="744"/>
      <c r="R36" s="744"/>
      <c r="S36" s="744"/>
      <c r="V36" s="10"/>
      <c r="X36" s="13"/>
    </row>
    <row r="37" spans="1:24" ht="18" customHeight="1">
      <c r="A37" s="9"/>
      <c r="M37" s="15" t="s">
        <v>21</v>
      </c>
      <c r="N37" s="13"/>
      <c r="O37" s="14"/>
      <c r="P37" s="16" t="s">
        <v>22</v>
      </c>
      <c r="Q37" s="16"/>
      <c r="R37" s="16"/>
      <c r="V37" s="10"/>
      <c r="X37" s="13"/>
    </row>
    <row r="38" spans="1:24" ht="18" customHeight="1">
      <c r="A38" s="9"/>
      <c r="M38" s="15" t="s">
        <v>23</v>
      </c>
      <c r="N38" s="13"/>
      <c r="O38" s="14"/>
      <c r="P38" s="16" t="s">
        <v>24</v>
      </c>
      <c r="Q38" s="16"/>
      <c r="R38" s="16"/>
      <c r="V38" s="10"/>
      <c r="X38" s="17"/>
    </row>
    <row r="39" spans="1:24" ht="18" customHeight="1">
      <c r="A39" s="9"/>
      <c r="M39" s="18" t="s">
        <v>25</v>
      </c>
      <c r="N39" s="13"/>
      <c r="O39" s="13"/>
      <c r="P39" s="16" t="s">
        <v>26</v>
      </c>
      <c r="Q39" s="16"/>
      <c r="R39" s="16"/>
      <c r="V39" s="10"/>
      <c r="X39" s="17"/>
    </row>
    <row r="40" spans="1:24" ht="18" customHeight="1">
      <c r="A40" s="9"/>
      <c r="V40" s="10"/>
      <c r="X40" s="17"/>
    </row>
    <row r="41" spans="1:24" ht="18" customHeight="1">
      <c r="A41" s="9"/>
      <c r="V41" s="10"/>
      <c r="X41" s="17"/>
    </row>
    <row r="42" spans="1:24" ht="18" customHeight="1">
      <c r="A42" s="9"/>
      <c r="V42" s="10"/>
      <c r="X42" s="17"/>
    </row>
    <row r="43" spans="1:24" ht="18" customHeight="1">
      <c r="A43" s="9"/>
      <c r="V43" s="10"/>
    </row>
    <row r="44" spans="1:24" ht="18" customHeight="1">
      <c r="A44" s="9"/>
      <c r="V44" s="10"/>
    </row>
    <row r="45" spans="1:24" s="5" customFormat="1" ht="18" customHeight="1">
      <c r="A45" s="19"/>
      <c r="B45" s="20"/>
      <c r="C45" s="20"/>
      <c r="D45" s="20"/>
      <c r="E45" s="20"/>
      <c r="F45" s="20"/>
      <c r="G45" s="20"/>
      <c r="H45" s="20"/>
      <c r="I45" s="20"/>
      <c r="J45" s="20"/>
      <c r="K45" s="20"/>
      <c r="L45" s="20"/>
      <c r="M45" s="20"/>
      <c r="N45" s="20"/>
      <c r="O45" s="20"/>
      <c r="P45" s="20"/>
      <c r="Q45" s="21"/>
      <c r="R45" s="22"/>
      <c r="S45" s="23"/>
      <c r="T45" s="20"/>
      <c r="U45" s="20"/>
      <c r="V45" s="24"/>
      <c r="W45" s="4"/>
      <c r="X45" s="4"/>
    </row>
  </sheetData>
  <mergeCells count="21">
    <mergeCell ref="A5:B5"/>
    <mergeCell ref="D5:F5"/>
    <mergeCell ref="H5:N5"/>
    <mergeCell ref="O5:Q5"/>
    <mergeCell ref="R5:V5"/>
    <mergeCell ref="E17:R18"/>
    <mergeCell ref="E19:R20"/>
    <mergeCell ref="E21:R22"/>
    <mergeCell ref="P36:S36"/>
    <mergeCell ref="O4:Q4"/>
    <mergeCell ref="R4:V4"/>
    <mergeCell ref="A1:G4"/>
    <mergeCell ref="H1:N1"/>
    <mergeCell ref="O1:Q1"/>
    <mergeCell ref="R1:V1"/>
    <mergeCell ref="H2:N2"/>
    <mergeCell ref="O2:Q2"/>
    <mergeCell ref="R2:V2"/>
    <mergeCell ref="H3:N4"/>
    <mergeCell ref="O3:Q3"/>
    <mergeCell ref="R3:V3"/>
  </mergeCells>
  <printOptions horizontalCentered="1" verticalCentered="1"/>
  <pageMargins left="0.5" right="0.5" top="0.5" bottom="0.5" header="0" footer="0"/>
  <pageSetup paperSize="9" scale="90"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EB18E-91D0-4D7C-89E5-3966381BEB4D}">
  <sheetPr codeName="Sheet4">
    <tabColor indexed="44"/>
  </sheetPr>
  <dimension ref="A1:AM48"/>
  <sheetViews>
    <sheetView view="pageBreakPreview" topLeftCell="A6" zoomScale="145" zoomScaleNormal="100" zoomScaleSheetLayoutView="145" workbookViewId="0">
      <selection activeCell="K13" sqref="K13"/>
    </sheetView>
  </sheetViews>
  <sheetFormatPr defaultColWidth="4.33203125" defaultRowHeight="18" customHeight="1"/>
  <cols>
    <col min="22" max="22" width="3.6640625" customWidth="1"/>
    <col min="278" max="278" width="3.6640625" customWidth="1"/>
    <col min="534" max="534" width="3.6640625" customWidth="1"/>
    <col min="790" max="790" width="3.6640625" customWidth="1"/>
    <col min="1046" max="1046" width="3.6640625" customWidth="1"/>
    <col min="1302" max="1302" width="3.6640625" customWidth="1"/>
    <col min="1558" max="1558" width="3.6640625" customWidth="1"/>
    <col min="1814" max="1814" width="3.6640625" customWidth="1"/>
    <col min="2070" max="2070" width="3.6640625" customWidth="1"/>
    <col min="2326" max="2326" width="3.6640625" customWidth="1"/>
    <col min="2582" max="2582" width="3.6640625" customWidth="1"/>
    <col min="2838" max="2838" width="3.6640625" customWidth="1"/>
    <col min="3094" max="3094" width="3.6640625" customWidth="1"/>
    <col min="3350" max="3350" width="3.6640625" customWidth="1"/>
    <col min="3606" max="3606" width="3.6640625" customWidth="1"/>
    <col min="3862" max="3862" width="3.6640625" customWidth="1"/>
    <col min="4118" max="4118" width="3.6640625" customWidth="1"/>
    <col min="4374" max="4374" width="3.6640625" customWidth="1"/>
    <col min="4630" max="4630" width="3.6640625" customWidth="1"/>
    <col min="4886" max="4886" width="3.6640625" customWidth="1"/>
    <col min="5142" max="5142" width="3.6640625" customWidth="1"/>
    <col min="5398" max="5398" width="3.6640625" customWidth="1"/>
    <col min="5654" max="5654" width="3.6640625" customWidth="1"/>
    <col min="5910" max="5910" width="3.6640625" customWidth="1"/>
    <col min="6166" max="6166" width="3.6640625" customWidth="1"/>
    <col min="6422" max="6422" width="3.6640625" customWidth="1"/>
    <col min="6678" max="6678" width="3.6640625" customWidth="1"/>
    <col min="6934" max="6934" width="3.6640625" customWidth="1"/>
    <col min="7190" max="7190" width="3.6640625" customWidth="1"/>
    <col min="7446" max="7446" width="3.6640625" customWidth="1"/>
    <col min="7702" max="7702" width="3.6640625" customWidth="1"/>
    <col min="7958" max="7958" width="3.6640625" customWidth="1"/>
    <col min="8214" max="8214" width="3.6640625" customWidth="1"/>
    <col min="8470" max="8470" width="3.6640625" customWidth="1"/>
    <col min="8726" max="8726" width="3.6640625" customWidth="1"/>
    <col min="8982" max="8982" width="3.6640625" customWidth="1"/>
    <col min="9238" max="9238" width="3.6640625" customWidth="1"/>
    <col min="9494" max="9494" width="3.6640625" customWidth="1"/>
    <col min="9750" max="9750" width="3.6640625" customWidth="1"/>
    <col min="10006" max="10006" width="3.6640625" customWidth="1"/>
    <col min="10262" max="10262" width="3.6640625" customWidth="1"/>
    <col min="10518" max="10518" width="3.6640625" customWidth="1"/>
    <col min="10774" max="10774" width="3.6640625" customWidth="1"/>
    <col min="11030" max="11030" width="3.6640625" customWidth="1"/>
    <col min="11286" max="11286" width="3.6640625" customWidth="1"/>
    <col min="11542" max="11542" width="3.6640625" customWidth="1"/>
    <col min="11798" max="11798" width="3.6640625" customWidth="1"/>
    <col min="12054" max="12054" width="3.6640625" customWidth="1"/>
    <col min="12310" max="12310" width="3.6640625" customWidth="1"/>
    <col min="12566" max="12566" width="3.6640625" customWidth="1"/>
    <col min="12822" max="12822" width="3.6640625" customWidth="1"/>
    <col min="13078" max="13078" width="3.6640625" customWidth="1"/>
    <col min="13334" max="13334" width="3.6640625" customWidth="1"/>
    <col min="13590" max="13590" width="3.6640625" customWidth="1"/>
    <col min="13846" max="13846" width="3.6640625" customWidth="1"/>
    <col min="14102" max="14102" width="3.6640625" customWidth="1"/>
    <col min="14358" max="14358" width="3.6640625" customWidth="1"/>
    <col min="14614" max="14614" width="3.6640625" customWidth="1"/>
    <col min="14870" max="14870" width="3.6640625" customWidth="1"/>
    <col min="15126" max="15126" width="3.6640625" customWidth="1"/>
    <col min="15382" max="15382" width="3.6640625" customWidth="1"/>
    <col min="15638" max="15638" width="3.6640625" customWidth="1"/>
    <col min="15894" max="15894" width="3.6640625" customWidth="1"/>
    <col min="16150" max="16150" width="3.6640625" customWidth="1"/>
  </cols>
  <sheetData>
    <row r="1" spans="1:27" s="6" customFormat="1"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74" t="str">
        <f>Title!R1</f>
        <v>N-19957.1-DF5W</v>
      </c>
      <c r="S1" s="775"/>
      <c r="T1" s="775"/>
      <c r="U1" s="775"/>
      <c r="V1" s="776"/>
      <c r="W1" s="4"/>
      <c r="X1" s="4"/>
      <c r="Y1" s="5"/>
      <c r="Z1" s="5"/>
      <c r="AA1" s="5"/>
    </row>
    <row r="2" spans="1:27" ht="18" customHeight="1">
      <c r="A2" s="720"/>
      <c r="B2" s="721"/>
      <c r="C2" s="721"/>
      <c r="D2" s="721"/>
      <c r="E2" s="721"/>
      <c r="F2" s="721"/>
      <c r="G2" s="722"/>
      <c r="H2" s="729" t="str">
        <f>Title!H2</f>
        <v>ADEQUACY CHECK</v>
      </c>
      <c r="I2" s="730"/>
      <c r="J2" s="730"/>
      <c r="K2" s="730"/>
      <c r="L2" s="730"/>
      <c r="M2" s="730"/>
      <c r="N2" s="731"/>
      <c r="O2" s="702" t="str">
        <f>Title!O2</f>
        <v>Date</v>
      </c>
      <c r="P2" s="703"/>
      <c r="Q2" s="704"/>
      <c r="R2" s="777">
        <f>Title!R2</f>
        <v>46106</v>
      </c>
      <c r="S2" s="775"/>
      <c r="T2" s="775"/>
      <c r="U2" s="775"/>
      <c r="V2" s="776"/>
    </row>
    <row r="3" spans="1:27" ht="21.6"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8" t="str">
        <f>Title!R3</f>
        <v>-</v>
      </c>
      <c r="S3" s="710"/>
      <c r="T3" s="710"/>
      <c r="U3" s="710"/>
      <c r="V3" s="709"/>
    </row>
    <row r="4" spans="1:27" ht="18" customHeight="1">
      <c r="A4" s="723"/>
      <c r="B4" s="724"/>
      <c r="C4" s="724"/>
      <c r="D4" s="724"/>
      <c r="E4" s="724"/>
      <c r="F4" s="724"/>
      <c r="G4" s="725"/>
      <c r="H4" s="738"/>
      <c r="I4" s="739"/>
      <c r="J4" s="739"/>
      <c r="K4" s="739"/>
      <c r="L4" s="739"/>
      <c r="M4" s="739"/>
      <c r="N4" s="740"/>
      <c r="O4" s="702" t="str">
        <f>Title!O4</f>
        <v>Revision No.</v>
      </c>
      <c r="P4" s="703"/>
      <c r="Q4" s="704"/>
      <c r="R4" s="774" t="str">
        <f>Title!R4</f>
        <v>A</v>
      </c>
      <c r="S4" s="775"/>
      <c r="T4" s="775"/>
      <c r="U4" s="775"/>
      <c r="V4" s="776"/>
    </row>
    <row r="5" spans="1:27" ht="18" customHeight="1">
      <c r="A5" s="708" t="str">
        <f>Title!A5</f>
        <v>Prep. By</v>
      </c>
      <c r="B5" s="709"/>
      <c r="C5" s="25" t="str">
        <f>Title!C5</f>
        <v>AP</v>
      </c>
      <c r="D5" s="708" t="str">
        <f>Title!D5</f>
        <v>Checked By</v>
      </c>
      <c r="E5" s="710"/>
      <c r="F5" s="709"/>
      <c r="G5" s="25" t="str">
        <f>Title!G5</f>
        <v>RB</v>
      </c>
      <c r="H5" s="711" t="s">
        <v>27</v>
      </c>
      <c r="I5" s="712"/>
      <c r="J5" s="712"/>
      <c r="K5" s="712"/>
      <c r="L5" s="712"/>
      <c r="M5" s="712"/>
      <c r="N5" s="713"/>
      <c r="O5" s="714" t="str">
        <f>Title!O5</f>
        <v>Contractor</v>
      </c>
      <c r="P5" s="715"/>
      <c r="Q5" s="716"/>
      <c r="R5" s="774" t="str">
        <f>Title!R5</f>
        <v>HITACHI</v>
      </c>
      <c r="S5" s="775"/>
      <c r="T5" s="775"/>
      <c r="U5" s="775"/>
      <c r="V5" s="776"/>
    </row>
    <row r="6" spans="1:27" ht="18" customHeight="1">
      <c r="A6" s="9"/>
      <c r="B6" s="26"/>
      <c r="C6" s="27"/>
      <c r="D6" s="27"/>
      <c r="E6" s="27"/>
      <c r="F6" s="27"/>
      <c r="G6" s="27"/>
      <c r="H6" s="27"/>
      <c r="I6" s="27"/>
      <c r="J6" s="27"/>
      <c r="K6" s="27"/>
      <c r="L6" s="27"/>
      <c r="V6" s="10"/>
    </row>
    <row r="7" spans="1:27" ht="18" customHeight="1">
      <c r="A7" s="9"/>
      <c r="E7" s="28"/>
      <c r="F7" s="27"/>
      <c r="G7" s="27"/>
      <c r="H7" s="27"/>
      <c r="I7" s="27"/>
      <c r="J7" s="27"/>
      <c r="K7" s="27"/>
      <c r="L7" s="27"/>
      <c r="V7" s="10"/>
    </row>
    <row r="8" spans="1:27" ht="18" customHeight="1">
      <c r="A8" s="9"/>
      <c r="C8" s="29" t="s">
        <v>28</v>
      </c>
      <c r="E8" s="28"/>
      <c r="F8" s="27"/>
      <c r="G8" s="27"/>
      <c r="H8" s="27"/>
      <c r="I8" s="27"/>
      <c r="J8" s="27"/>
      <c r="K8" s="27"/>
      <c r="L8" s="27"/>
      <c r="V8" s="10"/>
    </row>
    <row r="9" spans="1:27" ht="18" customHeight="1">
      <c r="A9" s="9"/>
      <c r="E9" s="28"/>
      <c r="F9" s="27"/>
      <c r="G9" s="27"/>
      <c r="H9" s="27"/>
      <c r="I9" s="27"/>
      <c r="J9" s="27"/>
      <c r="K9" s="27"/>
      <c r="L9" s="27"/>
      <c r="V9" s="10"/>
    </row>
    <row r="10" spans="1:27" ht="18" customHeight="1">
      <c r="A10" s="9"/>
      <c r="C10" s="30"/>
      <c r="D10" s="30"/>
      <c r="E10" s="28"/>
      <c r="F10" s="27"/>
      <c r="G10" s="27"/>
      <c r="H10" s="27"/>
      <c r="I10" s="27"/>
      <c r="J10" s="27"/>
      <c r="K10" s="31"/>
      <c r="L10" s="31"/>
      <c r="M10" s="32"/>
      <c r="N10" s="32"/>
      <c r="O10" s="32"/>
      <c r="P10" s="32"/>
      <c r="Q10" s="32"/>
      <c r="R10" s="507" t="s">
        <v>29</v>
      </c>
      <c r="S10" s="32"/>
      <c r="V10" s="10"/>
    </row>
    <row r="11" spans="1:27" ht="18" customHeight="1">
      <c r="A11" s="9"/>
      <c r="C11" s="33" t="s">
        <v>30</v>
      </c>
      <c r="D11" s="39" t="s">
        <v>31</v>
      </c>
      <c r="E11" s="28"/>
      <c r="F11" s="27"/>
      <c r="G11" s="27"/>
      <c r="H11" s="27"/>
      <c r="I11" s="27"/>
      <c r="J11" s="27"/>
      <c r="K11" s="35"/>
      <c r="N11" s="36" t="s">
        <v>32</v>
      </c>
      <c r="O11" s="37"/>
      <c r="P11" s="37"/>
      <c r="Q11" s="37"/>
      <c r="R11" s="506">
        <v>3</v>
      </c>
      <c r="S11" s="32"/>
      <c r="T11" s="32"/>
      <c r="V11" s="10"/>
    </row>
    <row r="12" spans="1:27" ht="18" customHeight="1">
      <c r="A12" s="9"/>
      <c r="C12" s="33" t="s">
        <v>33</v>
      </c>
      <c r="D12" s="308" t="s">
        <v>34</v>
      </c>
      <c r="E12" s="28"/>
      <c r="F12" s="27"/>
      <c r="G12" s="27"/>
      <c r="H12" s="27"/>
      <c r="I12" s="27"/>
      <c r="J12" s="27"/>
      <c r="K12" s="35"/>
      <c r="N12" s="36" t="s">
        <v>35</v>
      </c>
      <c r="O12" s="37"/>
      <c r="P12" s="37"/>
      <c r="Q12" s="37"/>
      <c r="R12" s="506">
        <v>4</v>
      </c>
      <c r="S12" s="32"/>
      <c r="T12" s="32"/>
      <c r="V12" s="10"/>
      <c r="Y12" s="34" t="s">
        <v>36</v>
      </c>
    </row>
    <row r="13" spans="1:27" ht="18" customHeight="1">
      <c r="A13" s="9"/>
      <c r="C13" s="33" t="s">
        <v>37</v>
      </c>
      <c r="D13" s="39" t="s">
        <v>38</v>
      </c>
      <c r="E13" s="14"/>
      <c r="K13" s="35"/>
      <c r="N13" s="36"/>
      <c r="O13" s="37"/>
      <c r="P13" s="37"/>
      <c r="Q13" s="37" t="s">
        <v>7</v>
      </c>
      <c r="R13" s="506">
        <v>11</v>
      </c>
      <c r="S13" s="32"/>
      <c r="T13" s="32"/>
      <c r="V13" s="10"/>
    </row>
    <row r="14" spans="1:27" ht="18" customHeight="1">
      <c r="A14" s="9"/>
      <c r="C14" s="33" t="s">
        <v>39</v>
      </c>
      <c r="D14" s="39" t="s">
        <v>939</v>
      </c>
      <c r="E14" s="14"/>
      <c r="K14" s="35"/>
      <c r="N14" s="36"/>
      <c r="O14" s="37"/>
      <c r="P14" s="37"/>
      <c r="Q14" s="37"/>
      <c r="R14" s="506">
        <v>13</v>
      </c>
      <c r="S14" s="32"/>
      <c r="T14" s="32"/>
      <c r="V14" s="10"/>
    </row>
    <row r="15" spans="1:27" ht="18" customHeight="1">
      <c r="A15" s="9"/>
      <c r="C15" s="33" t="s">
        <v>41</v>
      </c>
      <c r="D15" s="39" t="s">
        <v>961</v>
      </c>
      <c r="E15" s="14"/>
      <c r="K15" s="35"/>
      <c r="N15" s="36"/>
      <c r="O15" s="37"/>
      <c r="P15" s="37"/>
      <c r="Q15" s="37" t="s">
        <v>7</v>
      </c>
      <c r="R15" s="506">
        <v>14</v>
      </c>
      <c r="S15" s="32"/>
      <c r="T15" s="32"/>
      <c r="V15" s="10"/>
      <c r="Y15" s="34" t="s">
        <v>40</v>
      </c>
    </row>
    <row r="16" spans="1:27" ht="18" customHeight="1">
      <c r="A16" s="9"/>
      <c r="C16" s="33" t="s">
        <v>42</v>
      </c>
      <c r="D16" s="39" t="s">
        <v>916</v>
      </c>
      <c r="E16" s="38"/>
      <c r="F16" s="32"/>
      <c r="G16" s="32"/>
      <c r="H16" s="32"/>
      <c r="I16" s="32"/>
      <c r="J16" s="32"/>
      <c r="K16" s="35"/>
      <c r="N16" s="36"/>
      <c r="O16" s="37"/>
      <c r="P16" s="37"/>
      <c r="Q16" s="37"/>
      <c r="R16" s="506">
        <v>18</v>
      </c>
      <c r="S16" s="32"/>
      <c r="T16" s="32"/>
      <c r="V16" s="10"/>
    </row>
    <row r="17" spans="1:39" ht="18" customHeight="1">
      <c r="A17" s="9"/>
      <c r="C17" s="33" t="s">
        <v>43</v>
      </c>
      <c r="D17" s="39" t="s">
        <v>962</v>
      </c>
      <c r="E17" s="14"/>
      <c r="K17" s="35"/>
      <c r="N17" s="36"/>
      <c r="O17" s="37"/>
      <c r="P17" s="37"/>
      <c r="Q17" s="37"/>
      <c r="R17" s="506">
        <v>30</v>
      </c>
      <c r="S17" s="32"/>
      <c r="T17" s="32"/>
      <c r="V17" s="10"/>
    </row>
    <row r="18" spans="1:39" ht="18" customHeight="1">
      <c r="A18" s="9"/>
      <c r="C18" s="33" t="s">
        <v>44</v>
      </c>
      <c r="D18" s="39" t="s">
        <v>964</v>
      </c>
      <c r="E18" s="34"/>
      <c r="F18" s="34"/>
      <c r="G18" s="34"/>
      <c r="H18" s="34"/>
      <c r="I18" s="34"/>
      <c r="J18" s="34"/>
      <c r="K18" s="34"/>
      <c r="L18" s="34"/>
      <c r="M18" s="34"/>
      <c r="N18" s="34"/>
      <c r="O18" s="34"/>
      <c r="P18" s="34"/>
      <c r="Q18" s="34"/>
      <c r="R18" s="506">
        <v>40</v>
      </c>
      <c r="S18" s="32"/>
      <c r="T18" s="32"/>
      <c r="V18" s="10"/>
      <c r="AA18" s="34"/>
      <c r="AB18" s="14"/>
      <c r="AH18" s="35"/>
      <c r="AK18" s="36"/>
      <c r="AL18" s="37"/>
      <c r="AM18" s="37"/>
    </row>
    <row r="19" spans="1:39" ht="18" customHeight="1">
      <c r="A19" s="9"/>
      <c r="C19" s="33" t="s">
        <v>45</v>
      </c>
      <c r="D19" s="39" t="s">
        <v>963</v>
      </c>
      <c r="E19" s="34"/>
      <c r="F19" s="34"/>
      <c r="G19" s="34"/>
      <c r="H19" s="34"/>
      <c r="I19" s="34"/>
      <c r="J19" s="34"/>
      <c r="K19" s="34"/>
      <c r="L19" s="34"/>
      <c r="M19" s="34"/>
      <c r="N19" s="34"/>
      <c r="O19" s="34"/>
      <c r="P19" s="34"/>
      <c r="Q19" s="34"/>
      <c r="R19" s="506">
        <v>59</v>
      </c>
      <c r="S19" s="32"/>
      <c r="T19" s="32"/>
      <c r="V19" s="10"/>
      <c r="AA19" s="34"/>
      <c r="AB19" s="14"/>
      <c r="AH19" s="35"/>
      <c r="AK19" s="36"/>
      <c r="AL19" s="37"/>
      <c r="AM19" s="37"/>
    </row>
    <row r="20" spans="1:39" ht="18" customHeight="1">
      <c r="A20" s="9"/>
      <c r="C20" s="33" t="s">
        <v>46</v>
      </c>
      <c r="D20" s="39" t="s">
        <v>940</v>
      </c>
      <c r="E20" s="39"/>
      <c r="F20" s="39"/>
      <c r="G20" s="39"/>
      <c r="H20" s="39"/>
      <c r="I20" s="39"/>
      <c r="J20" s="39"/>
      <c r="K20" s="39"/>
      <c r="L20" s="39"/>
      <c r="M20" s="39"/>
      <c r="N20" s="39"/>
      <c r="O20" s="39"/>
      <c r="P20" s="39"/>
      <c r="Q20" s="37"/>
      <c r="R20" s="506">
        <v>78</v>
      </c>
      <c r="S20" s="32"/>
      <c r="T20" s="32"/>
      <c r="V20" s="10"/>
      <c r="AA20" s="34"/>
      <c r="AB20" s="14"/>
      <c r="AH20" s="35"/>
      <c r="AK20" s="36"/>
      <c r="AL20" s="37"/>
      <c r="AM20" s="37"/>
    </row>
    <row r="21" spans="1:39" ht="18" customHeight="1">
      <c r="A21" s="9"/>
      <c r="C21" s="33" t="s">
        <v>47</v>
      </c>
      <c r="D21" s="39" t="s">
        <v>969</v>
      </c>
      <c r="E21" s="14"/>
      <c r="K21" s="35"/>
      <c r="N21" s="36"/>
      <c r="O21" s="37"/>
      <c r="P21" s="37"/>
      <c r="Q21" s="37"/>
      <c r="R21" s="506">
        <v>79</v>
      </c>
      <c r="S21" s="32"/>
      <c r="T21" s="32"/>
      <c r="V21" s="10"/>
      <c r="AA21" s="34"/>
      <c r="AB21" s="14"/>
      <c r="AH21" s="35"/>
      <c r="AK21" s="36"/>
      <c r="AL21" s="37"/>
      <c r="AM21" s="37"/>
    </row>
    <row r="22" spans="1:39" ht="18" customHeight="1">
      <c r="A22" s="9"/>
      <c r="C22" s="33" t="s">
        <v>968</v>
      </c>
      <c r="D22" s="39" t="s">
        <v>970</v>
      </c>
      <c r="E22" s="34"/>
      <c r="F22" s="34"/>
      <c r="G22" s="34"/>
      <c r="H22" s="34"/>
      <c r="I22" s="34"/>
      <c r="J22" s="34"/>
      <c r="K22" s="34"/>
      <c r="L22" s="34"/>
      <c r="M22" s="34"/>
      <c r="N22" s="34"/>
      <c r="O22" s="34"/>
      <c r="P22" s="34"/>
      <c r="Q22" s="37"/>
      <c r="R22" s="506">
        <v>84</v>
      </c>
      <c r="S22" s="32"/>
      <c r="T22" s="32"/>
      <c r="V22" s="10"/>
      <c r="AA22" s="34"/>
      <c r="AB22" s="14"/>
      <c r="AH22" s="35"/>
      <c r="AK22" s="36"/>
      <c r="AL22" s="37"/>
      <c r="AM22" s="37"/>
    </row>
    <row r="23" spans="1:39" ht="18" customHeight="1">
      <c r="A23" s="9"/>
      <c r="C23" s="33" t="s">
        <v>971</v>
      </c>
      <c r="D23" s="39" t="s">
        <v>972</v>
      </c>
      <c r="E23" s="14"/>
      <c r="K23" s="35"/>
      <c r="N23" s="36"/>
      <c r="O23" s="37"/>
      <c r="P23" s="34"/>
      <c r="Q23" s="37"/>
      <c r="R23" s="506">
        <v>89</v>
      </c>
      <c r="S23" s="32"/>
      <c r="T23" s="32"/>
      <c r="V23" s="10"/>
      <c r="AA23" s="773"/>
      <c r="AB23" s="773"/>
      <c r="AC23" s="773"/>
      <c r="AD23" s="773"/>
      <c r="AE23" s="773"/>
      <c r="AF23" s="773"/>
      <c r="AG23" s="773"/>
      <c r="AH23" s="773"/>
      <c r="AI23" s="773"/>
      <c r="AJ23" s="773"/>
      <c r="AK23" s="773"/>
      <c r="AL23" s="773"/>
      <c r="AM23" s="773"/>
    </row>
    <row r="24" spans="1:39" ht="18" customHeight="1">
      <c r="A24" s="9"/>
      <c r="C24" s="33"/>
      <c r="D24" s="34"/>
      <c r="E24" s="14"/>
      <c r="K24" s="35"/>
      <c r="N24" s="36"/>
      <c r="O24" s="37"/>
      <c r="P24" s="39"/>
      <c r="Q24" s="37"/>
      <c r="R24" s="506"/>
      <c r="S24" s="32"/>
      <c r="T24" s="32"/>
      <c r="V24" s="10"/>
      <c r="AA24" s="39"/>
      <c r="AB24" s="39"/>
      <c r="AC24" s="39"/>
      <c r="AD24" s="39"/>
      <c r="AE24" s="39"/>
      <c r="AF24" s="39"/>
      <c r="AG24" s="39"/>
      <c r="AH24" s="39"/>
      <c r="AI24" s="39"/>
      <c r="AJ24" s="39"/>
      <c r="AK24" s="39"/>
      <c r="AL24" s="39"/>
      <c r="AM24" s="39"/>
    </row>
    <row r="25" spans="1:39" ht="18" customHeight="1">
      <c r="A25" s="9"/>
      <c r="C25" s="33"/>
      <c r="D25" s="34"/>
      <c r="E25" s="40"/>
      <c r="F25" s="41"/>
      <c r="G25" s="41"/>
      <c r="H25" s="41"/>
      <c r="I25" s="41"/>
      <c r="J25" s="41"/>
      <c r="K25" s="42"/>
      <c r="L25" s="41"/>
      <c r="M25" s="41"/>
      <c r="N25" s="36"/>
      <c r="O25" s="37"/>
      <c r="P25" s="37"/>
      <c r="Q25" s="37"/>
      <c r="R25" s="506"/>
      <c r="S25" s="32"/>
      <c r="T25" s="32"/>
      <c r="V25" s="10"/>
    </row>
    <row r="26" spans="1:39" ht="18" customHeight="1">
      <c r="A26" s="9"/>
      <c r="C26" s="33"/>
      <c r="D26" s="34"/>
      <c r="E26" s="40"/>
      <c r="F26" s="41"/>
      <c r="G26" s="41"/>
      <c r="H26" s="41"/>
      <c r="I26" s="41"/>
      <c r="J26" s="41"/>
      <c r="K26" s="42"/>
      <c r="L26" s="41"/>
      <c r="M26" s="41"/>
      <c r="N26" s="36"/>
      <c r="O26" s="37"/>
      <c r="P26" s="37"/>
      <c r="Q26" s="37"/>
      <c r="R26" s="506"/>
      <c r="S26" s="32"/>
      <c r="T26" s="32"/>
      <c r="V26" s="10"/>
    </row>
    <row r="27" spans="1:39" ht="18" customHeight="1">
      <c r="A27" s="9"/>
      <c r="C27" s="33"/>
      <c r="D27" s="34"/>
      <c r="E27" s="40"/>
      <c r="F27" s="41"/>
      <c r="G27" s="41"/>
      <c r="H27" s="41"/>
      <c r="I27" s="41"/>
      <c r="J27" s="41"/>
      <c r="K27" s="42"/>
      <c r="L27" s="41"/>
      <c r="M27" s="41"/>
      <c r="N27" s="36"/>
      <c r="O27" s="37"/>
      <c r="P27" s="37"/>
      <c r="Q27" s="37"/>
      <c r="R27" s="506"/>
      <c r="S27" s="32"/>
      <c r="T27" s="32"/>
      <c r="V27" s="10"/>
    </row>
    <row r="28" spans="1:39" ht="18" customHeight="1">
      <c r="A28" s="9"/>
      <c r="C28" s="33"/>
      <c r="D28" s="34"/>
      <c r="E28" s="40"/>
      <c r="F28" s="41"/>
      <c r="G28" s="41"/>
      <c r="H28" s="41"/>
      <c r="I28" s="41"/>
      <c r="J28" s="41"/>
      <c r="K28" s="42"/>
      <c r="L28" s="41"/>
      <c r="M28" s="41"/>
      <c r="N28" s="36"/>
      <c r="O28" s="37"/>
      <c r="P28" s="37"/>
      <c r="Q28" s="37"/>
      <c r="R28" s="506"/>
      <c r="S28" s="32"/>
      <c r="T28" s="32"/>
      <c r="V28" s="10"/>
    </row>
    <row r="29" spans="1:39" ht="18" customHeight="1">
      <c r="A29" s="9"/>
      <c r="C29" s="33"/>
      <c r="D29" s="34"/>
      <c r="R29" s="160"/>
      <c r="V29" s="10"/>
    </row>
    <row r="30" spans="1:39" ht="18" customHeight="1">
      <c r="A30" s="9"/>
      <c r="M30" s="11"/>
      <c r="N30" s="11"/>
      <c r="O30" s="11"/>
      <c r="P30" s="11"/>
      <c r="Q30" s="11"/>
      <c r="R30" s="505"/>
      <c r="S30" s="11"/>
      <c r="T30" s="11"/>
      <c r="V30" s="10"/>
      <c r="AC30" s="33"/>
      <c r="AD30" s="44" t="s">
        <v>48</v>
      </c>
      <c r="AE30" s="7"/>
    </row>
    <row r="31" spans="1:39" ht="18" customHeight="1">
      <c r="A31" s="9"/>
      <c r="C31" s="198" t="s">
        <v>49</v>
      </c>
      <c r="G31" s="308" t="s">
        <v>50</v>
      </c>
      <c r="M31" s="11"/>
      <c r="N31" s="11"/>
      <c r="O31" s="11"/>
      <c r="P31" s="11"/>
      <c r="Q31" s="11"/>
      <c r="R31" s="160">
        <v>92</v>
      </c>
      <c r="S31" s="11"/>
      <c r="T31" s="11"/>
      <c r="V31" s="10"/>
      <c r="AC31" s="33"/>
      <c r="AD31" s="45" t="s">
        <v>51</v>
      </c>
      <c r="AE31" s="46"/>
      <c r="AF31" s="47"/>
      <c r="AG31" s="48" t="s">
        <v>52</v>
      </c>
    </row>
    <row r="32" spans="1:39" ht="18" customHeight="1">
      <c r="A32" s="9"/>
      <c r="C32" s="198" t="s">
        <v>53</v>
      </c>
      <c r="G32" s="308" t="s">
        <v>54</v>
      </c>
      <c r="R32" s="160">
        <v>94</v>
      </c>
      <c r="S32" s="11"/>
      <c r="T32" s="11"/>
      <c r="V32" s="10"/>
      <c r="AB32" s="26"/>
      <c r="AC32" s="33"/>
      <c r="AD32" s="45" t="s">
        <v>55</v>
      </c>
      <c r="AE32" s="48"/>
      <c r="AF32" s="47"/>
      <c r="AG32" s="48" t="s">
        <v>56</v>
      </c>
      <c r="AI32" s="11"/>
      <c r="AJ32" s="11"/>
      <c r="AK32" s="11"/>
      <c r="AL32" s="11"/>
    </row>
    <row r="33" spans="1:38" ht="18" customHeight="1">
      <c r="A33" s="9"/>
      <c r="C33" s="198" t="s">
        <v>57</v>
      </c>
      <c r="G33" s="308" t="s">
        <v>58</v>
      </c>
      <c r="M33" s="49"/>
      <c r="N33" s="49"/>
      <c r="O33" s="49"/>
      <c r="P33" s="49"/>
      <c r="Q33" s="49"/>
      <c r="R33" s="160">
        <v>99</v>
      </c>
      <c r="S33" s="50"/>
      <c r="T33" s="50"/>
      <c r="U33" s="49"/>
      <c r="V33" s="10"/>
      <c r="AC33" s="33"/>
      <c r="AD33" s="45" t="s">
        <v>59</v>
      </c>
      <c r="AE33" s="48"/>
      <c r="AF33" s="47"/>
      <c r="AG33" s="47" t="s">
        <v>60</v>
      </c>
      <c r="AI33" s="50"/>
      <c r="AJ33" s="50"/>
      <c r="AK33" s="50"/>
      <c r="AL33" s="50"/>
    </row>
    <row r="34" spans="1:38" ht="18" customHeight="1">
      <c r="A34" s="9"/>
      <c r="C34" s="198" t="s">
        <v>61</v>
      </c>
      <c r="G34" s="308" t="s">
        <v>982</v>
      </c>
      <c r="M34" s="49"/>
      <c r="N34" s="49"/>
      <c r="O34" s="49"/>
      <c r="P34" s="49"/>
      <c r="Q34" s="49"/>
      <c r="R34" s="160">
        <v>109</v>
      </c>
      <c r="S34" s="50"/>
      <c r="T34" s="50"/>
      <c r="U34" s="49"/>
      <c r="V34" s="10"/>
      <c r="AB34" s="26"/>
      <c r="AC34" s="33"/>
      <c r="AD34" s="45" t="s">
        <v>62</v>
      </c>
      <c r="AE34" s="51"/>
      <c r="AF34" s="52"/>
      <c r="AG34" s="47" t="s">
        <v>63</v>
      </c>
      <c r="AH34" s="53"/>
      <c r="AI34" s="54"/>
      <c r="AJ34" s="54"/>
      <c r="AK34" s="54"/>
      <c r="AL34" s="50"/>
    </row>
    <row r="35" spans="1:38" ht="18" customHeight="1">
      <c r="A35" s="9"/>
      <c r="C35" s="198" t="s">
        <v>64</v>
      </c>
      <c r="G35" s="308" t="s">
        <v>65</v>
      </c>
      <c r="M35" s="49"/>
      <c r="N35" s="49"/>
      <c r="O35" s="49"/>
      <c r="P35" s="49"/>
      <c r="Q35" s="49"/>
      <c r="R35" s="160">
        <v>119</v>
      </c>
      <c r="S35" s="50"/>
      <c r="T35" s="50"/>
      <c r="U35" s="49"/>
      <c r="V35" s="10"/>
      <c r="AC35" s="33"/>
      <c r="AD35" s="45" t="s">
        <v>66</v>
      </c>
      <c r="AE35" s="55"/>
      <c r="AF35" s="56"/>
      <c r="AG35" s="48" t="s">
        <v>67</v>
      </c>
      <c r="AI35" s="50"/>
      <c r="AJ35" s="50"/>
      <c r="AK35" s="50"/>
      <c r="AL35" s="50"/>
    </row>
    <row r="36" spans="1:38" ht="18" customHeight="1">
      <c r="A36" s="9"/>
      <c r="C36" s="198" t="s">
        <v>68</v>
      </c>
      <c r="G36" s="308" t="s">
        <v>69</v>
      </c>
      <c r="M36" s="49"/>
      <c r="N36" s="49"/>
      <c r="O36" s="49"/>
      <c r="P36" s="49"/>
      <c r="Q36" s="49"/>
      <c r="R36" s="160">
        <v>123</v>
      </c>
      <c r="S36" s="50"/>
      <c r="T36" s="50"/>
      <c r="U36" s="49"/>
      <c r="V36" s="10"/>
      <c r="AB36" s="26"/>
      <c r="AC36" s="33"/>
      <c r="AD36" s="45"/>
      <c r="AE36" s="51"/>
      <c r="AF36" s="52"/>
      <c r="AG36" s="47"/>
      <c r="AH36" s="53"/>
      <c r="AI36" s="54"/>
      <c r="AJ36" s="54"/>
      <c r="AK36" s="54"/>
      <c r="AL36" s="50"/>
    </row>
    <row r="37" spans="1:38" ht="18" customHeight="1">
      <c r="A37" s="9"/>
      <c r="C37" s="198" t="s">
        <v>70</v>
      </c>
      <c r="G37" s="308" t="s">
        <v>980</v>
      </c>
      <c r="M37" s="49"/>
      <c r="N37" s="49"/>
      <c r="O37" s="49"/>
      <c r="P37" s="49"/>
      <c r="Q37" s="49"/>
      <c r="R37" s="160">
        <v>127</v>
      </c>
      <c r="S37" s="50"/>
      <c r="T37" s="50"/>
      <c r="U37" s="49"/>
      <c r="V37" s="10"/>
      <c r="AC37" s="33"/>
      <c r="AD37" s="45" t="s">
        <v>66</v>
      </c>
      <c r="AE37" s="55"/>
      <c r="AF37" s="56"/>
      <c r="AG37" s="48" t="s">
        <v>67</v>
      </c>
      <c r="AI37" s="50"/>
      <c r="AJ37" s="50"/>
      <c r="AK37" s="50"/>
      <c r="AL37" s="50"/>
    </row>
    <row r="38" spans="1:38" ht="18" hidden="1" customHeight="1">
      <c r="A38" s="9"/>
      <c r="C38" s="198" t="s">
        <v>71</v>
      </c>
      <c r="G38" s="308" t="s">
        <v>72</v>
      </c>
      <c r="M38" s="49"/>
      <c r="N38" s="49"/>
      <c r="O38" s="49"/>
      <c r="P38" s="49"/>
      <c r="Q38" s="49"/>
      <c r="R38" s="160">
        <v>249</v>
      </c>
      <c r="S38" s="49"/>
      <c r="T38" s="49"/>
      <c r="U38" s="49"/>
      <c r="V38" s="10"/>
      <c r="AB38" s="7"/>
      <c r="AC38" s="57"/>
      <c r="AD38" s="45" t="s">
        <v>73</v>
      </c>
      <c r="AE38" s="48"/>
      <c r="AF38" s="58"/>
      <c r="AG38" s="48" t="s">
        <v>74</v>
      </c>
      <c r="AI38" s="49"/>
      <c r="AJ38" s="49"/>
      <c r="AK38" s="49"/>
      <c r="AL38" s="49"/>
    </row>
    <row r="39" spans="1:38" ht="18" hidden="1" customHeight="1">
      <c r="A39" s="9"/>
      <c r="B39" s="7"/>
      <c r="C39" s="198" t="s">
        <v>75</v>
      </c>
      <c r="D39" s="45"/>
      <c r="E39" s="59"/>
      <c r="F39" s="58"/>
      <c r="G39" s="308" t="s">
        <v>76</v>
      </c>
      <c r="I39" s="49"/>
      <c r="J39" s="49"/>
      <c r="K39" s="49"/>
      <c r="L39" s="49"/>
      <c r="M39" s="49"/>
      <c r="N39" s="49"/>
      <c r="O39" s="49"/>
      <c r="P39" s="49"/>
      <c r="Q39" s="49"/>
      <c r="R39" s="160">
        <v>255</v>
      </c>
      <c r="S39" s="49"/>
      <c r="T39" s="49"/>
      <c r="U39" s="49"/>
      <c r="V39" s="10"/>
    </row>
    <row r="40" spans="1:38" ht="18" customHeight="1">
      <c r="A40" s="9"/>
      <c r="B40" s="32"/>
      <c r="C40" s="198" t="s">
        <v>71</v>
      </c>
      <c r="D40" s="45"/>
      <c r="E40" s="59"/>
      <c r="F40" s="58"/>
      <c r="G40" s="308" t="s">
        <v>984</v>
      </c>
      <c r="I40" s="49"/>
      <c r="J40" s="49"/>
      <c r="K40" s="49"/>
      <c r="L40" s="49"/>
      <c r="M40" s="49"/>
      <c r="N40" s="49"/>
      <c r="O40" s="49"/>
      <c r="P40" s="49"/>
      <c r="Q40" s="49"/>
      <c r="R40" s="160">
        <v>137</v>
      </c>
      <c r="S40" s="49"/>
      <c r="T40" s="49"/>
      <c r="U40" s="49"/>
      <c r="V40" s="10"/>
    </row>
    <row r="41" spans="1:38" ht="18" customHeight="1">
      <c r="A41" s="9"/>
      <c r="B41" s="32"/>
      <c r="C41" s="198" t="s">
        <v>75</v>
      </c>
      <c r="D41" s="45"/>
      <c r="E41" s="59"/>
      <c r="G41" s="308" t="s">
        <v>983</v>
      </c>
      <c r="I41" s="49"/>
      <c r="J41" s="49"/>
      <c r="K41" s="49"/>
      <c r="R41" s="160">
        <v>142</v>
      </c>
      <c r="S41" s="49"/>
      <c r="T41" s="49"/>
      <c r="U41" s="49"/>
      <c r="V41" s="10"/>
    </row>
    <row r="42" spans="1:38" ht="18" customHeight="1">
      <c r="A42" s="9"/>
      <c r="B42" s="32"/>
      <c r="C42" s="198" t="s">
        <v>985</v>
      </c>
      <c r="D42" s="45"/>
      <c r="E42" s="59"/>
      <c r="G42" s="308" t="s">
        <v>986</v>
      </c>
      <c r="I42" s="49"/>
      <c r="J42" s="49"/>
      <c r="K42" s="49"/>
      <c r="L42" s="32"/>
      <c r="M42" s="32"/>
      <c r="N42" s="32"/>
      <c r="O42" s="32"/>
      <c r="P42" s="32"/>
      <c r="Q42" s="32"/>
      <c r="R42" s="149">
        <v>147</v>
      </c>
      <c r="S42" s="49"/>
      <c r="T42" s="49"/>
      <c r="U42" s="49"/>
      <c r="V42" s="10"/>
    </row>
    <row r="43" spans="1:38" ht="18" customHeight="1">
      <c r="A43" s="9"/>
      <c r="B43" s="32"/>
      <c r="C43" s="60"/>
      <c r="D43" s="60"/>
      <c r="E43" s="60"/>
      <c r="F43" s="60"/>
      <c r="H43" s="32"/>
      <c r="I43" s="32"/>
      <c r="J43" s="32"/>
      <c r="K43" s="32"/>
      <c r="L43" s="32"/>
      <c r="M43" s="32"/>
      <c r="N43" s="32"/>
      <c r="O43" s="32"/>
      <c r="P43" s="32"/>
      <c r="Q43" s="32"/>
      <c r="R43" s="32"/>
      <c r="S43" s="49"/>
      <c r="T43" s="49"/>
      <c r="U43" s="49"/>
      <c r="V43" s="10"/>
    </row>
    <row r="44" spans="1:38" ht="18" customHeight="1">
      <c r="A44" s="9"/>
      <c r="B44" s="32"/>
      <c r="C44" s="60"/>
      <c r="D44" s="60"/>
      <c r="E44" s="60"/>
      <c r="F44" s="60"/>
      <c r="G44" s="60"/>
      <c r="H44" s="32"/>
      <c r="I44" s="32"/>
      <c r="J44" s="32"/>
      <c r="K44" s="32"/>
      <c r="L44" s="32"/>
      <c r="M44" s="32"/>
      <c r="N44" s="32"/>
      <c r="O44" s="32"/>
      <c r="P44" s="32"/>
      <c r="Q44" s="32"/>
      <c r="R44" s="32"/>
      <c r="S44" s="49"/>
      <c r="T44" s="49"/>
      <c r="U44" s="49"/>
      <c r="V44" s="10"/>
    </row>
    <row r="45" spans="1:38" ht="18" customHeight="1">
      <c r="A45" s="9"/>
      <c r="B45" s="32"/>
      <c r="C45" s="60"/>
      <c r="D45" s="60"/>
      <c r="E45" s="60"/>
      <c r="F45" s="60"/>
      <c r="G45" s="60"/>
      <c r="H45" s="49"/>
      <c r="I45" s="49"/>
      <c r="J45" s="49"/>
      <c r="K45" s="49"/>
      <c r="L45" s="49"/>
      <c r="M45" s="49"/>
      <c r="N45" s="49"/>
      <c r="O45" s="49"/>
      <c r="P45" s="49"/>
      <c r="Q45" s="49"/>
      <c r="R45" s="49"/>
      <c r="S45" s="49"/>
      <c r="T45" s="49"/>
      <c r="U45" s="49"/>
      <c r="V45" s="10"/>
    </row>
    <row r="46" spans="1:38" ht="18" customHeight="1">
      <c r="A46" s="9"/>
      <c r="B46" s="7"/>
      <c r="C46" s="60"/>
      <c r="D46" s="60"/>
      <c r="E46" s="60"/>
      <c r="F46" s="60"/>
      <c r="G46" s="60"/>
      <c r="H46" s="49"/>
      <c r="I46" s="49"/>
      <c r="J46" s="49"/>
      <c r="K46" s="49"/>
      <c r="L46" s="49"/>
      <c r="M46" s="49"/>
      <c r="N46" s="49"/>
      <c r="O46" s="49"/>
      <c r="P46" s="61"/>
      <c r="Q46" s="62"/>
      <c r="R46" s="62"/>
      <c r="S46" s="62"/>
      <c r="T46" s="62"/>
      <c r="U46" s="62"/>
      <c r="V46" s="63"/>
      <c r="W46" s="64"/>
      <c r="X46" s="64"/>
    </row>
    <row r="47" spans="1:38" ht="18" customHeight="1">
      <c r="A47" s="9"/>
      <c r="V47" s="10"/>
    </row>
    <row r="48" spans="1:38" s="5" customFormat="1" ht="18" customHeight="1">
      <c r="A48" s="65"/>
      <c r="B48" s="66"/>
      <c r="C48" s="66"/>
      <c r="D48" s="66"/>
      <c r="E48" s="66"/>
      <c r="F48" s="66"/>
      <c r="G48" s="66"/>
      <c r="H48" s="66"/>
      <c r="I48" s="66"/>
      <c r="J48" s="66"/>
      <c r="K48" s="66"/>
      <c r="L48" s="66"/>
      <c r="M48" s="66"/>
      <c r="N48" s="66"/>
      <c r="O48" s="66"/>
      <c r="P48" s="66"/>
      <c r="Q48" s="66"/>
      <c r="R48" s="66"/>
      <c r="S48" s="66"/>
      <c r="T48" s="66"/>
      <c r="U48" s="66"/>
      <c r="V48" s="67"/>
      <c r="W48" s="4"/>
      <c r="X48" s="4"/>
    </row>
  </sheetData>
  <mergeCells count="18">
    <mergeCell ref="O3:Q3"/>
    <mergeCell ref="R3:V3"/>
    <mergeCell ref="AA23:AM23"/>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s>
  <phoneticPr fontId="5" type="noConversion"/>
  <hyperlinks>
    <hyperlink ref="D11" location="'SHT VT Cal'!A1" display="VT Calculations" xr:uid="{6E037626-9B18-45B7-8787-3D656DDB7DF9}"/>
  </hyperlinks>
  <printOptions horizontalCentered="1" verticalCentered="1"/>
  <pageMargins left="0.5" right="0.5" top="0.5" bottom="0.5" header="0" footer="0"/>
  <pageSetup paperSize="9" scale="90" orientation="portrait"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B8521-BBBC-4B82-BCB8-C828179F8600}">
  <sheetPr codeName="Sheet5">
    <tabColor indexed="44"/>
  </sheetPr>
  <dimension ref="A1:Z73"/>
  <sheetViews>
    <sheetView view="pageBreakPreview" zoomScale="115" zoomScaleNormal="100" zoomScaleSheetLayoutView="115" workbookViewId="0">
      <selection activeCell="K13" sqref="K13"/>
    </sheetView>
  </sheetViews>
  <sheetFormatPr defaultColWidth="4.33203125" defaultRowHeight="18" customHeight="1"/>
  <cols>
    <col min="1" max="2" width="4.33203125" style="5"/>
    <col min="3" max="3" width="4.33203125" style="103"/>
    <col min="4"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6"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74" t="str">
        <f>Title!R1</f>
        <v>N-19957.1-DF5W</v>
      </c>
      <c r="S1" s="775"/>
      <c r="T1" s="775"/>
      <c r="U1" s="775"/>
      <c r="V1" s="776"/>
      <c r="W1" s="4"/>
      <c r="X1" s="4"/>
    </row>
    <row r="2" spans="1:26" ht="18" customHeight="1">
      <c r="A2" s="720"/>
      <c r="B2" s="721"/>
      <c r="C2" s="721"/>
      <c r="D2" s="721"/>
      <c r="E2" s="721"/>
      <c r="F2" s="721"/>
      <c r="G2" s="722"/>
      <c r="H2" s="729" t="str">
        <f>Title!H2</f>
        <v>ADEQUACY CHECK</v>
      </c>
      <c r="I2" s="730"/>
      <c r="J2" s="730"/>
      <c r="K2" s="730"/>
      <c r="L2" s="730"/>
      <c r="M2" s="730"/>
      <c r="N2" s="731"/>
      <c r="O2" s="702" t="str">
        <f>Title!O2</f>
        <v>Date</v>
      </c>
      <c r="P2" s="703"/>
      <c r="Q2" s="704"/>
      <c r="R2" s="777">
        <f>Title!R2</f>
        <v>46106</v>
      </c>
      <c r="S2" s="775"/>
      <c r="T2" s="775"/>
      <c r="U2" s="775"/>
      <c r="V2" s="776"/>
      <c r="W2" s="4"/>
      <c r="X2" s="4"/>
    </row>
    <row r="3" spans="1:26" ht="22.2"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8" t="str">
        <f>Title!R3</f>
        <v>-</v>
      </c>
      <c r="S3" s="710"/>
      <c r="T3" s="710"/>
      <c r="U3" s="710"/>
      <c r="V3" s="709"/>
      <c r="W3" s="4"/>
      <c r="X3" s="4"/>
    </row>
    <row r="4" spans="1:26" ht="18" customHeight="1">
      <c r="A4" s="723"/>
      <c r="B4" s="724"/>
      <c r="C4" s="724"/>
      <c r="D4" s="724"/>
      <c r="E4" s="724"/>
      <c r="F4" s="724"/>
      <c r="G4" s="725"/>
      <c r="H4" s="738"/>
      <c r="I4" s="739"/>
      <c r="J4" s="739"/>
      <c r="K4" s="739"/>
      <c r="L4" s="739"/>
      <c r="M4" s="739"/>
      <c r="N4" s="740"/>
      <c r="O4" s="702" t="str">
        <f>Title!O4</f>
        <v>Revision No.</v>
      </c>
      <c r="P4" s="703"/>
      <c r="Q4" s="704"/>
      <c r="R4" s="774" t="str">
        <f>Title!R4</f>
        <v>A</v>
      </c>
      <c r="S4" s="775"/>
      <c r="T4" s="775"/>
      <c r="U4" s="775"/>
      <c r="V4" s="776"/>
      <c r="W4" s="68"/>
      <c r="X4" s="68"/>
    </row>
    <row r="5" spans="1:26" ht="18" customHeight="1">
      <c r="A5" s="708" t="str">
        <f>Title!A5</f>
        <v>Prep. By</v>
      </c>
      <c r="B5" s="709"/>
      <c r="C5" s="25" t="str">
        <f>Title!C5</f>
        <v>AP</v>
      </c>
      <c r="D5" s="708" t="str">
        <f>Title!D5</f>
        <v>Checked By</v>
      </c>
      <c r="E5" s="710"/>
      <c r="F5" s="709"/>
      <c r="G5" s="25" t="str">
        <f>Title!G5</f>
        <v>RB</v>
      </c>
      <c r="H5" s="779" t="s">
        <v>77</v>
      </c>
      <c r="I5" s="780"/>
      <c r="J5" s="780"/>
      <c r="K5" s="780"/>
      <c r="L5" s="780"/>
      <c r="M5" s="780"/>
      <c r="N5" s="781"/>
      <c r="O5" s="714" t="str">
        <f>Title!O5</f>
        <v>Contractor</v>
      </c>
      <c r="P5" s="715"/>
      <c r="Q5" s="716"/>
      <c r="R5" s="774" t="str">
        <f>Title!R5</f>
        <v>HITACHI</v>
      </c>
      <c r="S5" s="775"/>
      <c r="T5" s="775"/>
      <c r="U5" s="775"/>
      <c r="V5" s="776"/>
      <c r="W5" s="68"/>
      <c r="X5" s="68"/>
    </row>
    <row r="6" spans="1:26" ht="18" customHeight="1">
      <c r="A6" s="69"/>
      <c r="B6" s="4"/>
      <c r="C6" s="70"/>
      <c r="D6" s="4"/>
      <c r="E6" s="4"/>
      <c r="F6" s="4"/>
      <c r="G6" s="4"/>
      <c r="H6" s="4"/>
      <c r="I6" s="4"/>
      <c r="J6" s="4"/>
      <c r="K6" s="4"/>
      <c r="L6" s="4"/>
      <c r="M6" s="4"/>
      <c r="N6" s="4"/>
      <c r="O6" s="4"/>
      <c r="P6" s="4"/>
      <c r="Q6" s="4"/>
      <c r="R6" s="4"/>
      <c r="S6" s="4"/>
      <c r="T6" s="4"/>
      <c r="U6" s="4"/>
      <c r="V6" s="71"/>
      <c r="W6" s="4"/>
      <c r="X6" s="4"/>
    </row>
    <row r="7" spans="1:26" ht="18" customHeight="1">
      <c r="A7" s="72"/>
      <c r="B7" s="26"/>
      <c r="C7" s="70"/>
      <c r="D7" s="73"/>
      <c r="E7" s="4"/>
      <c r="F7" s="4"/>
      <c r="G7" s="4"/>
      <c r="H7" s="4"/>
      <c r="I7" s="4"/>
      <c r="J7" s="4"/>
      <c r="K7" s="4"/>
      <c r="L7" s="4"/>
      <c r="M7" s="4"/>
      <c r="N7" s="4"/>
      <c r="O7" s="4"/>
      <c r="P7" s="4"/>
      <c r="Q7" s="4"/>
      <c r="R7" s="4"/>
      <c r="S7" s="4"/>
      <c r="T7" s="4"/>
      <c r="U7" s="4"/>
      <c r="V7" s="71"/>
      <c r="W7" s="4"/>
      <c r="X7" s="4"/>
    </row>
    <row r="8" spans="1:26" ht="18" customHeight="1">
      <c r="A8" s="69"/>
      <c r="B8" s="4"/>
      <c r="C8" s="29" t="s">
        <v>77</v>
      </c>
      <c r="D8" s="4"/>
      <c r="E8" s="4"/>
      <c r="F8" s="4"/>
      <c r="G8" s="4"/>
      <c r="H8" s="4"/>
      <c r="I8" s="4"/>
      <c r="J8" s="4"/>
      <c r="K8" s="4"/>
      <c r="L8" s="4"/>
      <c r="M8" s="4"/>
      <c r="N8" s="4"/>
      <c r="O8" s="4"/>
      <c r="P8" s="4"/>
      <c r="Q8" s="4"/>
      <c r="R8" s="4"/>
      <c r="S8" s="4"/>
      <c r="T8" s="4"/>
      <c r="U8" s="4"/>
      <c r="V8" s="71"/>
      <c r="W8" s="4"/>
      <c r="X8" s="4"/>
    </row>
    <row r="9" spans="1:26" ht="18" customHeight="1">
      <c r="A9" s="69"/>
      <c r="B9" s="26"/>
      <c r="C9" s="70"/>
      <c r="D9" s="73"/>
      <c r="E9" s="4"/>
      <c r="F9" s="4"/>
      <c r="G9" s="4"/>
      <c r="H9" s="4"/>
      <c r="I9" s="4"/>
      <c r="J9" s="4"/>
      <c r="K9" s="4"/>
      <c r="L9" s="4"/>
      <c r="M9" s="4"/>
      <c r="N9" s="4"/>
      <c r="O9" s="4"/>
      <c r="P9" s="4"/>
      <c r="Q9" s="4"/>
      <c r="R9" s="4"/>
      <c r="S9" s="4"/>
      <c r="T9" s="4"/>
      <c r="U9" s="4"/>
      <c r="V9" s="71"/>
      <c r="W9" s="4"/>
      <c r="X9" s="4"/>
    </row>
    <row r="10" spans="1:26" ht="18" customHeight="1">
      <c r="A10" s="69"/>
      <c r="B10" s="28">
        <v>1</v>
      </c>
      <c r="C10" s="778" t="s">
        <v>839</v>
      </c>
      <c r="D10" s="778"/>
      <c r="E10" s="778"/>
      <c r="F10" s="778"/>
      <c r="G10" s="778"/>
      <c r="H10" s="778"/>
      <c r="I10" s="778"/>
      <c r="J10" s="778"/>
      <c r="K10" s="778"/>
      <c r="L10" s="778"/>
      <c r="M10" s="778"/>
      <c r="N10" s="778"/>
      <c r="O10" s="778"/>
      <c r="P10" s="778"/>
      <c r="Q10" s="778"/>
      <c r="R10" s="778"/>
      <c r="S10" s="778"/>
      <c r="T10" s="778"/>
      <c r="U10" s="778"/>
      <c r="V10" s="71"/>
      <c r="W10" s="4"/>
      <c r="X10" s="4"/>
    </row>
    <row r="11" spans="1:26" ht="18" customHeight="1">
      <c r="A11" s="69"/>
      <c r="B11" s="28"/>
      <c r="C11" s="778"/>
      <c r="D11" s="778"/>
      <c r="E11" s="778"/>
      <c r="F11" s="778"/>
      <c r="G11" s="778"/>
      <c r="H11" s="778"/>
      <c r="I11" s="778"/>
      <c r="J11" s="778"/>
      <c r="K11" s="778"/>
      <c r="L11" s="778"/>
      <c r="M11" s="778"/>
      <c r="N11" s="778"/>
      <c r="O11" s="778"/>
      <c r="P11" s="778"/>
      <c r="Q11" s="778"/>
      <c r="R11" s="778"/>
      <c r="S11" s="778"/>
      <c r="T11" s="778"/>
      <c r="U11" s="778"/>
      <c r="V11" s="71"/>
      <c r="W11" s="4"/>
      <c r="X11" s="4"/>
    </row>
    <row r="12" spans="1:26" ht="18" customHeight="1">
      <c r="A12" s="69"/>
      <c r="B12" s="28">
        <v>2</v>
      </c>
      <c r="C12" s="490" t="s">
        <v>840</v>
      </c>
      <c r="D12" s="512"/>
      <c r="E12" s="512"/>
      <c r="F12" s="512"/>
      <c r="G12" s="512"/>
      <c r="H12" s="512"/>
      <c r="I12" s="512"/>
      <c r="J12" s="512"/>
      <c r="K12" s="512"/>
      <c r="L12" s="512"/>
      <c r="M12" s="512"/>
      <c r="N12" s="512"/>
      <c r="O12" s="512"/>
      <c r="P12" s="512"/>
      <c r="Q12" s="512"/>
      <c r="R12" s="512"/>
      <c r="S12" s="512"/>
      <c r="T12" s="512"/>
      <c r="U12" s="512"/>
      <c r="V12" s="71"/>
      <c r="W12" s="4"/>
      <c r="X12" s="4"/>
      <c r="Z12" s="5" t="s">
        <v>78</v>
      </c>
    </row>
    <row r="13" spans="1:26" ht="18" customHeight="1">
      <c r="A13" s="69"/>
      <c r="B13" s="28">
        <v>3</v>
      </c>
      <c r="C13" s="490" t="s">
        <v>841</v>
      </c>
      <c r="D13" s="512"/>
      <c r="E13" s="512"/>
      <c r="F13" s="512"/>
      <c r="G13" s="512"/>
      <c r="H13" s="512"/>
      <c r="I13" s="512"/>
      <c r="J13" s="512"/>
      <c r="K13" s="512"/>
      <c r="L13" s="512"/>
      <c r="M13" s="512"/>
      <c r="N13" s="512"/>
      <c r="O13" s="512"/>
      <c r="P13" s="512"/>
      <c r="Q13" s="512"/>
      <c r="R13" s="512"/>
      <c r="S13" s="512"/>
      <c r="T13" s="512"/>
      <c r="U13" s="512"/>
      <c r="V13" s="71"/>
      <c r="W13" s="4"/>
      <c r="X13" s="4"/>
    </row>
    <row r="14" spans="1:26" ht="18" customHeight="1">
      <c r="A14" s="69"/>
      <c r="B14" s="28">
        <v>4</v>
      </c>
      <c r="C14" s="490" t="s">
        <v>842</v>
      </c>
      <c r="D14" s="75"/>
      <c r="E14" s="4"/>
      <c r="F14" s="4"/>
      <c r="G14" s="4"/>
      <c r="H14" s="4"/>
      <c r="I14" s="4"/>
      <c r="J14" s="4"/>
      <c r="K14" s="4"/>
      <c r="L14" s="4"/>
      <c r="M14" s="4"/>
      <c r="N14" s="4"/>
      <c r="O14" s="4"/>
      <c r="P14" s="4"/>
      <c r="Q14" s="4"/>
      <c r="R14" s="4"/>
      <c r="S14" s="4"/>
      <c r="T14" s="4"/>
      <c r="U14" s="4"/>
      <c r="V14" s="71"/>
      <c r="W14" s="4"/>
      <c r="X14" s="4"/>
    </row>
    <row r="15" spans="1:26" ht="18" customHeight="1">
      <c r="A15" s="69"/>
      <c r="B15" s="28">
        <v>5</v>
      </c>
      <c r="C15" s="513" t="s">
        <v>843</v>
      </c>
      <c r="D15" s="73"/>
      <c r="E15" s="4"/>
      <c r="F15" s="4"/>
      <c r="G15" s="4"/>
      <c r="H15" s="4"/>
      <c r="I15" s="4"/>
      <c r="J15" s="4"/>
      <c r="K15" s="4"/>
      <c r="L15" s="4"/>
      <c r="M15" s="4"/>
      <c r="N15" s="4"/>
      <c r="O15" s="4"/>
      <c r="P15" s="4"/>
      <c r="Q15" s="4"/>
      <c r="R15" s="4"/>
      <c r="S15" s="4"/>
      <c r="T15" s="4"/>
      <c r="U15" s="4"/>
      <c r="V15" s="71"/>
      <c r="W15" s="4"/>
      <c r="X15" s="4"/>
    </row>
    <row r="16" spans="1:26" ht="18" customHeight="1">
      <c r="A16" s="76"/>
      <c r="B16" s="28">
        <v>6</v>
      </c>
      <c r="C16" s="40" t="s">
        <v>960</v>
      </c>
      <c r="D16" s="77"/>
      <c r="E16" s="75"/>
      <c r="F16" s="75"/>
      <c r="G16" s="75"/>
      <c r="H16" s="75"/>
      <c r="I16" s="75"/>
      <c r="J16" s="75"/>
      <c r="K16" s="75"/>
      <c r="L16" s="75"/>
      <c r="M16" s="75"/>
      <c r="N16" s="75"/>
      <c r="O16" s="75"/>
      <c r="P16" s="75"/>
      <c r="Q16" s="75"/>
      <c r="R16" s="75"/>
      <c r="S16" s="75"/>
      <c r="T16" s="75"/>
      <c r="U16" s="75"/>
      <c r="V16" s="78"/>
      <c r="W16" s="75"/>
      <c r="X16" s="75"/>
    </row>
    <row r="17" spans="1:24" ht="18" customHeight="1">
      <c r="A17" s="76"/>
      <c r="B17" s="28"/>
      <c r="D17" s="29"/>
      <c r="E17" s="4"/>
      <c r="F17" s="80"/>
      <c r="G17" s="80"/>
      <c r="H17" s="75"/>
      <c r="I17" s="75"/>
      <c r="J17" s="75"/>
      <c r="K17" s="75"/>
      <c r="L17" s="75"/>
      <c r="M17" s="75"/>
      <c r="N17" s="75"/>
      <c r="O17" s="75"/>
      <c r="P17" s="75"/>
      <c r="Q17" s="75"/>
      <c r="R17" s="75"/>
      <c r="S17" s="75"/>
      <c r="T17" s="75"/>
      <c r="U17" s="75"/>
      <c r="V17" s="78"/>
      <c r="W17" s="75"/>
      <c r="X17" s="75"/>
    </row>
    <row r="18" spans="1:24" ht="18" customHeight="1">
      <c r="A18" s="81"/>
      <c r="D18" s="14"/>
      <c r="E18" s="77"/>
      <c r="F18" s="77"/>
      <c r="G18" s="77"/>
      <c r="H18" s="77"/>
      <c r="I18" s="77"/>
      <c r="J18" s="77"/>
      <c r="K18" s="77"/>
      <c r="L18" s="77"/>
      <c r="M18" s="77"/>
      <c r="N18" s="77"/>
      <c r="O18" s="77"/>
      <c r="P18" s="77"/>
      <c r="Q18" s="77"/>
      <c r="R18" s="77"/>
      <c r="S18" s="77"/>
      <c r="T18" s="77"/>
      <c r="U18" s="77"/>
      <c r="V18" s="82"/>
      <c r="W18" s="77"/>
      <c r="X18" s="77"/>
    </row>
    <row r="19" spans="1:24" ht="18" customHeight="1">
      <c r="A19" s="83"/>
      <c r="B19" s="28"/>
      <c r="C19" s="40"/>
      <c r="D19" s="14"/>
      <c r="E19" s="29"/>
      <c r="F19" s="29"/>
      <c r="G19" s="29"/>
      <c r="H19" s="29"/>
      <c r="I19" s="29"/>
      <c r="J19" s="29"/>
      <c r="K19" s="29"/>
      <c r="L19" s="29"/>
      <c r="M19" s="29"/>
      <c r="N19" s="29"/>
      <c r="O19" s="29"/>
      <c r="P19" s="29"/>
      <c r="Q19" s="84"/>
      <c r="R19" s="84"/>
      <c r="S19" s="84"/>
      <c r="T19" s="84"/>
      <c r="U19" s="84"/>
      <c r="V19" s="85"/>
      <c r="W19" s="68"/>
      <c r="X19" s="68"/>
    </row>
    <row r="20" spans="1:24" ht="18" customHeight="1">
      <c r="A20" s="86"/>
      <c r="B20" s="87"/>
      <c r="C20" s="14"/>
      <c r="D20" s="88"/>
      <c r="E20" s="89"/>
      <c r="F20" s="90"/>
      <c r="G20" s="90"/>
      <c r="H20" s="90"/>
      <c r="I20" s="90"/>
      <c r="J20" s="90"/>
      <c r="K20" s="90"/>
      <c r="L20" s="90"/>
      <c r="M20" s="90"/>
      <c r="N20" s="90"/>
      <c r="O20" s="90"/>
      <c r="P20" s="90"/>
      <c r="Q20" s="90"/>
      <c r="R20" s="90"/>
      <c r="S20" s="90"/>
      <c r="T20" s="90"/>
      <c r="U20" s="90"/>
      <c r="V20" s="91"/>
      <c r="W20" s="75"/>
      <c r="X20" s="75"/>
    </row>
    <row r="21" spans="1:24" ht="18" customHeight="1">
      <c r="A21" s="92"/>
      <c r="B21" s="28"/>
      <c r="C21" s="93"/>
      <c r="D21" s="93"/>
      <c r="E21" s="93"/>
      <c r="F21" s="93"/>
      <c r="G21" s="93"/>
      <c r="H21" s="93"/>
      <c r="I21" s="93"/>
      <c r="J21" s="93"/>
      <c r="K21" s="93"/>
      <c r="L21" s="93"/>
      <c r="M21" s="93"/>
      <c r="N21" s="93"/>
      <c r="O21" s="93"/>
      <c r="P21" s="93"/>
      <c r="Q21" s="93"/>
      <c r="R21" s="93"/>
      <c r="S21" s="93"/>
      <c r="T21" s="93"/>
      <c r="U21" s="93"/>
      <c r="V21" s="94"/>
      <c r="W21" s="95"/>
      <c r="X21" s="61"/>
    </row>
    <row r="22" spans="1:24" ht="18" customHeight="1">
      <c r="A22" s="96"/>
      <c r="B22" s="28"/>
      <c r="C22" s="93"/>
      <c r="D22" s="93"/>
      <c r="E22" s="93"/>
      <c r="F22" s="93"/>
      <c r="G22" s="93"/>
      <c r="H22" s="93"/>
      <c r="I22" s="93"/>
      <c r="J22" s="93"/>
      <c r="K22" s="93"/>
      <c r="L22" s="93"/>
      <c r="M22" s="93"/>
      <c r="N22" s="93"/>
      <c r="O22" s="93"/>
      <c r="P22" s="93"/>
      <c r="Q22" s="93"/>
      <c r="R22" s="93"/>
      <c r="S22" s="93"/>
      <c r="T22" s="93"/>
      <c r="U22" s="93"/>
      <c r="V22" s="97"/>
    </row>
    <row r="23" spans="1:24" ht="18" customHeight="1">
      <c r="A23" s="83"/>
      <c r="B23" s="28"/>
      <c r="C23" s="40"/>
      <c r="E23" s="7"/>
      <c r="F23" s="14"/>
      <c r="G23" s="14"/>
      <c r="H23" s="14"/>
      <c r="I23" s="14"/>
      <c r="J23" s="14"/>
      <c r="K23" s="14"/>
      <c r="L23" s="14"/>
      <c r="M23" s="14"/>
      <c r="N23" s="14"/>
      <c r="O23" s="14"/>
      <c r="P23" s="14"/>
      <c r="Q23" s="14"/>
      <c r="R23" s="14"/>
      <c r="S23" s="14"/>
      <c r="T23" s="14"/>
      <c r="U23" s="14"/>
      <c r="V23" s="97"/>
    </row>
    <row r="24" spans="1:24" ht="18" customHeight="1">
      <c r="A24" s="98"/>
      <c r="B24" s="99"/>
      <c r="C24" s="40"/>
      <c r="E24" s="7"/>
      <c r="F24" s="14"/>
      <c r="G24" s="14"/>
      <c r="H24" s="14"/>
      <c r="I24" s="14"/>
      <c r="J24" s="14"/>
      <c r="K24" s="14"/>
      <c r="L24" s="14"/>
      <c r="M24" s="14"/>
      <c r="N24" s="14"/>
      <c r="O24" s="14"/>
      <c r="P24" s="14"/>
      <c r="Q24" s="14"/>
      <c r="R24" s="14"/>
      <c r="S24" s="14"/>
      <c r="T24" s="14"/>
      <c r="U24" s="13"/>
      <c r="V24" s="100"/>
      <c r="W24" s="4"/>
      <c r="X24" s="4"/>
    </row>
    <row r="25" spans="1:24" ht="18" customHeight="1">
      <c r="A25" s="98"/>
      <c r="B25" s="99"/>
      <c r="C25" s="79"/>
      <c r="D25" s="74"/>
      <c r="E25" s="7"/>
      <c r="F25" s="14"/>
      <c r="G25" s="14"/>
      <c r="H25" s="14"/>
      <c r="I25" s="14"/>
      <c r="J25" s="14"/>
      <c r="K25" s="14"/>
      <c r="L25" s="14"/>
      <c r="M25" s="14"/>
      <c r="N25" s="14"/>
      <c r="O25" s="14"/>
      <c r="P25" s="14"/>
      <c r="Q25" s="14"/>
      <c r="R25" s="14"/>
      <c r="S25" s="28"/>
      <c r="T25" s="28"/>
      <c r="U25" s="28"/>
      <c r="V25" s="101"/>
      <c r="W25" s="27"/>
      <c r="X25" s="27"/>
    </row>
    <row r="26" spans="1:24" ht="18" customHeight="1">
      <c r="A26" s="98"/>
      <c r="B26" s="99"/>
      <c r="C26" s="79"/>
      <c r="D26" s="79"/>
      <c r="E26" s="7"/>
      <c r="F26" s="14"/>
      <c r="G26" s="14"/>
      <c r="H26" s="14"/>
      <c r="I26" s="14"/>
      <c r="J26" s="14"/>
      <c r="K26" s="14"/>
      <c r="L26" s="14"/>
      <c r="M26" s="14"/>
      <c r="N26" s="14"/>
      <c r="O26" s="14"/>
      <c r="P26" s="14"/>
      <c r="Q26" s="14"/>
      <c r="R26" s="14"/>
      <c r="S26" s="28"/>
      <c r="T26" s="28"/>
      <c r="U26" s="28"/>
      <c r="V26" s="101"/>
      <c r="W26" s="27"/>
      <c r="X26" s="27"/>
    </row>
    <row r="27" spans="1:24" ht="18" customHeight="1">
      <c r="A27" s="98"/>
      <c r="B27" s="99"/>
      <c r="C27" s="79"/>
      <c r="D27" s="79"/>
      <c r="E27" s="79"/>
      <c r="F27" s="79"/>
      <c r="G27" s="14"/>
      <c r="H27" s="102"/>
      <c r="I27" s="28"/>
      <c r="J27" s="99"/>
      <c r="K27" s="99"/>
      <c r="L27" s="99"/>
      <c r="M27" s="14"/>
      <c r="N27" s="14"/>
      <c r="O27" s="99"/>
      <c r="P27" s="13"/>
      <c r="Q27" s="13"/>
      <c r="R27" s="13"/>
      <c r="S27" s="13"/>
      <c r="T27" s="13"/>
      <c r="U27" s="13"/>
      <c r="V27" s="100"/>
      <c r="W27" s="4"/>
      <c r="X27" s="4"/>
    </row>
    <row r="28" spans="1:24" ht="18" customHeight="1">
      <c r="A28" s="98"/>
      <c r="D28" s="12"/>
      <c r="E28" s="89"/>
      <c r="F28" s="79"/>
      <c r="G28" s="14"/>
      <c r="H28" s="99"/>
      <c r="I28" s="14"/>
      <c r="J28" s="99"/>
      <c r="K28" s="99"/>
      <c r="L28" s="99"/>
      <c r="M28" s="14"/>
      <c r="N28" s="13"/>
      <c r="O28" s="13"/>
      <c r="P28" s="13"/>
      <c r="Q28" s="13"/>
      <c r="R28" s="13"/>
      <c r="S28" s="13"/>
      <c r="T28" s="13"/>
      <c r="U28" s="13"/>
      <c r="V28" s="100"/>
      <c r="W28" s="4"/>
      <c r="X28" s="4"/>
    </row>
    <row r="29" spans="1:24" ht="18" customHeight="1">
      <c r="A29" s="98"/>
      <c r="C29" s="104"/>
      <c r="D29" s="104"/>
      <c r="E29" s="14"/>
      <c r="F29" s="14"/>
      <c r="G29" s="14"/>
      <c r="H29" s="14"/>
      <c r="I29" s="14"/>
      <c r="J29" s="14"/>
      <c r="K29" s="14"/>
      <c r="L29" s="14"/>
      <c r="M29" s="14"/>
      <c r="N29" s="14"/>
      <c r="O29" s="13"/>
      <c r="P29" s="13"/>
      <c r="Q29" s="13"/>
      <c r="R29" s="13"/>
      <c r="S29" s="13"/>
      <c r="T29" s="13"/>
      <c r="U29" s="13"/>
      <c r="V29" s="100"/>
      <c r="W29" s="4"/>
      <c r="X29" s="4"/>
    </row>
    <row r="30" spans="1:24" ht="18" customHeight="1">
      <c r="A30" s="98"/>
      <c r="D30" s="13"/>
      <c r="E30" s="13"/>
      <c r="F30" s="13"/>
      <c r="G30" s="13"/>
      <c r="H30" s="13"/>
      <c r="I30" s="13"/>
      <c r="J30" s="13"/>
      <c r="K30" s="13"/>
      <c r="L30" s="13"/>
      <c r="M30" s="13"/>
      <c r="N30" s="13"/>
      <c r="O30" s="13"/>
      <c r="P30" s="13"/>
      <c r="Q30" s="13"/>
      <c r="R30" s="13"/>
      <c r="S30" s="13"/>
      <c r="T30" s="13"/>
      <c r="U30" s="13"/>
      <c r="V30" s="100"/>
      <c r="W30" s="4"/>
      <c r="X30" s="4"/>
    </row>
    <row r="31" spans="1:24" ht="18" customHeight="1">
      <c r="A31" s="98"/>
      <c r="B31" s="28"/>
      <c r="C31" s="14"/>
      <c r="D31" s="13"/>
      <c r="E31" s="13"/>
      <c r="F31" s="13"/>
      <c r="G31" s="13"/>
      <c r="H31" s="13"/>
      <c r="I31" s="13"/>
      <c r="J31" s="13"/>
      <c r="K31" s="13"/>
      <c r="L31" s="13"/>
      <c r="M31" s="13"/>
      <c r="N31" s="13"/>
      <c r="O31" s="13"/>
      <c r="P31" s="13"/>
      <c r="Q31" s="13"/>
      <c r="R31" s="13"/>
      <c r="S31" s="13"/>
      <c r="T31" s="13"/>
      <c r="U31" s="13"/>
      <c r="V31" s="100"/>
      <c r="W31" s="4"/>
      <c r="X31" s="4"/>
    </row>
    <row r="32" spans="1:24" ht="18" customHeight="1">
      <c r="A32" s="98"/>
      <c r="B32" s="28"/>
      <c r="C32" s="14"/>
      <c r="D32" s="13"/>
      <c r="E32" s="13"/>
      <c r="F32" s="13"/>
      <c r="G32" s="13"/>
      <c r="H32" s="13"/>
      <c r="I32" s="13"/>
      <c r="J32" s="13"/>
      <c r="K32" s="13"/>
      <c r="L32" s="14"/>
      <c r="M32" s="105"/>
      <c r="N32" s="13"/>
      <c r="O32" s="14"/>
      <c r="P32" s="13"/>
      <c r="Q32" s="13"/>
      <c r="R32" s="13"/>
      <c r="S32" s="13"/>
      <c r="T32" s="13"/>
      <c r="U32" s="13"/>
      <c r="V32" s="100"/>
      <c r="W32" s="4"/>
      <c r="X32" s="4"/>
    </row>
    <row r="33" spans="1:25" ht="18" customHeight="1">
      <c r="A33" s="98"/>
      <c r="B33" s="28"/>
      <c r="C33" s="14"/>
      <c r="D33" s="13"/>
      <c r="E33" s="13"/>
      <c r="F33" s="13"/>
      <c r="G33" s="13"/>
      <c r="H33" s="13"/>
      <c r="I33" s="13"/>
      <c r="J33" s="13"/>
      <c r="K33" s="13"/>
      <c r="L33" s="14"/>
      <c r="M33" s="13"/>
      <c r="N33" s="13"/>
      <c r="O33" s="14"/>
      <c r="P33" s="13"/>
      <c r="Q33" s="13"/>
      <c r="R33" s="13"/>
      <c r="S33" s="13"/>
      <c r="T33" s="13"/>
      <c r="U33" s="13"/>
      <c r="V33" s="100"/>
      <c r="W33" s="4"/>
      <c r="X33" s="4"/>
    </row>
    <row r="34" spans="1:25" ht="18" customHeight="1">
      <c r="A34" s="98"/>
      <c r="B34" s="103"/>
      <c r="D34" s="13"/>
      <c r="E34" s="13"/>
      <c r="F34" s="13"/>
      <c r="G34" s="13"/>
      <c r="H34" s="13"/>
      <c r="I34" s="13"/>
      <c r="J34" s="13"/>
      <c r="K34" s="13"/>
      <c r="L34" s="14"/>
      <c r="M34" s="13"/>
      <c r="N34" s="13"/>
      <c r="O34" s="14"/>
      <c r="P34" s="13"/>
      <c r="Q34" s="13"/>
      <c r="R34" s="13"/>
      <c r="S34" s="13"/>
      <c r="T34" s="13"/>
      <c r="U34" s="13"/>
      <c r="V34" s="100"/>
      <c r="W34" s="4"/>
      <c r="X34" s="4"/>
    </row>
    <row r="35" spans="1:25" ht="18" customHeight="1">
      <c r="A35" s="98"/>
      <c r="B35" s="14"/>
      <c r="C35" s="79"/>
      <c r="D35" s="14"/>
      <c r="E35" s="14"/>
      <c r="F35" s="14"/>
      <c r="G35" s="14"/>
      <c r="H35" s="14"/>
      <c r="I35" s="14"/>
      <c r="J35" s="14"/>
      <c r="K35" s="14"/>
      <c r="L35" s="14"/>
      <c r="M35" s="13"/>
      <c r="N35" s="13"/>
      <c r="O35" s="14"/>
      <c r="P35" s="13"/>
      <c r="Q35" s="13"/>
      <c r="R35" s="13"/>
      <c r="S35" s="13"/>
      <c r="T35" s="13"/>
      <c r="U35" s="13"/>
      <c r="V35" s="100"/>
      <c r="W35" s="4"/>
      <c r="X35" s="4"/>
    </row>
    <row r="36" spans="1:25" ht="18" customHeight="1">
      <c r="A36" s="98"/>
      <c r="B36" s="14"/>
      <c r="C36" s="28"/>
      <c r="D36" s="14"/>
      <c r="E36" s="14"/>
      <c r="F36" s="14"/>
      <c r="G36" s="14"/>
      <c r="H36" s="14"/>
      <c r="I36" s="14"/>
      <c r="J36" s="14"/>
      <c r="K36" s="14"/>
      <c r="L36" s="14"/>
      <c r="M36" s="13"/>
      <c r="N36" s="13"/>
      <c r="O36" s="14"/>
      <c r="P36" s="13"/>
      <c r="Q36" s="13"/>
      <c r="R36" s="13"/>
      <c r="S36" s="13"/>
      <c r="T36" s="13"/>
      <c r="U36" s="13"/>
      <c r="V36" s="100"/>
      <c r="W36" s="4"/>
      <c r="X36" s="4"/>
    </row>
    <row r="37" spans="1:25" ht="18" customHeight="1">
      <c r="A37" s="98"/>
      <c r="B37" s="14"/>
      <c r="C37" s="47"/>
      <c r="D37" s="14"/>
      <c r="E37" s="14"/>
      <c r="F37" s="14"/>
      <c r="G37" s="14"/>
      <c r="H37" s="14"/>
      <c r="I37" s="14"/>
      <c r="J37" s="14"/>
      <c r="K37" s="14"/>
      <c r="L37" s="14"/>
      <c r="M37" s="13"/>
      <c r="N37" s="13"/>
      <c r="O37" s="14"/>
      <c r="P37" s="13"/>
      <c r="Q37" s="13"/>
      <c r="R37" s="13"/>
      <c r="S37" s="13"/>
      <c r="T37" s="13"/>
      <c r="U37" s="13"/>
      <c r="V37" s="100"/>
      <c r="W37" s="4"/>
      <c r="X37" s="4"/>
    </row>
    <row r="38" spans="1:25" ht="18" customHeight="1">
      <c r="A38" s="98"/>
      <c r="B38" s="14"/>
      <c r="C38" s="28"/>
      <c r="D38" s="14"/>
      <c r="E38" s="14"/>
      <c r="F38" s="14"/>
      <c r="G38" s="14"/>
      <c r="H38" s="14"/>
      <c r="I38" s="14"/>
      <c r="J38" s="14"/>
      <c r="K38" s="14"/>
      <c r="L38" s="14"/>
      <c r="M38" s="14"/>
      <c r="N38" s="13"/>
      <c r="O38" s="13"/>
      <c r="P38" s="13"/>
      <c r="Q38" s="13"/>
      <c r="R38" s="13"/>
      <c r="S38" s="13"/>
      <c r="T38" s="13"/>
      <c r="U38" s="13"/>
      <c r="V38" s="100"/>
      <c r="W38" s="4"/>
      <c r="X38" s="4"/>
    </row>
    <row r="39" spans="1:25" ht="18" customHeight="1">
      <c r="A39" s="98"/>
      <c r="B39" s="14"/>
      <c r="C39" s="14"/>
      <c r="D39" s="14"/>
      <c r="E39" s="14"/>
      <c r="F39" s="14"/>
      <c r="G39" s="14"/>
      <c r="H39" s="14"/>
      <c r="I39" s="14"/>
      <c r="J39" s="14"/>
      <c r="K39" s="14"/>
      <c r="L39" s="14"/>
      <c r="M39" s="14"/>
      <c r="N39" s="13"/>
      <c r="O39" s="13"/>
      <c r="P39" s="13"/>
      <c r="Q39" s="13"/>
      <c r="R39" s="13"/>
      <c r="S39" s="13"/>
      <c r="T39" s="13"/>
      <c r="U39" s="13"/>
      <c r="V39" s="100"/>
      <c r="W39" s="4"/>
      <c r="X39" s="4"/>
    </row>
    <row r="40" spans="1:25" ht="18" customHeight="1">
      <c r="A40" s="98"/>
      <c r="B40" s="14"/>
      <c r="C40" s="14"/>
      <c r="D40" s="14"/>
      <c r="E40" s="14"/>
      <c r="F40" s="14"/>
      <c r="G40" s="14"/>
      <c r="H40" s="14"/>
      <c r="I40" s="14"/>
      <c r="J40" s="14"/>
      <c r="K40" s="14"/>
      <c r="L40" s="14"/>
      <c r="M40" s="14"/>
      <c r="N40" s="13"/>
      <c r="O40" s="13"/>
      <c r="P40" s="13"/>
      <c r="Q40" s="13"/>
      <c r="R40" s="13"/>
      <c r="S40" s="13"/>
      <c r="T40" s="13"/>
      <c r="U40" s="13"/>
      <c r="V40" s="100"/>
      <c r="W40" s="4"/>
      <c r="X40" s="4"/>
    </row>
    <row r="41" spans="1:25" ht="18" customHeight="1">
      <c r="A41" s="98"/>
      <c r="B41" s="14"/>
      <c r="C41" s="14"/>
      <c r="D41" s="14"/>
      <c r="E41" s="14"/>
      <c r="F41" s="14"/>
      <c r="G41" s="14"/>
      <c r="H41" s="14"/>
      <c r="I41" s="14"/>
      <c r="J41" s="14"/>
      <c r="K41" s="14"/>
      <c r="L41" s="14"/>
      <c r="M41" s="14"/>
      <c r="N41" s="13"/>
      <c r="O41" s="13"/>
      <c r="P41" s="13"/>
      <c r="Q41" s="13"/>
      <c r="R41" s="13"/>
      <c r="S41" s="13"/>
      <c r="T41" s="13"/>
      <c r="U41" s="13"/>
      <c r="V41" s="100"/>
      <c r="W41" s="4"/>
      <c r="X41" s="4"/>
    </row>
    <row r="42" spans="1:25" ht="18" customHeight="1">
      <c r="A42" s="98"/>
      <c r="B42" s="14"/>
      <c r="C42" s="14"/>
      <c r="D42" s="14"/>
      <c r="E42" s="14"/>
      <c r="F42" s="14"/>
      <c r="G42" s="14"/>
      <c r="H42" s="14"/>
      <c r="I42" s="14"/>
      <c r="J42" s="14"/>
      <c r="K42" s="14"/>
      <c r="L42" s="14"/>
      <c r="M42" s="14"/>
      <c r="N42" s="13"/>
      <c r="O42" s="13"/>
      <c r="P42" s="13"/>
      <c r="Q42" s="13"/>
      <c r="R42" s="13"/>
      <c r="S42" s="13"/>
      <c r="T42" s="13"/>
      <c r="U42" s="13"/>
      <c r="V42" s="100"/>
      <c r="W42" s="4"/>
      <c r="X42" s="4"/>
    </row>
    <row r="43" spans="1:25" ht="18" customHeight="1">
      <c r="A43" s="98"/>
      <c r="B43" s="14"/>
      <c r="C43" s="14"/>
      <c r="D43" s="14"/>
      <c r="E43" s="14"/>
      <c r="F43" s="14"/>
      <c r="G43" s="14"/>
      <c r="H43" s="14"/>
      <c r="I43" s="14"/>
      <c r="J43" s="14"/>
      <c r="K43" s="14"/>
      <c r="L43" s="14"/>
      <c r="M43" s="14"/>
      <c r="N43" s="13"/>
      <c r="O43" s="13"/>
      <c r="P43" s="13"/>
      <c r="Q43" s="13"/>
      <c r="R43" s="13"/>
      <c r="S43" s="13"/>
      <c r="T43" s="13"/>
      <c r="U43" s="13"/>
      <c r="V43" s="100"/>
      <c r="W43" s="4"/>
      <c r="X43" s="4"/>
    </row>
    <row r="44" spans="1:25" s="107" customFormat="1" ht="18" customHeight="1">
      <c r="A44" s="106"/>
      <c r="B44" s="13"/>
      <c r="C44" s="79"/>
      <c r="D44" s="13"/>
      <c r="E44" s="13"/>
      <c r="F44" s="13"/>
      <c r="G44" s="13"/>
      <c r="H44" s="13"/>
      <c r="I44" s="13"/>
      <c r="J44" s="13"/>
      <c r="K44" s="13"/>
      <c r="L44" s="13"/>
      <c r="M44" s="13"/>
      <c r="N44" s="13"/>
      <c r="O44" s="13"/>
      <c r="P44" s="13"/>
      <c r="Q44" s="13"/>
      <c r="R44" s="13"/>
      <c r="S44" s="13"/>
      <c r="T44" s="13"/>
      <c r="U44" s="13"/>
      <c r="V44" s="100"/>
      <c r="W44" s="4"/>
      <c r="X44" s="4"/>
      <c r="Y44" s="5"/>
    </row>
    <row r="45" spans="1:25" ht="18" customHeight="1">
      <c r="A45" s="65"/>
      <c r="B45" s="66"/>
      <c r="C45" s="108"/>
      <c r="D45" s="66"/>
      <c r="E45" s="66"/>
      <c r="F45" s="66"/>
      <c r="G45" s="66"/>
      <c r="H45" s="66"/>
      <c r="I45" s="66"/>
      <c r="J45" s="66"/>
      <c r="K45" s="66"/>
      <c r="L45" s="66"/>
      <c r="M45" s="66"/>
      <c r="N45" s="66"/>
      <c r="O45" s="66"/>
      <c r="P45" s="66"/>
      <c r="Q45" s="66"/>
      <c r="R45" s="66"/>
      <c r="S45" s="66"/>
      <c r="T45" s="66"/>
      <c r="U45" s="66"/>
      <c r="V45" s="67"/>
      <c r="W45" s="4"/>
      <c r="X45" s="4"/>
    </row>
    <row r="53" spans="3:9" ht="18" customHeight="1">
      <c r="C53" s="5"/>
      <c r="G53" s="5" t="s">
        <v>77</v>
      </c>
    </row>
    <row r="54" spans="3:9" ht="18" customHeight="1">
      <c r="C54" s="5"/>
      <c r="G54" s="5" t="s">
        <v>79</v>
      </c>
    </row>
    <row r="55" spans="3:9" ht="18" customHeight="1">
      <c r="C55" s="5"/>
      <c r="G55" s="5" t="s">
        <v>80</v>
      </c>
    </row>
    <row r="56" spans="3:9" ht="18" customHeight="1">
      <c r="C56" s="5"/>
      <c r="G56" s="5" t="s">
        <v>81</v>
      </c>
    </row>
    <row r="62" spans="3:9" ht="18" customHeight="1">
      <c r="C62" s="5"/>
      <c r="G62" s="14"/>
      <c r="H62" s="28" t="s">
        <v>82</v>
      </c>
      <c r="I62" s="14"/>
    </row>
    <row r="63" spans="3:9" ht="18" customHeight="1">
      <c r="C63" s="5"/>
      <c r="G63" s="14">
        <v>1</v>
      </c>
      <c r="H63" s="47" t="s">
        <v>83</v>
      </c>
      <c r="I63" s="14"/>
    </row>
    <row r="64" spans="3:9" ht="18" customHeight="1">
      <c r="C64" s="5"/>
      <c r="G64" s="14">
        <v>2</v>
      </c>
      <c r="H64" s="28"/>
      <c r="I64" s="14"/>
    </row>
    <row r="65" spans="3:9" ht="18" customHeight="1">
      <c r="C65" s="5"/>
      <c r="G65" s="14"/>
      <c r="H65" s="93" t="s">
        <v>84</v>
      </c>
      <c r="I65" s="14"/>
    </row>
    <row r="66" spans="3:9" ht="18" customHeight="1">
      <c r="C66" s="5"/>
      <c r="G66" s="14"/>
      <c r="H66" s="14" t="s">
        <v>85</v>
      </c>
      <c r="I66" s="14"/>
    </row>
    <row r="67" spans="3:9" ht="18" customHeight="1">
      <c r="C67" s="5"/>
      <c r="G67" s="14"/>
      <c r="H67" s="93" t="s">
        <v>86</v>
      </c>
      <c r="I67" s="14"/>
    </row>
    <row r="68" spans="3:9" ht="18" customHeight="1">
      <c r="C68" s="5"/>
      <c r="G68" s="14"/>
      <c r="H68" s="14" t="s">
        <v>87</v>
      </c>
      <c r="I68" s="14"/>
    </row>
    <row r="69" spans="3:9" ht="18" customHeight="1">
      <c r="C69" s="5"/>
      <c r="G69" s="14"/>
      <c r="H69" s="14" t="s">
        <v>88</v>
      </c>
      <c r="I69" s="14"/>
    </row>
    <row r="70" spans="3:9" ht="18" customHeight="1">
      <c r="C70" s="5"/>
      <c r="G70" s="14"/>
      <c r="H70" s="14" t="s">
        <v>89</v>
      </c>
      <c r="I70" s="14"/>
    </row>
    <row r="71" spans="3:9" ht="18" customHeight="1">
      <c r="C71" s="5"/>
      <c r="G71" s="14"/>
      <c r="H71" s="47" t="s">
        <v>90</v>
      </c>
      <c r="I71" s="14"/>
    </row>
    <row r="72" spans="3:9" ht="18" customHeight="1">
      <c r="C72" s="5"/>
      <c r="G72" s="14"/>
      <c r="H72" s="47" t="s">
        <v>91</v>
      </c>
      <c r="I72" s="14"/>
    </row>
    <row r="73" spans="3:9" ht="18" customHeight="1">
      <c r="C73" s="5"/>
      <c r="G73" s="13"/>
      <c r="H73" s="79" t="s">
        <v>92</v>
      </c>
      <c r="I73" s="13"/>
    </row>
  </sheetData>
  <sheetProtection selectLockedCells="1"/>
  <mergeCells count="18">
    <mergeCell ref="O5:Q5"/>
    <mergeCell ref="R5:V5"/>
    <mergeCell ref="R3:V3"/>
    <mergeCell ref="C10:U11"/>
    <mergeCell ref="O4:Q4"/>
    <mergeCell ref="R4:V4"/>
    <mergeCell ref="A1:G4"/>
    <mergeCell ref="H1:N1"/>
    <mergeCell ref="O1:Q1"/>
    <mergeCell ref="R1:V1"/>
    <mergeCell ref="H2:N2"/>
    <mergeCell ref="O2:Q2"/>
    <mergeCell ref="R2:V2"/>
    <mergeCell ref="H3:N4"/>
    <mergeCell ref="O3:Q3"/>
    <mergeCell ref="A5:B5"/>
    <mergeCell ref="D5:F5"/>
    <mergeCell ref="H5:N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90B0C-945F-423C-BAC0-8B6FF076ECD8}">
  <sheetPr codeName="Sheet2">
    <tabColor rgb="FF99CCFF"/>
  </sheetPr>
  <dimension ref="A1:AX240"/>
  <sheetViews>
    <sheetView view="pageBreakPreview" topLeftCell="A196" zoomScaleNormal="100" zoomScaleSheetLayoutView="100" workbookViewId="0">
      <selection activeCell="K13" sqref="K13"/>
    </sheetView>
  </sheetViews>
  <sheetFormatPr defaultRowHeight="13.2"/>
  <cols>
    <col min="1" max="6" width="4.33203125" customWidth="1"/>
    <col min="7" max="18" width="5.88671875" customWidth="1"/>
    <col min="19" max="19" width="7.5546875" customWidth="1"/>
    <col min="20" max="22" width="4.33203125" customWidth="1"/>
    <col min="23" max="24" width="12.44140625" customWidth="1"/>
    <col min="257" max="262" width="4.33203125" customWidth="1"/>
    <col min="263" max="274" width="5.88671875" customWidth="1"/>
    <col min="275" max="275" width="7.5546875" customWidth="1"/>
    <col min="276" max="278" width="4.33203125" customWidth="1"/>
    <col min="279" max="280" width="12.44140625" customWidth="1"/>
    <col min="513" max="518" width="4.33203125" customWidth="1"/>
    <col min="519" max="530" width="5.88671875" customWidth="1"/>
    <col min="531" max="531" width="7.5546875" customWidth="1"/>
    <col min="532" max="534" width="4.33203125" customWidth="1"/>
    <col min="535" max="536" width="12.44140625" customWidth="1"/>
    <col min="769" max="774" width="4.33203125" customWidth="1"/>
    <col min="775" max="786" width="5.88671875" customWidth="1"/>
    <col min="787" max="787" width="7.5546875" customWidth="1"/>
    <col min="788" max="790" width="4.33203125" customWidth="1"/>
    <col min="791" max="792" width="12.44140625" customWidth="1"/>
    <col min="1025" max="1030" width="4.33203125" customWidth="1"/>
    <col min="1031" max="1042" width="5.88671875" customWidth="1"/>
    <col min="1043" max="1043" width="7.5546875" customWidth="1"/>
    <col min="1044" max="1046" width="4.33203125" customWidth="1"/>
    <col min="1047" max="1048" width="12.44140625" customWidth="1"/>
    <col min="1281" max="1286" width="4.33203125" customWidth="1"/>
    <col min="1287" max="1298" width="5.88671875" customWidth="1"/>
    <col min="1299" max="1299" width="7.5546875" customWidth="1"/>
    <col min="1300" max="1302" width="4.33203125" customWidth="1"/>
    <col min="1303" max="1304" width="12.44140625" customWidth="1"/>
    <col min="1537" max="1542" width="4.33203125" customWidth="1"/>
    <col min="1543" max="1554" width="5.88671875" customWidth="1"/>
    <col min="1555" max="1555" width="7.5546875" customWidth="1"/>
    <col min="1556" max="1558" width="4.33203125" customWidth="1"/>
    <col min="1559" max="1560" width="12.44140625" customWidth="1"/>
    <col min="1793" max="1798" width="4.33203125" customWidth="1"/>
    <col min="1799" max="1810" width="5.88671875" customWidth="1"/>
    <col min="1811" max="1811" width="7.5546875" customWidth="1"/>
    <col min="1812" max="1814" width="4.33203125" customWidth="1"/>
    <col min="1815" max="1816" width="12.44140625" customWidth="1"/>
    <col min="2049" max="2054" width="4.33203125" customWidth="1"/>
    <col min="2055" max="2066" width="5.88671875" customWidth="1"/>
    <col min="2067" max="2067" width="7.5546875" customWidth="1"/>
    <col min="2068" max="2070" width="4.33203125" customWidth="1"/>
    <col min="2071" max="2072" width="12.44140625" customWidth="1"/>
    <col min="2305" max="2310" width="4.33203125" customWidth="1"/>
    <col min="2311" max="2322" width="5.88671875" customWidth="1"/>
    <col min="2323" max="2323" width="7.5546875" customWidth="1"/>
    <col min="2324" max="2326" width="4.33203125" customWidth="1"/>
    <col min="2327" max="2328" width="12.44140625" customWidth="1"/>
    <col min="2561" max="2566" width="4.33203125" customWidth="1"/>
    <col min="2567" max="2578" width="5.88671875" customWidth="1"/>
    <col min="2579" max="2579" width="7.5546875" customWidth="1"/>
    <col min="2580" max="2582" width="4.33203125" customWidth="1"/>
    <col min="2583" max="2584" width="12.44140625" customWidth="1"/>
    <col min="2817" max="2822" width="4.33203125" customWidth="1"/>
    <col min="2823" max="2834" width="5.88671875" customWidth="1"/>
    <col min="2835" max="2835" width="7.5546875" customWidth="1"/>
    <col min="2836" max="2838" width="4.33203125" customWidth="1"/>
    <col min="2839" max="2840" width="12.44140625" customWidth="1"/>
    <col min="3073" max="3078" width="4.33203125" customWidth="1"/>
    <col min="3079" max="3090" width="5.88671875" customWidth="1"/>
    <col min="3091" max="3091" width="7.5546875" customWidth="1"/>
    <col min="3092" max="3094" width="4.33203125" customWidth="1"/>
    <col min="3095" max="3096" width="12.44140625" customWidth="1"/>
    <col min="3329" max="3334" width="4.33203125" customWidth="1"/>
    <col min="3335" max="3346" width="5.88671875" customWidth="1"/>
    <col min="3347" max="3347" width="7.5546875" customWidth="1"/>
    <col min="3348" max="3350" width="4.33203125" customWidth="1"/>
    <col min="3351" max="3352" width="12.44140625" customWidth="1"/>
    <col min="3585" max="3590" width="4.33203125" customWidth="1"/>
    <col min="3591" max="3602" width="5.88671875" customWidth="1"/>
    <col min="3603" max="3603" width="7.5546875" customWidth="1"/>
    <col min="3604" max="3606" width="4.33203125" customWidth="1"/>
    <col min="3607" max="3608" width="12.44140625" customWidth="1"/>
    <col min="3841" max="3846" width="4.33203125" customWidth="1"/>
    <col min="3847" max="3858" width="5.88671875" customWidth="1"/>
    <col min="3859" max="3859" width="7.5546875" customWidth="1"/>
    <col min="3860" max="3862" width="4.33203125" customWidth="1"/>
    <col min="3863" max="3864" width="12.44140625" customWidth="1"/>
    <col min="4097" max="4102" width="4.33203125" customWidth="1"/>
    <col min="4103" max="4114" width="5.88671875" customWidth="1"/>
    <col min="4115" max="4115" width="7.5546875" customWidth="1"/>
    <col min="4116" max="4118" width="4.33203125" customWidth="1"/>
    <col min="4119" max="4120" width="12.44140625" customWidth="1"/>
    <col min="4353" max="4358" width="4.33203125" customWidth="1"/>
    <col min="4359" max="4370" width="5.88671875" customWidth="1"/>
    <col min="4371" max="4371" width="7.5546875" customWidth="1"/>
    <col min="4372" max="4374" width="4.33203125" customWidth="1"/>
    <col min="4375" max="4376" width="12.44140625" customWidth="1"/>
    <col min="4609" max="4614" width="4.33203125" customWidth="1"/>
    <col min="4615" max="4626" width="5.88671875" customWidth="1"/>
    <col min="4627" max="4627" width="7.5546875" customWidth="1"/>
    <col min="4628" max="4630" width="4.33203125" customWidth="1"/>
    <col min="4631" max="4632" width="12.44140625" customWidth="1"/>
    <col min="4865" max="4870" width="4.33203125" customWidth="1"/>
    <col min="4871" max="4882" width="5.88671875" customWidth="1"/>
    <col min="4883" max="4883" width="7.5546875" customWidth="1"/>
    <col min="4884" max="4886" width="4.33203125" customWidth="1"/>
    <col min="4887" max="4888" width="12.44140625" customWidth="1"/>
    <col min="5121" max="5126" width="4.33203125" customWidth="1"/>
    <col min="5127" max="5138" width="5.88671875" customWidth="1"/>
    <col min="5139" max="5139" width="7.5546875" customWidth="1"/>
    <col min="5140" max="5142" width="4.33203125" customWidth="1"/>
    <col min="5143" max="5144" width="12.44140625" customWidth="1"/>
    <col min="5377" max="5382" width="4.33203125" customWidth="1"/>
    <col min="5383" max="5394" width="5.88671875" customWidth="1"/>
    <col min="5395" max="5395" width="7.5546875" customWidth="1"/>
    <col min="5396" max="5398" width="4.33203125" customWidth="1"/>
    <col min="5399" max="5400" width="12.44140625" customWidth="1"/>
    <col min="5633" max="5638" width="4.33203125" customWidth="1"/>
    <col min="5639" max="5650" width="5.88671875" customWidth="1"/>
    <col min="5651" max="5651" width="7.5546875" customWidth="1"/>
    <col min="5652" max="5654" width="4.33203125" customWidth="1"/>
    <col min="5655" max="5656" width="12.44140625" customWidth="1"/>
    <col min="5889" max="5894" width="4.33203125" customWidth="1"/>
    <col min="5895" max="5906" width="5.88671875" customWidth="1"/>
    <col min="5907" max="5907" width="7.5546875" customWidth="1"/>
    <col min="5908" max="5910" width="4.33203125" customWidth="1"/>
    <col min="5911" max="5912" width="12.44140625" customWidth="1"/>
    <col min="6145" max="6150" width="4.33203125" customWidth="1"/>
    <col min="6151" max="6162" width="5.88671875" customWidth="1"/>
    <col min="6163" max="6163" width="7.5546875" customWidth="1"/>
    <col min="6164" max="6166" width="4.33203125" customWidth="1"/>
    <col min="6167" max="6168" width="12.44140625" customWidth="1"/>
    <col min="6401" max="6406" width="4.33203125" customWidth="1"/>
    <col min="6407" max="6418" width="5.88671875" customWidth="1"/>
    <col min="6419" max="6419" width="7.5546875" customWidth="1"/>
    <col min="6420" max="6422" width="4.33203125" customWidth="1"/>
    <col min="6423" max="6424" width="12.44140625" customWidth="1"/>
    <col min="6657" max="6662" width="4.33203125" customWidth="1"/>
    <col min="6663" max="6674" width="5.88671875" customWidth="1"/>
    <col min="6675" max="6675" width="7.5546875" customWidth="1"/>
    <col min="6676" max="6678" width="4.33203125" customWidth="1"/>
    <col min="6679" max="6680" width="12.44140625" customWidth="1"/>
    <col min="6913" max="6918" width="4.33203125" customWidth="1"/>
    <col min="6919" max="6930" width="5.88671875" customWidth="1"/>
    <col min="6931" max="6931" width="7.5546875" customWidth="1"/>
    <col min="6932" max="6934" width="4.33203125" customWidth="1"/>
    <col min="6935" max="6936" width="12.44140625" customWidth="1"/>
    <col min="7169" max="7174" width="4.33203125" customWidth="1"/>
    <col min="7175" max="7186" width="5.88671875" customWidth="1"/>
    <col min="7187" max="7187" width="7.5546875" customWidth="1"/>
    <col min="7188" max="7190" width="4.33203125" customWidth="1"/>
    <col min="7191" max="7192" width="12.44140625" customWidth="1"/>
    <col min="7425" max="7430" width="4.33203125" customWidth="1"/>
    <col min="7431" max="7442" width="5.88671875" customWidth="1"/>
    <col min="7443" max="7443" width="7.5546875" customWidth="1"/>
    <col min="7444" max="7446" width="4.33203125" customWidth="1"/>
    <col min="7447" max="7448" width="12.44140625" customWidth="1"/>
    <col min="7681" max="7686" width="4.33203125" customWidth="1"/>
    <col min="7687" max="7698" width="5.88671875" customWidth="1"/>
    <col min="7699" max="7699" width="7.5546875" customWidth="1"/>
    <col min="7700" max="7702" width="4.33203125" customWidth="1"/>
    <col min="7703" max="7704" width="12.44140625" customWidth="1"/>
    <col min="7937" max="7942" width="4.33203125" customWidth="1"/>
    <col min="7943" max="7954" width="5.88671875" customWidth="1"/>
    <col min="7955" max="7955" width="7.5546875" customWidth="1"/>
    <col min="7956" max="7958" width="4.33203125" customWidth="1"/>
    <col min="7959" max="7960" width="12.44140625" customWidth="1"/>
    <col min="8193" max="8198" width="4.33203125" customWidth="1"/>
    <col min="8199" max="8210" width="5.88671875" customWidth="1"/>
    <col min="8211" max="8211" width="7.5546875" customWidth="1"/>
    <col min="8212" max="8214" width="4.33203125" customWidth="1"/>
    <col min="8215" max="8216" width="12.44140625" customWidth="1"/>
    <col min="8449" max="8454" width="4.33203125" customWidth="1"/>
    <col min="8455" max="8466" width="5.88671875" customWidth="1"/>
    <col min="8467" max="8467" width="7.5546875" customWidth="1"/>
    <col min="8468" max="8470" width="4.33203125" customWidth="1"/>
    <col min="8471" max="8472" width="12.44140625" customWidth="1"/>
    <col min="8705" max="8710" width="4.33203125" customWidth="1"/>
    <col min="8711" max="8722" width="5.88671875" customWidth="1"/>
    <col min="8723" max="8723" width="7.5546875" customWidth="1"/>
    <col min="8724" max="8726" width="4.33203125" customWidth="1"/>
    <col min="8727" max="8728" width="12.44140625" customWidth="1"/>
    <col min="8961" max="8966" width="4.33203125" customWidth="1"/>
    <col min="8967" max="8978" width="5.88671875" customWidth="1"/>
    <col min="8979" max="8979" width="7.5546875" customWidth="1"/>
    <col min="8980" max="8982" width="4.33203125" customWidth="1"/>
    <col min="8983" max="8984" width="12.44140625" customWidth="1"/>
    <col min="9217" max="9222" width="4.33203125" customWidth="1"/>
    <col min="9223" max="9234" width="5.88671875" customWidth="1"/>
    <col min="9235" max="9235" width="7.5546875" customWidth="1"/>
    <col min="9236" max="9238" width="4.33203125" customWidth="1"/>
    <col min="9239" max="9240" width="12.44140625" customWidth="1"/>
    <col min="9473" max="9478" width="4.33203125" customWidth="1"/>
    <col min="9479" max="9490" width="5.88671875" customWidth="1"/>
    <col min="9491" max="9491" width="7.5546875" customWidth="1"/>
    <col min="9492" max="9494" width="4.33203125" customWidth="1"/>
    <col min="9495" max="9496" width="12.44140625" customWidth="1"/>
    <col min="9729" max="9734" width="4.33203125" customWidth="1"/>
    <col min="9735" max="9746" width="5.88671875" customWidth="1"/>
    <col min="9747" max="9747" width="7.5546875" customWidth="1"/>
    <col min="9748" max="9750" width="4.33203125" customWidth="1"/>
    <col min="9751" max="9752" width="12.44140625" customWidth="1"/>
    <col min="9985" max="9990" width="4.33203125" customWidth="1"/>
    <col min="9991" max="10002" width="5.88671875" customWidth="1"/>
    <col min="10003" max="10003" width="7.5546875" customWidth="1"/>
    <col min="10004" max="10006" width="4.33203125" customWidth="1"/>
    <col min="10007" max="10008" width="12.44140625" customWidth="1"/>
    <col min="10241" max="10246" width="4.33203125" customWidth="1"/>
    <col min="10247" max="10258" width="5.88671875" customWidth="1"/>
    <col min="10259" max="10259" width="7.5546875" customWidth="1"/>
    <col min="10260" max="10262" width="4.33203125" customWidth="1"/>
    <col min="10263" max="10264" width="12.44140625" customWidth="1"/>
    <col min="10497" max="10502" width="4.33203125" customWidth="1"/>
    <col min="10503" max="10514" width="5.88671875" customWidth="1"/>
    <col min="10515" max="10515" width="7.5546875" customWidth="1"/>
    <col min="10516" max="10518" width="4.33203125" customWidth="1"/>
    <col min="10519" max="10520" width="12.44140625" customWidth="1"/>
    <col min="10753" max="10758" width="4.33203125" customWidth="1"/>
    <col min="10759" max="10770" width="5.88671875" customWidth="1"/>
    <col min="10771" max="10771" width="7.5546875" customWidth="1"/>
    <col min="10772" max="10774" width="4.33203125" customWidth="1"/>
    <col min="10775" max="10776" width="12.44140625" customWidth="1"/>
    <col min="11009" max="11014" width="4.33203125" customWidth="1"/>
    <col min="11015" max="11026" width="5.88671875" customWidth="1"/>
    <col min="11027" max="11027" width="7.5546875" customWidth="1"/>
    <col min="11028" max="11030" width="4.33203125" customWidth="1"/>
    <col min="11031" max="11032" width="12.44140625" customWidth="1"/>
    <col min="11265" max="11270" width="4.33203125" customWidth="1"/>
    <col min="11271" max="11282" width="5.88671875" customWidth="1"/>
    <col min="11283" max="11283" width="7.5546875" customWidth="1"/>
    <col min="11284" max="11286" width="4.33203125" customWidth="1"/>
    <col min="11287" max="11288" width="12.44140625" customWidth="1"/>
    <col min="11521" max="11526" width="4.33203125" customWidth="1"/>
    <col min="11527" max="11538" width="5.88671875" customWidth="1"/>
    <col min="11539" max="11539" width="7.5546875" customWidth="1"/>
    <col min="11540" max="11542" width="4.33203125" customWidth="1"/>
    <col min="11543" max="11544" width="12.44140625" customWidth="1"/>
    <col min="11777" max="11782" width="4.33203125" customWidth="1"/>
    <col min="11783" max="11794" width="5.88671875" customWidth="1"/>
    <col min="11795" max="11795" width="7.5546875" customWidth="1"/>
    <col min="11796" max="11798" width="4.33203125" customWidth="1"/>
    <col min="11799" max="11800" width="12.44140625" customWidth="1"/>
    <col min="12033" max="12038" width="4.33203125" customWidth="1"/>
    <col min="12039" max="12050" width="5.88671875" customWidth="1"/>
    <col min="12051" max="12051" width="7.5546875" customWidth="1"/>
    <col min="12052" max="12054" width="4.33203125" customWidth="1"/>
    <col min="12055" max="12056" width="12.44140625" customWidth="1"/>
    <col min="12289" max="12294" width="4.33203125" customWidth="1"/>
    <col min="12295" max="12306" width="5.88671875" customWidth="1"/>
    <col min="12307" max="12307" width="7.5546875" customWidth="1"/>
    <col min="12308" max="12310" width="4.33203125" customWidth="1"/>
    <col min="12311" max="12312" width="12.44140625" customWidth="1"/>
    <col min="12545" max="12550" width="4.33203125" customWidth="1"/>
    <col min="12551" max="12562" width="5.88671875" customWidth="1"/>
    <col min="12563" max="12563" width="7.5546875" customWidth="1"/>
    <col min="12564" max="12566" width="4.33203125" customWidth="1"/>
    <col min="12567" max="12568" width="12.44140625" customWidth="1"/>
    <col min="12801" max="12806" width="4.33203125" customWidth="1"/>
    <col min="12807" max="12818" width="5.88671875" customWidth="1"/>
    <col min="12819" max="12819" width="7.5546875" customWidth="1"/>
    <col min="12820" max="12822" width="4.33203125" customWidth="1"/>
    <col min="12823" max="12824" width="12.44140625" customWidth="1"/>
    <col min="13057" max="13062" width="4.33203125" customWidth="1"/>
    <col min="13063" max="13074" width="5.88671875" customWidth="1"/>
    <col min="13075" max="13075" width="7.5546875" customWidth="1"/>
    <col min="13076" max="13078" width="4.33203125" customWidth="1"/>
    <col min="13079" max="13080" width="12.44140625" customWidth="1"/>
    <col min="13313" max="13318" width="4.33203125" customWidth="1"/>
    <col min="13319" max="13330" width="5.88671875" customWidth="1"/>
    <col min="13331" max="13331" width="7.5546875" customWidth="1"/>
    <col min="13332" max="13334" width="4.33203125" customWidth="1"/>
    <col min="13335" max="13336" width="12.44140625" customWidth="1"/>
    <col min="13569" max="13574" width="4.33203125" customWidth="1"/>
    <col min="13575" max="13586" width="5.88671875" customWidth="1"/>
    <col min="13587" max="13587" width="7.5546875" customWidth="1"/>
    <col min="13588" max="13590" width="4.33203125" customWidth="1"/>
    <col min="13591" max="13592" width="12.44140625" customWidth="1"/>
    <col min="13825" max="13830" width="4.33203125" customWidth="1"/>
    <col min="13831" max="13842" width="5.88671875" customWidth="1"/>
    <col min="13843" max="13843" width="7.5546875" customWidth="1"/>
    <col min="13844" max="13846" width="4.33203125" customWidth="1"/>
    <col min="13847" max="13848" width="12.44140625" customWidth="1"/>
    <col min="14081" max="14086" width="4.33203125" customWidth="1"/>
    <col min="14087" max="14098" width="5.88671875" customWidth="1"/>
    <col min="14099" max="14099" width="7.5546875" customWidth="1"/>
    <col min="14100" max="14102" width="4.33203125" customWidth="1"/>
    <col min="14103" max="14104" width="12.44140625" customWidth="1"/>
    <col min="14337" max="14342" width="4.33203125" customWidth="1"/>
    <col min="14343" max="14354" width="5.88671875" customWidth="1"/>
    <col min="14355" max="14355" width="7.5546875" customWidth="1"/>
    <col min="14356" max="14358" width="4.33203125" customWidth="1"/>
    <col min="14359" max="14360" width="12.44140625" customWidth="1"/>
    <col min="14593" max="14598" width="4.33203125" customWidth="1"/>
    <col min="14599" max="14610" width="5.88671875" customWidth="1"/>
    <col min="14611" max="14611" width="7.5546875" customWidth="1"/>
    <col min="14612" max="14614" width="4.33203125" customWidth="1"/>
    <col min="14615" max="14616" width="12.44140625" customWidth="1"/>
    <col min="14849" max="14854" width="4.33203125" customWidth="1"/>
    <col min="14855" max="14866" width="5.88671875" customWidth="1"/>
    <col min="14867" max="14867" width="7.5546875" customWidth="1"/>
    <col min="14868" max="14870" width="4.33203125" customWidth="1"/>
    <col min="14871" max="14872" width="12.44140625" customWidth="1"/>
    <col min="15105" max="15110" width="4.33203125" customWidth="1"/>
    <col min="15111" max="15122" width="5.88671875" customWidth="1"/>
    <col min="15123" max="15123" width="7.5546875" customWidth="1"/>
    <col min="15124" max="15126" width="4.33203125" customWidth="1"/>
    <col min="15127" max="15128" width="12.44140625" customWidth="1"/>
    <col min="15361" max="15366" width="4.33203125" customWidth="1"/>
    <col min="15367" max="15378" width="5.88671875" customWidth="1"/>
    <col min="15379" max="15379" width="7.5546875" customWidth="1"/>
    <col min="15380" max="15382" width="4.33203125" customWidth="1"/>
    <col min="15383" max="15384" width="12.44140625" customWidth="1"/>
    <col min="15617" max="15622" width="4.33203125" customWidth="1"/>
    <col min="15623" max="15634" width="5.88671875" customWidth="1"/>
    <col min="15635" max="15635" width="7.5546875" customWidth="1"/>
    <col min="15636" max="15638" width="4.33203125" customWidth="1"/>
    <col min="15639" max="15640" width="12.44140625" customWidth="1"/>
    <col min="15873" max="15878" width="4.33203125" customWidth="1"/>
    <col min="15879" max="15890" width="5.88671875" customWidth="1"/>
    <col min="15891" max="15891" width="7.5546875" customWidth="1"/>
    <col min="15892" max="15894" width="4.33203125" customWidth="1"/>
    <col min="15895" max="15896" width="12.44140625" customWidth="1"/>
    <col min="16129" max="16134" width="4.33203125" customWidth="1"/>
    <col min="16135" max="16146" width="5.88671875" customWidth="1"/>
    <col min="16147" max="16147" width="7.5546875" customWidth="1"/>
    <col min="16148" max="16150" width="4.33203125" customWidth="1"/>
    <col min="16151" max="16152" width="12.44140625" customWidth="1"/>
  </cols>
  <sheetData>
    <row r="1" spans="1:26" ht="13.2" customHeight="1">
      <c r="A1" s="717" t="s">
        <v>0</v>
      </c>
      <c r="B1" s="718"/>
      <c r="C1" s="718"/>
      <c r="D1" s="718"/>
      <c r="E1" s="718"/>
      <c r="F1" s="718"/>
      <c r="G1" s="719"/>
      <c r="H1" s="857" t="str">
        <f>Title!H1&amp;" "&amp;Title!H2</f>
        <v>CT / VT ADEQUACY CHECK</v>
      </c>
      <c r="I1" s="857"/>
      <c r="J1" s="857"/>
      <c r="K1" s="857"/>
      <c r="L1" s="857"/>
      <c r="M1" s="857"/>
      <c r="N1" s="857"/>
      <c r="O1" s="857"/>
      <c r="P1" s="857"/>
      <c r="Q1" s="857"/>
      <c r="R1" s="857"/>
      <c r="S1" s="857"/>
      <c r="T1" s="856" t="str">
        <f>Title!O1</f>
        <v>Contract No.</v>
      </c>
      <c r="U1" s="856"/>
      <c r="V1" s="856"/>
      <c r="W1" s="853" t="str">
        <f>Title!R1</f>
        <v>N-19957.1-DF5W</v>
      </c>
      <c r="X1" s="853"/>
      <c r="Y1" s="14"/>
      <c r="Z1" s="14"/>
    </row>
    <row r="2" spans="1:26" ht="13.2" customHeight="1">
      <c r="A2" s="720"/>
      <c r="B2" s="721"/>
      <c r="C2" s="721"/>
      <c r="D2" s="721"/>
      <c r="E2" s="721"/>
      <c r="F2" s="721"/>
      <c r="G2" s="722"/>
      <c r="H2" s="857"/>
      <c r="I2" s="857"/>
      <c r="J2" s="857"/>
      <c r="K2" s="857"/>
      <c r="L2" s="857"/>
      <c r="M2" s="857"/>
      <c r="N2" s="857"/>
      <c r="O2" s="857"/>
      <c r="P2" s="857"/>
      <c r="Q2" s="857"/>
      <c r="R2" s="857"/>
      <c r="S2" s="857"/>
      <c r="T2" s="856" t="str">
        <f>Title!O2</f>
        <v>Date</v>
      </c>
      <c r="U2" s="856"/>
      <c r="V2" s="856"/>
      <c r="W2" s="858">
        <f>Title!R2</f>
        <v>46106</v>
      </c>
      <c r="X2" s="853"/>
      <c r="Y2" s="14"/>
      <c r="Z2" s="14"/>
    </row>
    <row r="3" spans="1:26" ht="22.2" customHeight="1">
      <c r="A3" s="720"/>
      <c r="B3" s="721"/>
      <c r="C3" s="721"/>
      <c r="D3" s="721"/>
      <c r="E3" s="721"/>
      <c r="F3" s="721"/>
      <c r="G3" s="722"/>
      <c r="H3" s="857" t="str">
        <f>Title!H3</f>
        <v>LT14 - LEWIS
400/132kV SUBSTATION</v>
      </c>
      <c r="I3" s="857"/>
      <c r="J3" s="857"/>
      <c r="K3" s="857"/>
      <c r="L3" s="857"/>
      <c r="M3" s="857"/>
      <c r="N3" s="857"/>
      <c r="O3" s="857"/>
      <c r="P3" s="857"/>
      <c r="Q3" s="857"/>
      <c r="R3" s="857"/>
      <c r="S3" s="857"/>
      <c r="T3" s="856" t="str">
        <f>Title!O3</f>
        <v>Document No.</v>
      </c>
      <c r="U3" s="856"/>
      <c r="V3" s="856"/>
      <c r="W3" s="854" t="str">
        <f>Title!R3</f>
        <v>-</v>
      </c>
      <c r="X3" s="854"/>
      <c r="Y3" s="14"/>
      <c r="Z3" s="14"/>
    </row>
    <row r="4" spans="1:26">
      <c r="A4" s="723"/>
      <c r="B4" s="724"/>
      <c r="C4" s="724"/>
      <c r="D4" s="724"/>
      <c r="E4" s="724"/>
      <c r="F4" s="724"/>
      <c r="G4" s="725"/>
      <c r="H4" s="857"/>
      <c r="I4" s="857"/>
      <c r="J4" s="857"/>
      <c r="K4" s="857"/>
      <c r="L4" s="857"/>
      <c r="M4" s="857"/>
      <c r="N4" s="857"/>
      <c r="O4" s="857"/>
      <c r="P4" s="857"/>
      <c r="Q4" s="857"/>
      <c r="R4" s="857"/>
      <c r="S4" s="857"/>
      <c r="T4" s="856" t="str">
        <f>Title!O4</f>
        <v>Revision No.</v>
      </c>
      <c r="U4" s="856"/>
      <c r="V4" s="856"/>
      <c r="W4" s="853" t="str">
        <f>Title!R4</f>
        <v>A</v>
      </c>
      <c r="X4" s="853"/>
      <c r="Y4" s="14"/>
      <c r="Z4" s="14"/>
    </row>
    <row r="5" spans="1:26" ht="18" customHeight="1">
      <c r="A5" s="854" t="str">
        <f>Title!A5</f>
        <v>Prep. By</v>
      </c>
      <c r="B5" s="854"/>
      <c r="C5" s="25" t="str">
        <f>Title!C5</f>
        <v>AP</v>
      </c>
      <c r="D5" s="854" t="str">
        <f>Title!D5</f>
        <v>Checked By</v>
      </c>
      <c r="E5" s="854"/>
      <c r="F5" s="854"/>
      <c r="G5" s="25" t="str">
        <f>Title!G5</f>
        <v>RB</v>
      </c>
      <c r="H5" s="855" t="s">
        <v>93</v>
      </c>
      <c r="I5" s="855"/>
      <c r="J5" s="855"/>
      <c r="K5" s="855"/>
      <c r="L5" s="855"/>
      <c r="M5" s="855"/>
      <c r="N5" s="855"/>
      <c r="O5" s="855"/>
      <c r="P5" s="855"/>
      <c r="Q5" s="855"/>
      <c r="R5" s="855"/>
      <c r="S5" s="855"/>
      <c r="T5" s="856" t="str">
        <f>Title!O5</f>
        <v>Contractor</v>
      </c>
      <c r="U5" s="856"/>
      <c r="V5" s="856"/>
      <c r="W5" s="853" t="str">
        <f>Title!R5</f>
        <v>HITACHI</v>
      </c>
      <c r="X5" s="853"/>
      <c r="Y5" s="14"/>
      <c r="Z5" s="14"/>
    </row>
    <row r="6" spans="1:26" ht="18" customHeight="1">
      <c r="A6" s="238"/>
      <c r="B6" s="239"/>
      <c r="C6" s="239"/>
      <c r="D6" s="239"/>
      <c r="E6" s="239"/>
      <c r="F6" s="239"/>
      <c r="G6" s="239"/>
      <c r="H6" s="239"/>
      <c r="I6" s="239"/>
      <c r="J6" s="239"/>
      <c r="K6" s="239"/>
      <c r="L6" s="239"/>
      <c r="M6" s="239"/>
      <c r="N6" s="239"/>
      <c r="O6" s="239"/>
      <c r="P6" s="239"/>
      <c r="Q6" s="239"/>
      <c r="R6" s="239"/>
      <c r="S6" s="239"/>
      <c r="T6" s="239"/>
      <c r="U6" s="239"/>
      <c r="V6" s="239"/>
      <c r="W6" s="323"/>
      <c r="X6" s="324"/>
      <c r="Y6" s="30"/>
      <c r="Z6" s="30"/>
    </row>
    <row r="7" spans="1:26" ht="18" customHeight="1">
      <c r="A7" s="196"/>
      <c r="B7" s="30"/>
      <c r="C7" s="30"/>
      <c r="D7" s="30"/>
      <c r="E7" s="30"/>
      <c r="F7" s="30"/>
      <c r="G7" s="30"/>
      <c r="H7" s="859" t="s">
        <v>94</v>
      </c>
      <c r="I7" s="859"/>
      <c r="J7" s="859"/>
      <c r="K7" s="859"/>
      <c r="L7" s="859"/>
      <c r="M7" s="859"/>
      <c r="N7" s="859"/>
      <c r="O7" s="859"/>
      <c r="P7" s="859"/>
      <c r="Q7" s="859"/>
      <c r="R7" s="859"/>
      <c r="S7" s="859"/>
      <c r="T7" s="30"/>
      <c r="U7" s="30"/>
      <c r="V7" s="30"/>
      <c r="W7" s="27"/>
      <c r="X7" s="189"/>
      <c r="Y7" s="30"/>
      <c r="Z7" s="30"/>
    </row>
    <row r="8" spans="1:26" ht="18" hidden="1" customHeight="1">
      <c r="A8" s="325" t="s">
        <v>95</v>
      </c>
      <c r="B8" s="496"/>
      <c r="C8" s="494"/>
      <c r="D8" s="494"/>
      <c r="E8" s="494"/>
      <c r="F8" s="494"/>
      <c r="G8" s="494"/>
      <c r="H8" s="494"/>
      <c r="I8" s="494"/>
      <c r="J8" s="494"/>
      <c r="K8" s="494"/>
      <c r="L8" s="494"/>
      <c r="M8" s="494"/>
      <c r="N8" s="494"/>
      <c r="O8" s="494"/>
      <c r="P8" s="494"/>
      <c r="Q8" s="494"/>
      <c r="R8" s="494"/>
      <c r="S8" s="494"/>
      <c r="T8" s="494"/>
      <c r="U8" s="494"/>
      <c r="V8" s="494"/>
      <c r="W8" s="495"/>
      <c r="X8" s="326"/>
      <c r="Y8" s="30"/>
      <c r="Z8" s="30"/>
    </row>
    <row r="9" spans="1:26" ht="18" hidden="1" customHeight="1">
      <c r="A9" s="327" t="s">
        <v>96</v>
      </c>
      <c r="B9" s="328"/>
      <c r="C9" s="328"/>
      <c r="D9" s="328"/>
      <c r="E9" s="328"/>
      <c r="F9" s="328"/>
      <c r="G9" s="328"/>
      <c r="H9" s="328"/>
      <c r="I9" s="328"/>
      <c r="J9" s="328"/>
      <c r="K9" s="328"/>
      <c r="L9" s="328"/>
      <c r="M9" s="328"/>
      <c r="N9" s="328"/>
      <c r="O9" s="328"/>
      <c r="P9" s="328"/>
      <c r="Q9" s="328"/>
      <c r="R9" s="328"/>
      <c r="S9" s="328"/>
      <c r="T9" s="328"/>
      <c r="U9" s="328"/>
      <c r="V9" s="328"/>
      <c r="W9" s="329"/>
      <c r="X9" s="330"/>
      <c r="Y9" s="30"/>
      <c r="Z9" s="30"/>
    </row>
    <row r="10" spans="1:26" ht="26.4" hidden="1">
      <c r="A10" s="614" t="s">
        <v>97</v>
      </c>
      <c r="B10" s="620"/>
      <c r="C10" s="615"/>
      <c r="D10" s="614" t="s">
        <v>98</v>
      </c>
      <c r="E10" s="620"/>
      <c r="F10" s="615"/>
      <c r="G10" s="614" t="s">
        <v>99</v>
      </c>
      <c r="H10" s="615"/>
      <c r="I10" s="614" t="s">
        <v>100</v>
      </c>
      <c r="J10" s="615"/>
      <c r="K10" s="614" t="s">
        <v>101</v>
      </c>
      <c r="L10" s="615"/>
      <c r="M10" s="614" t="s">
        <v>102</v>
      </c>
      <c r="N10" s="615"/>
      <c r="O10" s="614" t="s">
        <v>103</v>
      </c>
      <c r="P10" s="615"/>
      <c r="Q10" s="614" t="s">
        <v>104</v>
      </c>
      <c r="R10" s="615"/>
      <c r="S10" s="782" t="s">
        <v>105</v>
      </c>
      <c r="T10" s="782"/>
      <c r="U10" s="782"/>
      <c r="V10" s="782"/>
      <c r="W10" s="331" t="s">
        <v>106</v>
      </c>
      <c r="X10" s="331"/>
      <c r="Y10" s="30"/>
      <c r="Z10" s="30"/>
    </row>
    <row r="11" spans="1:26" ht="18" hidden="1" customHeight="1">
      <c r="A11" s="623" t="str">
        <f>'[2]RET670_650-PX (LV)'!A398</f>
        <v>BC1</v>
      </c>
      <c r="B11" s="623" t="str">
        <f>'[2]RET670_650-PX (LV)'!B398</f>
        <v>Core1</v>
      </c>
      <c r="C11" s="623"/>
      <c r="D11" s="613">
        <f>'[2]RET670_650-PX (LV)'!D398</f>
        <v>1500</v>
      </c>
      <c r="E11" s="613"/>
      <c r="F11" s="624">
        <f>'[2]RET670_650-PX (LV)'!F398</f>
        <v>1</v>
      </c>
      <c r="G11" s="613">
        <f>'[2]RET670_650-PX (LV)'!G398</f>
        <v>50</v>
      </c>
      <c r="H11" s="783">
        <f>'[2]RET670_650-PX (LV)'!H398</f>
        <v>2.5</v>
      </c>
      <c r="I11" s="783" t="str">
        <f>'[2]RET670_650-PX (LV)'!I398</f>
        <v>PX</v>
      </c>
      <c r="J11" s="783"/>
      <c r="K11" s="612">
        <f>'[2]RET670_650-PX (LV)'!K398</f>
        <v>3</v>
      </c>
      <c r="L11" s="612"/>
      <c r="M11" s="612">
        <f>'[2]RET670_650-PX (LV)'!M398</f>
        <v>1500</v>
      </c>
      <c r="N11" s="612"/>
      <c r="O11" s="613">
        <f>'[2]RET670_650-PX (LV)'!O398</f>
        <v>37.76</v>
      </c>
      <c r="P11" s="613"/>
      <c r="Q11" s="629" t="str">
        <f>'[2]RET670_650-PX (LV)'!Q398</f>
        <v>RET670</v>
      </c>
      <c r="R11" s="629"/>
      <c r="S11" s="613" t="str">
        <f>'[2]RET670_650-PX (LV)'!S398</f>
        <v>Suitably Dimensioned</v>
      </c>
      <c r="T11" s="613"/>
      <c r="U11" s="613"/>
      <c r="V11" s="613"/>
      <c r="W11" s="301">
        <f>'[2]RET670_650-PX (LV)'!H100</f>
        <v>94.143205209421495</v>
      </c>
      <c r="X11" s="275"/>
      <c r="Y11" s="30"/>
      <c r="Z11" s="30"/>
    </row>
    <row r="12" spans="1:26" ht="18" hidden="1" customHeight="1">
      <c r="A12" s="623"/>
      <c r="B12" s="623"/>
      <c r="C12" s="623"/>
      <c r="D12" s="613" t="str">
        <f>'[2]RET670_650-PX (LV)'!D399</f>
        <v>-</v>
      </c>
      <c r="E12" s="613"/>
      <c r="F12" s="625"/>
      <c r="G12" s="613"/>
      <c r="H12" s="613"/>
      <c r="I12" s="783"/>
      <c r="J12" s="783"/>
      <c r="K12" s="612" t="str">
        <f>'[2]RET670_650-PX (LV)'!K399</f>
        <v>-</v>
      </c>
      <c r="L12" s="612"/>
      <c r="M12" s="612" t="str">
        <f>'[2]RET670_650-PX (LV)'!M399</f>
        <v>-</v>
      </c>
      <c r="N12" s="612"/>
      <c r="O12" s="613" t="str">
        <f>'[2]RET670_650-PX (LV)'!O399</f>
        <v>-</v>
      </c>
      <c r="P12" s="613"/>
      <c r="Q12" s="629"/>
      <c r="R12" s="629"/>
      <c r="S12" s="613" t="s">
        <v>7</v>
      </c>
      <c r="T12" s="613"/>
      <c r="U12" s="613"/>
      <c r="V12" s="613"/>
      <c r="W12" s="301" t="s">
        <v>7</v>
      </c>
      <c r="X12" s="275"/>
      <c r="Y12" s="30"/>
      <c r="Z12" s="30"/>
    </row>
    <row r="13" spans="1:26" ht="18" hidden="1" customHeight="1">
      <c r="A13" s="623"/>
      <c r="B13" s="623"/>
      <c r="C13" s="623"/>
      <c r="D13" s="613" t="str">
        <f>'[2]RET670_650-PX (LV)'!D400</f>
        <v>-</v>
      </c>
      <c r="E13" s="613"/>
      <c r="F13" s="626"/>
      <c r="G13" s="613"/>
      <c r="H13" s="613"/>
      <c r="I13" s="783"/>
      <c r="J13" s="783"/>
      <c r="K13" s="612" t="str">
        <f>'[2]RET670_650-PX (LV)'!K400</f>
        <v>-</v>
      </c>
      <c r="L13" s="612"/>
      <c r="M13" s="612" t="str">
        <f>'[2]RET670_650-PX (LV)'!M400</f>
        <v>-</v>
      </c>
      <c r="N13" s="612"/>
      <c r="O13" s="613" t="str">
        <f>'[2]RET670_650-PX (LV)'!O400</f>
        <v>-</v>
      </c>
      <c r="P13" s="613"/>
      <c r="Q13" s="629"/>
      <c r="R13" s="629"/>
      <c r="S13" s="613" t="str">
        <f>'[2]RET670_650-PX (LV)'!S400</f>
        <v>-</v>
      </c>
      <c r="T13" s="613"/>
      <c r="U13" s="613"/>
      <c r="V13" s="613"/>
      <c r="W13" s="275" t="s">
        <v>7</v>
      </c>
      <c r="X13" s="275"/>
      <c r="Y13" s="30"/>
      <c r="Z13" s="30"/>
    </row>
    <row r="14" spans="1:26" ht="18" hidden="1" customHeight="1">
      <c r="A14" s="327" t="s">
        <v>107</v>
      </c>
      <c r="B14" s="328"/>
      <c r="C14" s="328"/>
      <c r="D14" s="328"/>
      <c r="E14" s="328"/>
      <c r="F14" s="328"/>
      <c r="G14" s="328"/>
      <c r="H14" s="328"/>
      <c r="I14" s="328"/>
      <c r="J14" s="328"/>
      <c r="K14" s="328"/>
      <c r="L14" s="328"/>
      <c r="M14" s="328"/>
      <c r="N14" s="328"/>
      <c r="O14" s="328"/>
      <c r="P14" s="328"/>
      <c r="Q14" s="328"/>
      <c r="R14" s="328"/>
      <c r="S14" s="328"/>
      <c r="T14" s="328"/>
      <c r="U14" s="328"/>
      <c r="V14" s="328"/>
      <c r="W14" s="329"/>
      <c r="X14" s="330"/>
      <c r="Y14" s="30"/>
      <c r="Z14" s="30"/>
    </row>
    <row r="15" spans="1:26" ht="26.4" hidden="1" customHeight="1">
      <c r="A15" s="614" t="s">
        <v>97</v>
      </c>
      <c r="B15" s="620"/>
      <c r="C15" s="615"/>
      <c r="D15" s="614" t="s">
        <v>98</v>
      </c>
      <c r="E15" s="620"/>
      <c r="F15" s="615"/>
      <c r="G15" s="614" t="s">
        <v>99</v>
      </c>
      <c r="H15" s="615"/>
      <c r="I15" s="614" t="s">
        <v>100</v>
      </c>
      <c r="J15" s="615"/>
      <c r="K15" s="614" t="s">
        <v>101</v>
      </c>
      <c r="L15" s="615"/>
      <c r="M15" s="614" t="s">
        <v>102</v>
      </c>
      <c r="N15" s="615"/>
      <c r="O15" s="614" t="s">
        <v>103</v>
      </c>
      <c r="P15" s="615"/>
      <c r="Q15" s="614" t="s">
        <v>104</v>
      </c>
      <c r="R15" s="615"/>
      <c r="S15" s="782" t="s">
        <v>105</v>
      </c>
      <c r="T15" s="782"/>
      <c r="U15" s="782"/>
      <c r="V15" s="782"/>
      <c r="W15" s="331" t="s">
        <v>106</v>
      </c>
      <c r="X15" s="331"/>
      <c r="Y15" s="30"/>
      <c r="Z15" s="30"/>
    </row>
    <row r="16" spans="1:26" ht="18" hidden="1" customHeight="1">
      <c r="A16" s="623" t="str">
        <f>'[2]RET670_650-PX (HV-T12) '!A398</f>
        <v>T12</v>
      </c>
      <c r="B16" s="623" t="str">
        <f>'[2]RET670_650-PX (HV-T12) '!B398</f>
        <v>Core1</v>
      </c>
      <c r="C16" s="623"/>
      <c r="D16" s="613">
        <f>'[2]RET670_650-PX (HV-T12) '!D398</f>
        <v>1200</v>
      </c>
      <c r="E16" s="613"/>
      <c r="F16" s="624">
        <f>'[2]RET670_650-PX (HV-T12) '!F398</f>
        <v>1</v>
      </c>
      <c r="G16" s="613">
        <f>'[2]RET670_650-PX (HV-T12) '!G398</f>
        <v>50</v>
      </c>
      <c r="H16" s="783">
        <f>'[2]RET670_650-PX (HV-T12) '!H398</f>
        <v>2.5</v>
      </c>
      <c r="I16" s="783" t="str">
        <f>'[2]RET670_650-PX (HV-T12) '!I398</f>
        <v>PX</v>
      </c>
      <c r="J16" s="783"/>
      <c r="K16" s="612">
        <f>'[2]RET670_650-PX (HV-T12) '!K398</f>
        <v>5</v>
      </c>
      <c r="L16" s="612"/>
      <c r="M16" s="612">
        <f>'[2]RET670_650-PX (HV-T12) '!M398</f>
        <v>1000</v>
      </c>
      <c r="N16" s="612"/>
      <c r="O16" s="613">
        <f>'[2]RET670_650-PX (HV-T12) '!O398</f>
        <v>30</v>
      </c>
      <c r="P16" s="613"/>
      <c r="Q16" s="629" t="str">
        <f>'[2]RET670_650-PX (HV-T12) '!Q398</f>
        <v>RET670</v>
      </c>
      <c r="R16" s="629"/>
      <c r="S16" s="613" t="str">
        <f>'[2]RET670_650-PX (HV-T12) '!S398</f>
        <v>Suitably Dimensioned</v>
      </c>
      <c r="T16" s="613"/>
      <c r="U16" s="613"/>
      <c r="V16" s="613"/>
      <c r="W16" s="301">
        <f>'[2]RET670_650-PX (HV-T12) '!H100</f>
        <v>177.39685253704729</v>
      </c>
      <c r="X16" s="275"/>
      <c r="Y16" s="30"/>
      <c r="Z16" s="30"/>
    </row>
    <row r="17" spans="1:26" ht="18" hidden="1" customHeight="1">
      <c r="A17" s="623"/>
      <c r="B17" s="623"/>
      <c r="C17" s="623"/>
      <c r="D17" s="613" t="str">
        <f>'[2]RET670_650-PX (HV-T12) '!D399</f>
        <v>-</v>
      </c>
      <c r="E17" s="613"/>
      <c r="F17" s="625"/>
      <c r="G17" s="613"/>
      <c r="H17" s="613"/>
      <c r="I17" s="783"/>
      <c r="J17" s="783"/>
      <c r="K17" s="612" t="str">
        <f>'[2]RET670_650-PX (HV-T12) '!K399</f>
        <v>-</v>
      </c>
      <c r="L17" s="612"/>
      <c r="M17" s="612" t="str">
        <f>'[2]RET670_650-PX (HV-T12) '!M399</f>
        <v>-</v>
      </c>
      <c r="N17" s="612"/>
      <c r="O17" s="613" t="str">
        <f>'[2]RET670_650-PX (HV-T12) '!O399</f>
        <v>-</v>
      </c>
      <c r="P17" s="613"/>
      <c r="Q17" s="629"/>
      <c r="R17" s="629"/>
      <c r="S17" s="613" t="str">
        <f>'[2]RET670_650-PX (HV-T12) '!S399</f>
        <v>-</v>
      </c>
      <c r="T17" s="613"/>
      <c r="U17" s="613"/>
      <c r="V17" s="613"/>
      <c r="W17" s="301" t="s">
        <v>7</v>
      </c>
      <c r="X17" s="275"/>
      <c r="Y17" s="30"/>
      <c r="Z17" s="30"/>
    </row>
    <row r="18" spans="1:26" ht="18" hidden="1" customHeight="1">
      <c r="A18" s="623"/>
      <c r="B18" s="623"/>
      <c r="C18" s="623"/>
      <c r="D18" s="613" t="str">
        <f>'[2]RET670_650-PX (HV-T12) '!D400</f>
        <v>-</v>
      </c>
      <c r="E18" s="613"/>
      <c r="F18" s="626"/>
      <c r="G18" s="613"/>
      <c r="H18" s="613"/>
      <c r="I18" s="783"/>
      <c r="J18" s="783"/>
      <c r="K18" s="612" t="str">
        <f>'[2]RET670_650-PX (HV-T12) '!K400</f>
        <v>-</v>
      </c>
      <c r="L18" s="612"/>
      <c r="M18" s="612" t="str">
        <f>'[2]RET670_650-PX (HV-T12) '!M400</f>
        <v>-</v>
      </c>
      <c r="N18" s="612"/>
      <c r="O18" s="613" t="str">
        <f>'[2]RET670_650-PX (HV-T12) '!O400</f>
        <v>-</v>
      </c>
      <c r="P18" s="613"/>
      <c r="Q18" s="629"/>
      <c r="R18" s="629"/>
      <c r="S18" s="613" t="str">
        <f>'[2]RET670_650-PX (HV-T12) '!S400</f>
        <v>-</v>
      </c>
      <c r="T18" s="613"/>
      <c r="U18" s="613"/>
      <c r="V18" s="613"/>
      <c r="W18" s="275" t="s">
        <v>7</v>
      </c>
      <c r="X18" s="275"/>
      <c r="Y18" s="30"/>
      <c r="Z18" s="30"/>
    </row>
    <row r="19" spans="1:26" ht="18" hidden="1" customHeight="1">
      <c r="A19" s="327" t="s">
        <v>108</v>
      </c>
      <c r="B19" s="328"/>
      <c r="C19" s="328"/>
      <c r="D19" s="328"/>
      <c r="E19" s="328"/>
      <c r="F19" s="328"/>
      <c r="G19" s="328"/>
      <c r="H19" s="328"/>
      <c r="I19" s="328"/>
      <c r="J19" s="328"/>
      <c r="K19" s="328"/>
      <c r="L19" s="328"/>
      <c r="M19" s="328"/>
      <c r="N19" s="328"/>
      <c r="O19" s="328"/>
      <c r="P19" s="328"/>
      <c r="Q19" s="328"/>
      <c r="R19" s="328"/>
      <c r="S19" s="328"/>
      <c r="T19" s="328"/>
      <c r="U19" s="328"/>
      <c r="V19" s="328"/>
      <c r="W19" s="329"/>
      <c r="X19" s="330"/>
      <c r="Y19" s="30"/>
      <c r="Z19" s="30"/>
    </row>
    <row r="20" spans="1:26" ht="26.4" hidden="1">
      <c r="A20" s="614" t="s">
        <v>97</v>
      </c>
      <c r="B20" s="620"/>
      <c r="C20" s="615"/>
      <c r="D20" s="614" t="s">
        <v>98</v>
      </c>
      <c r="E20" s="620"/>
      <c r="F20" s="615"/>
      <c r="G20" s="614" t="s">
        <v>99</v>
      </c>
      <c r="H20" s="615"/>
      <c r="I20" s="614" t="s">
        <v>100</v>
      </c>
      <c r="J20" s="615"/>
      <c r="K20" s="614" t="s">
        <v>101</v>
      </c>
      <c r="L20" s="615"/>
      <c r="M20" s="614" t="s">
        <v>102</v>
      </c>
      <c r="N20" s="615"/>
      <c r="O20" s="614" t="s">
        <v>103</v>
      </c>
      <c r="P20" s="615"/>
      <c r="Q20" s="614" t="s">
        <v>104</v>
      </c>
      <c r="R20" s="615"/>
      <c r="S20" s="782" t="s">
        <v>105</v>
      </c>
      <c r="T20" s="782"/>
      <c r="U20" s="782"/>
      <c r="V20" s="782"/>
      <c r="W20" s="331" t="s">
        <v>106</v>
      </c>
      <c r="X20" s="331"/>
      <c r="Y20" s="30"/>
      <c r="Z20" s="30"/>
    </row>
    <row r="21" spans="1:26" ht="18" hidden="1" customHeight="1">
      <c r="A21" s="623" t="str">
        <f>'[2]REF615 OC-5P (5)'!A141</f>
        <v>BC1</v>
      </c>
      <c r="B21" s="623" t="str">
        <f>'[2]REF615 OC-5P (5)'!B141</f>
        <v>Core3</v>
      </c>
      <c r="C21" s="623"/>
      <c r="D21" s="613">
        <f>'[2]REF615 OC-5P (5)'!D141</f>
        <v>1500</v>
      </c>
      <c r="E21" s="613"/>
      <c r="F21" s="624">
        <f>'[2]REF615 OC-5P (5)'!F141</f>
        <v>1</v>
      </c>
      <c r="G21" s="613">
        <f>'[2]REF615 OC-5P (5)'!G141</f>
        <v>50</v>
      </c>
      <c r="H21" s="783">
        <f>'[2]REF615 OC-5P (5)'!H141</f>
        <v>2.5</v>
      </c>
      <c r="I21" s="783" t="str">
        <f>'[2]REF615 OC-5P (5)'!I141</f>
        <v>5P</v>
      </c>
      <c r="J21" s="783"/>
      <c r="K21" s="612">
        <f>'[2]REF615 OC-5P (5)'!K141</f>
        <v>4</v>
      </c>
      <c r="L21" s="612"/>
      <c r="M21" s="612">
        <f>'[2]REF615 OC-5P (5)'!M141</f>
        <v>30</v>
      </c>
      <c r="N21" s="612"/>
      <c r="O21" s="613" t="str">
        <f>'[2]REF615 OC-5P (5)'!O141</f>
        <v>-</v>
      </c>
      <c r="P21" s="613"/>
      <c r="Q21" s="629" t="str">
        <f>'[2]REF615 OC-5P (5)'!Q141</f>
        <v>REF615+REF615</v>
      </c>
      <c r="R21" s="629"/>
      <c r="S21" s="613" t="str">
        <f>'[2]REF615 OC-5P (5)'!S141</f>
        <v>Suitably Dimensioned</v>
      </c>
      <c r="T21" s="613"/>
      <c r="U21" s="613"/>
      <c r="V21" s="613"/>
      <c r="W21" s="301">
        <f>'[2]REF615 OC-5P (5)'!G40</f>
        <v>26.666666666666668</v>
      </c>
      <c r="X21" s="275"/>
      <c r="Y21" s="30"/>
      <c r="Z21" s="30"/>
    </row>
    <row r="22" spans="1:26" ht="18" hidden="1" customHeight="1">
      <c r="A22" s="623"/>
      <c r="B22" s="623"/>
      <c r="C22" s="623"/>
      <c r="D22" s="613" t="str">
        <f>'[2]REF615 OC-5P (5)'!D142</f>
        <v>-</v>
      </c>
      <c r="E22" s="613"/>
      <c r="F22" s="625"/>
      <c r="G22" s="613"/>
      <c r="H22" s="613"/>
      <c r="I22" s="783"/>
      <c r="J22" s="783"/>
      <c r="K22" s="612" t="str">
        <f>'[2]REF615 OC-5P (5)'!K142</f>
        <v>-</v>
      </c>
      <c r="L22" s="612"/>
      <c r="M22" s="612" t="str">
        <f>'[2]REF615 OC-5P (5)'!M142</f>
        <v>-</v>
      </c>
      <c r="N22" s="612"/>
      <c r="O22" s="613" t="str">
        <f>'[2]REF615 OC-5P (5)'!O142</f>
        <v>-</v>
      </c>
      <c r="P22" s="613"/>
      <c r="Q22" s="629"/>
      <c r="R22" s="629"/>
      <c r="S22" s="613" t="str">
        <f>'[2]REF615 OC-5P (5)'!S142</f>
        <v>-</v>
      </c>
      <c r="T22" s="613"/>
      <c r="U22" s="613"/>
      <c r="V22" s="613"/>
      <c r="W22" s="301" t="s">
        <v>7</v>
      </c>
      <c r="X22" s="275"/>
      <c r="Y22" s="30"/>
      <c r="Z22" s="30"/>
    </row>
    <row r="23" spans="1:26" ht="18" hidden="1" customHeight="1">
      <c r="A23" s="623"/>
      <c r="B23" s="623"/>
      <c r="C23" s="623"/>
      <c r="D23" s="613" t="str">
        <f>'[2]REF615 OC-5P (5)'!D143</f>
        <v>-</v>
      </c>
      <c r="E23" s="613"/>
      <c r="F23" s="626"/>
      <c r="G23" s="613"/>
      <c r="H23" s="613"/>
      <c r="I23" s="783"/>
      <c r="J23" s="783"/>
      <c r="K23" s="612" t="str">
        <f>'[2]REF615 OC-5P (5)'!K143</f>
        <v>-</v>
      </c>
      <c r="L23" s="612"/>
      <c r="M23" s="612" t="str">
        <f>'[2]REF615 OC-5P (5)'!M143</f>
        <v>-</v>
      </c>
      <c r="N23" s="612"/>
      <c r="O23" s="613" t="str">
        <f>'[2]REF615 OC-5P (5)'!O143</f>
        <v>-</v>
      </c>
      <c r="P23" s="613"/>
      <c r="Q23" s="629"/>
      <c r="R23" s="629"/>
      <c r="S23" s="613" t="str">
        <f>'[2]REF615 OC-5P (5)'!S143</f>
        <v>-</v>
      </c>
      <c r="T23" s="613"/>
      <c r="U23" s="613"/>
      <c r="V23" s="613"/>
      <c r="W23" s="275" t="s">
        <v>7</v>
      </c>
      <c r="X23" s="275"/>
      <c r="Y23" s="30"/>
      <c r="Z23" s="30"/>
    </row>
    <row r="24" spans="1:26" ht="18" hidden="1" customHeight="1">
      <c r="A24" s="327" t="s">
        <v>109</v>
      </c>
      <c r="B24" s="328"/>
      <c r="C24" s="328"/>
      <c r="D24" s="328"/>
      <c r="E24" s="328"/>
      <c r="F24" s="328"/>
      <c r="G24" s="328"/>
      <c r="H24" s="328"/>
      <c r="I24" s="328"/>
      <c r="J24" s="328"/>
      <c r="K24" s="328"/>
      <c r="L24" s="328"/>
      <c r="M24" s="328"/>
      <c r="N24" s="328"/>
      <c r="O24" s="328"/>
      <c r="P24" s="328"/>
      <c r="Q24" s="328"/>
      <c r="R24" s="328"/>
      <c r="S24" s="328"/>
      <c r="T24" s="328"/>
      <c r="U24" s="328"/>
      <c r="V24" s="328"/>
      <c r="W24" s="329"/>
      <c r="X24" s="330"/>
      <c r="Y24" s="30"/>
      <c r="Z24" s="30"/>
    </row>
    <row r="25" spans="1:26" ht="26.4" hidden="1" customHeight="1">
      <c r="A25" s="614" t="s">
        <v>97</v>
      </c>
      <c r="B25" s="620"/>
      <c r="C25" s="615"/>
      <c r="D25" s="614" t="s">
        <v>98</v>
      </c>
      <c r="E25" s="620"/>
      <c r="F25" s="615"/>
      <c r="G25" s="614" t="s">
        <v>99</v>
      </c>
      <c r="H25" s="615"/>
      <c r="I25" s="614" t="s">
        <v>100</v>
      </c>
      <c r="J25" s="615"/>
      <c r="K25" s="614" t="s">
        <v>101</v>
      </c>
      <c r="L25" s="615"/>
      <c r="M25" s="614" t="s">
        <v>102</v>
      </c>
      <c r="N25" s="615"/>
      <c r="O25" s="614" t="s">
        <v>103</v>
      </c>
      <c r="P25" s="615"/>
      <c r="Q25" s="614" t="s">
        <v>104</v>
      </c>
      <c r="R25" s="615"/>
      <c r="S25" s="782" t="s">
        <v>105</v>
      </c>
      <c r="T25" s="782"/>
      <c r="U25" s="782"/>
      <c r="V25" s="782"/>
      <c r="W25" s="331" t="s">
        <v>106</v>
      </c>
      <c r="X25" s="331"/>
      <c r="Y25" s="30"/>
      <c r="Z25" s="30"/>
    </row>
    <row r="26" spans="1:26" ht="18" hidden="1" customHeight="1">
      <c r="A26" s="623" t="str">
        <f>'[2]REB500-PX (5)'!A260</f>
        <v>BC1</v>
      </c>
      <c r="B26" s="623" t="str">
        <f>'[2]REB500-PX (5)'!B260</f>
        <v>Core5</v>
      </c>
      <c r="C26" s="623"/>
      <c r="D26" s="613">
        <f>'[2]REB500-PX (5)'!D260</f>
        <v>3150</v>
      </c>
      <c r="E26" s="613"/>
      <c r="F26" s="624">
        <f>'[2]REB500-PX (5)'!F260</f>
        <v>1</v>
      </c>
      <c r="G26" s="613">
        <f>'[2]REB500-PX (5)'!G260</f>
        <v>100</v>
      </c>
      <c r="H26" s="783">
        <f>'[2]REB500-PX (5)'!H260</f>
        <v>4</v>
      </c>
      <c r="I26" s="783" t="str">
        <f>'[2]REB500-PX (5)'!I260</f>
        <v>PX</v>
      </c>
      <c r="J26" s="783"/>
      <c r="K26" s="612">
        <f>'[2]REB500-PX (5)'!K260</f>
        <v>10</v>
      </c>
      <c r="L26" s="612"/>
      <c r="M26" s="612">
        <f>'[2]REB500-PX (5)'!M260</f>
        <v>3150</v>
      </c>
      <c r="N26" s="612"/>
      <c r="O26" s="613">
        <f>'[2]REB500-PX (5)'!O260</f>
        <v>210.8</v>
      </c>
      <c r="P26" s="613"/>
      <c r="Q26" s="629" t="str">
        <f>'[2]REB500-PX (5)'!Q260</f>
        <v>REB500</v>
      </c>
      <c r="R26" s="629"/>
      <c r="S26" s="613" t="str">
        <f>'[2]REB500-PX (5)'!S260</f>
        <v>Suitably Dimensioned</v>
      </c>
      <c r="T26" s="613"/>
      <c r="U26" s="613"/>
      <c r="V26" s="613"/>
      <c r="W26" s="301">
        <f>'[2]REB500-PX (5)'!G148</f>
        <v>10</v>
      </c>
      <c r="X26" s="301"/>
      <c r="Y26" s="30"/>
      <c r="Z26" s="30"/>
    </row>
    <row r="27" spans="1:26" ht="18" hidden="1" customHeight="1">
      <c r="A27" s="623"/>
      <c r="B27" s="623"/>
      <c r="C27" s="623"/>
      <c r="D27" s="613">
        <f>'[2]REB500-PX (5)'!D261</f>
        <v>1500</v>
      </c>
      <c r="E27" s="613"/>
      <c r="F27" s="625"/>
      <c r="G27" s="613"/>
      <c r="H27" s="613"/>
      <c r="I27" s="783"/>
      <c r="J27" s="783"/>
      <c r="K27" s="612">
        <f>'[2]REB500-PX (5)'!K261</f>
        <v>5</v>
      </c>
      <c r="L27" s="612"/>
      <c r="M27" s="612">
        <f>'[2]REB500-PX (5)'!M261</f>
        <v>1000</v>
      </c>
      <c r="N27" s="612"/>
      <c r="O27" s="613">
        <f>'[2]REB500-PX (5)'!O261</f>
        <v>147.72999999999999</v>
      </c>
      <c r="P27" s="613"/>
      <c r="Q27" s="629"/>
      <c r="R27" s="629"/>
      <c r="S27" s="613" t="str">
        <f>'[2]REB500-PX (5)'!S261</f>
        <v>Suitably Dimensioned</v>
      </c>
      <c r="T27" s="613"/>
      <c r="U27" s="613"/>
      <c r="V27" s="613"/>
      <c r="W27" s="301" t="s">
        <v>7</v>
      </c>
      <c r="X27" s="301"/>
      <c r="Y27" s="30"/>
      <c r="Z27" s="30"/>
    </row>
    <row r="28" spans="1:26" ht="18" hidden="1" customHeight="1">
      <c r="A28" s="623"/>
      <c r="B28" s="623"/>
      <c r="C28" s="623"/>
      <c r="D28" s="613" t="str">
        <f>'[2]REB500-PX (5)'!D262</f>
        <v>-</v>
      </c>
      <c r="E28" s="613"/>
      <c r="F28" s="626"/>
      <c r="G28" s="613"/>
      <c r="H28" s="613"/>
      <c r="I28" s="783"/>
      <c r="J28" s="783"/>
      <c r="K28" s="612" t="str">
        <f>'[2]REB500-PX (5)'!K262</f>
        <v>-</v>
      </c>
      <c r="L28" s="612"/>
      <c r="M28" s="612" t="str">
        <f>'[2]REB500-PX (5)'!M262</f>
        <v>-</v>
      </c>
      <c r="N28" s="612"/>
      <c r="O28" s="613" t="str">
        <f>'[2]REB500-PX (5)'!O262</f>
        <v>-</v>
      </c>
      <c r="P28" s="613"/>
      <c r="Q28" s="629"/>
      <c r="R28" s="629"/>
      <c r="S28" s="613" t="str">
        <f>'[2]REB500-PX (5)'!S262</f>
        <v>-</v>
      </c>
      <c r="T28" s="613"/>
      <c r="U28" s="613"/>
      <c r="V28" s="613"/>
      <c r="W28" s="275" t="s">
        <v>7</v>
      </c>
      <c r="X28" s="275"/>
      <c r="Y28" s="30"/>
      <c r="Z28" s="30"/>
    </row>
    <row r="29" spans="1:26" ht="18" hidden="1" customHeight="1">
      <c r="A29" s="332"/>
      <c r="B29" s="145"/>
      <c r="C29" s="145"/>
      <c r="D29" s="333"/>
      <c r="E29" s="333"/>
      <c r="F29" s="233"/>
      <c r="G29" s="333"/>
      <c r="H29" s="333"/>
      <c r="I29" s="334"/>
      <c r="J29" s="334"/>
      <c r="K29" s="281"/>
      <c r="L29" s="281"/>
      <c r="M29" s="281"/>
      <c r="N29" s="281"/>
      <c r="O29" s="333"/>
      <c r="P29" s="333"/>
      <c r="Q29" s="335"/>
      <c r="R29" s="335"/>
      <c r="S29" s="333"/>
      <c r="T29" s="333"/>
      <c r="U29" s="333"/>
      <c r="V29" s="333"/>
      <c r="W29" s="333"/>
      <c r="X29" s="336"/>
      <c r="Y29" s="30"/>
      <c r="Z29" s="30"/>
    </row>
    <row r="30" spans="1:26" ht="18" hidden="1" customHeight="1">
      <c r="A30" s="337"/>
      <c r="B30" s="28"/>
      <c r="C30" s="28"/>
      <c r="D30" s="233"/>
      <c r="E30" s="233"/>
      <c r="F30" s="233"/>
      <c r="G30" s="233"/>
      <c r="H30" s="233"/>
      <c r="I30" s="234"/>
      <c r="J30" s="234"/>
      <c r="K30" s="488"/>
      <c r="L30" s="488"/>
      <c r="M30" s="488"/>
      <c r="N30" s="488"/>
      <c r="O30" s="233"/>
      <c r="P30" s="233"/>
      <c r="Q30" s="492"/>
      <c r="R30" s="492"/>
      <c r="S30" s="233"/>
      <c r="T30" s="233"/>
      <c r="U30" s="233"/>
      <c r="V30" s="233"/>
      <c r="W30" s="233"/>
      <c r="X30" s="338"/>
      <c r="Y30" s="30"/>
      <c r="Z30" s="30"/>
    </row>
    <row r="31" spans="1:26" ht="21" hidden="1" customHeight="1">
      <c r="A31" s="273"/>
      <c r="B31" s="241"/>
      <c r="C31" s="241"/>
      <c r="D31" s="250"/>
      <c r="E31" s="250"/>
      <c r="F31" s="250"/>
      <c r="G31" s="250"/>
      <c r="H31" s="250"/>
      <c r="I31" s="339"/>
      <c r="J31" s="339"/>
      <c r="K31" s="282"/>
      <c r="L31" s="282"/>
      <c r="M31" s="282"/>
      <c r="N31" s="282"/>
      <c r="O31" s="250"/>
      <c r="P31" s="250"/>
      <c r="Q31" s="340"/>
      <c r="R31" s="340"/>
      <c r="S31" s="250"/>
      <c r="T31" s="250"/>
      <c r="U31" s="250"/>
      <c r="V31" s="250"/>
      <c r="W31" s="250"/>
      <c r="X31" s="341"/>
      <c r="Y31" s="30"/>
      <c r="Z31" s="30"/>
    </row>
    <row r="32" spans="1:26" ht="21" hidden="1" customHeight="1">
      <c r="A32" s="337"/>
      <c r="B32" s="28"/>
      <c r="C32" s="28"/>
      <c r="D32" s="233"/>
      <c r="E32" s="233"/>
      <c r="F32" s="233"/>
      <c r="G32" s="233"/>
      <c r="H32" s="233"/>
      <c r="I32" s="234"/>
      <c r="J32" s="234"/>
      <c r="K32" s="488"/>
      <c r="L32" s="488"/>
      <c r="M32" s="488"/>
      <c r="N32" s="488"/>
      <c r="O32" s="233"/>
      <c r="P32" s="233"/>
      <c r="Q32" s="492"/>
      <c r="R32" s="492"/>
      <c r="S32" s="233"/>
      <c r="T32" s="233"/>
      <c r="U32" s="233"/>
      <c r="V32" s="233"/>
      <c r="W32" s="233"/>
      <c r="X32" s="338"/>
      <c r="Y32" s="30"/>
      <c r="Z32" s="30"/>
    </row>
    <row r="33" spans="1:26" ht="18" hidden="1" customHeight="1">
      <c r="A33" s="342" t="s">
        <v>110</v>
      </c>
      <c r="B33" s="343"/>
      <c r="C33" s="343"/>
      <c r="D33" s="343"/>
      <c r="E33" s="343"/>
      <c r="F33" s="343"/>
      <c r="G33" s="343"/>
      <c r="H33" s="343"/>
      <c r="I33" s="343"/>
      <c r="J33" s="343"/>
      <c r="K33" s="343"/>
      <c r="L33" s="343"/>
      <c r="M33" s="343"/>
      <c r="N33" s="343"/>
      <c r="O33" s="343"/>
      <c r="P33" s="343"/>
      <c r="Q33" s="343"/>
      <c r="R33" s="343"/>
      <c r="S33" s="343"/>
      <c r="T33" s="343"/>
      <c r="U33" s="343"/>
      <c r="V33" s="343"/>
      <c r="W33" s="344"/>
      <c r="X33" s="345"/>
      <c r="Y33" s="30"/>
      <c r="Z33" s="30"/>
    </row>
    <row r="34" spans="1:26" ht="26.4" hidden="1">
      <c r="A34" s="614" t="s">
        <v>97</v>
      </c>
      <c r="B34" s="620"/>
      <c r="C34" s="615"/>
      <c r="D34" s="614" t="s">
        <v>98</v>
      </c>
      <c r="E34" s="620"/>
      <c r="F34" s="615"/>
      <c r="G34" s="614" t="s">
        <v>99</v>
      </c>
      <c r="H34" s="615"/>
      <c r="I34" s="614" t="s">
        <v>100</v>
      </c>
      <c r="J34" s="615"/>
      <c r="K34" s="614" t="s">
        <v>101</v>
      </c>
      <c r="L34" s="615"/>
      <c r="M34" s="614" t="s">
        <v>102</v>
      </c>
      <c r="N34" s="615"/>
      <c r="O34" s="614" t="s">
        <v>103</v>
      </c>
      <c r="P34" s="615"/>
      <c r="Q34" s="614" t="s">
        <v>104</v>
      </c>
      <c r="R34" s="615"/>
      <c r="S34" s="782" t="s">
        <v>105</v>
      </c>
      <c r="T34" s="782"/>
      <c r="U34" s="782"/>
      <c r="V34" s="782"/>
      <c r="W34" s="331" t="s">
        <v>106</v>
      </c>
      <c r="X34" s="331"/>
      <c r="Y34" s="30"/>
      <c r="Z34" s="30"/>
    </row>
    <row r="35" spans="1:26" ht="18" hidden="1" customHeight="1">
      <c r="A35" s="623" t="str">
        <f>'[2]RET615_Trafo LV REF (High)'!A91</f>
        <v>BC1</v>
      </c>
      <c r="B35" s="623" t="str">
        <f>'[2]RET615_Trafo LV REF (High)'!B91</f>
        <v>Core2</v>
      </c>
      <c r="C35" s="623"/>
      <c r="D35" s="613">
        <f>'[2]RET615_Trafo LV REF (High)'!D91</f>
        <v>1500</v>
      </c>
      <c r="E35" s="613"/>
      <c r="F35" s="624">
        <f>'[2]RET615_Trafo LV REF (High)'!F91</f>
        <v>1</v>
      </c>
      <c r="G35" s="613">
        <f>'[2]RET615_Trafo LV REF (High)'!G91</f>
        <v>50</v>
      </c>
      <c r="H35" s="783">
        <f>'[2]RET615_Trafo LV REF (High)'!H91</f>
        <v>2.5</v>
      </c>
      <c r="I35" s="783" t="str">
        <f>'[2]RET615_Trafo LV REF (High)'!I91</f>
        <v>PX</v>
      </c>
      <c r="J35" s="783"/>
      <c r="K35" s="612">
        <f>'[2]RET615_Trafo LV REF (High)'!K91</f>
        <v>3</v>
      </c>
      <c r="L35" s="612"/>
      <c r="M35" s="612">
        <f>'[2]RET615_Trafo LV REF (High)'!M91</f>
        <v>1500</v>
      </c>
      <c r="N35" s="612"/>
      <c r="O35" s="613">
        <f>'[2]RET615_Trafo LV REF (High)'!O91</f>
        <v>74.39</v>
      </c>
      <c r="P35" s="613"/>
      <c r="Q35" s="629" t="str">
        <f>'[2]RET615_Trafo LV REF (High)'!Q91</f>
        <v>RET615</v>
      </c>
      <c r="R35" s="629"/>
      <c r="S35" s="613" t="str">
        <f>'[2]RET615_Trafo LV REF (High)'!S91</f>
        <v>Suitably Dimensioned</v>
      </c>
      <c r="T35" s="613"/>
      <c r="U35" s="613"/>
      <c r="V35" s="613"/>
      <c r="W35" s="301">
        <f>'[2]RET615_Trafo LV REF (High)'!G78</f>
        <v>308.19170832649024</v>
      </c>
      <c r="X35" s="275"/>
      <c r="Y35" s="30"/>
      <c r="Z35" s="30"/>
    </row>
    <row r="36" spans="1:26" ht="18" hidden="1" customHeight="1">
      <c r="A36" s="623"/>
      <c r="B36" s="623"/>
      <c r="C36" s="623"/>
      <c r="D36" s="613" t="str">
        <f>'[2]RET615_Trafo LV REF (High)'!D92</f>
        <v>-</v>
      </c>
      <c r="E36" s="613"/>
      <c r="F36" s="625"/>
      <c r="G36" s="613"/>
      <c r="H36" s="613"/>
      <c r="I36" s="783"/>
      <c r="J36" s="783"/>
      <c r="K36" s="612" t="str">
        <f>'[2]RET615_Trafo LV REF (High)'!K92</f>
        <v>-</v>
      </c>
      <c r="L36" s="612"/>
      <c r="M36" s="612" t="str">
        <f>'[2]RET615_Trafo LV REF (High)'!M92</f>
        <v>-</v>
      </c>
      <c r="N36" s="612"/>
      <c r="O36" s="613" t="str">
        <f>'[2]RET615_Trafo LV REF (High)'!O92</f>
        <v>-</v>
      </c>
      <c r="P36" s="613"/>
      <c r="Q36" s="629"/>
      <c r="R36" s="629"/>
      <c r="S36" s="613" t="str">
        <f>'[2]RET615_Trafo LV REF (High)'!S92</f>
        <v>-</v>
      </c>
      <c r="T36" s="613"/>
      <c r="U36" s="613"/>
      <c r="V36" s="613"/>
      <c r="W36" s="301"/>
      <c r="X36" s="275"/>
      <c r="Y36" s="30"/>
      <c r="Z36" s="30"/>
    </row>
    <row r="37" spans="1:26" ht="18" hidden="1" customHeight="1">
      <c r="A37" s="623"/>
      <c r="B37" s="623"/>
      <c r="C37" s="623"/>
      <c r="D37" s="613" t="str">
        <f>'[2]RET615_Trafo LV REF (High)'!D93</f>
        <v>-</v>
      </c>
      <c r="E37" s="613"/>
      <c r="F37" s="626"/>
      <c r="G37" s="613"/>
      <c r="H37" s="613"/>
      <c r="I37" s="783"/>
      <c r="J37" s="783"/>
      <c r="K37" s="612" t="str">
        <f>'[2]RET615_Trafo LV REF (High)'!K93</f>
        <v>-</v>
      </c>
      <c r="L37" s="612"/>
      <c r="M37" s="612" t="str">
        <f>'[2]RET615_Trafo LV REF (High)'!M93</f>
        <v>-</v>
      </c>
      <c r="N37" s="612"/>
      <c r="O37" s="613" t="str">
        <f>'[2]RET615_Trafo LV REF (High)'!O93</f>
        <v>-</v>
      </c>
      <c r="P37" s="613"/>
      <c r="Q37" s="629"/>
      <c r="R37" s="629"/>
      <c r="S37" s="613" t="str">
        <f>'[2]RET615_Trafo LV REF (High)'!S93</f>
        <v>-</v>
      </c>
      <c r="T37" s="613"/>
      <c r="U37" s="613"/>
      <c r="V37" s="613"/>
      <c r="W37" s="275"/>
      <c r="X37" s="275"/>
      <c r="Y37" s="30"/>
      <c r="Z37" s="30"/>
    </row>
    <row r="38" spans="1:26" ht="18" hidden="1" customHeight="1">
      <c r="A38" s="623" t="str">
        <f>'[2]RET615_Trafo LV REF (High)'!A94</f>
        <v>T2N</v>
      </c>
      <c r="B38" s="623" t="str">
        <f>'[2]RET615_Trafo LV REF (High)'!B94</f>
        <v>Core1</v>
      </c>
      <c r="C38" s="623"/>
      <c r="D38" s="613">
        <f>'[2]RET615_Trafo LV REF (High)'!D94</f>
        <v>1500</v>
      </c>
      <c r="E38" s="613"/>
      <c r="F38" s="624">
        <f>'[2]RET615_Trafo LV REF (High)'!F94</f>
        <v>1</v>
      </c>
      <c r="G38" s="613">
        <f>'[2]RET615_Trafo LV REF (High)'!G94</f>
        <v>50</v>
      </c>
      <c r="H38" s="783">
        <f>'[2]RET615_Trafo LV REF (High)'!H94</f>
        <v>2.5</v>
      </c>
      <c r="I38" s="783" t="str">
        <f>'[2]RET615_Trafo LV REF (High)'!I94</f>
        <v>PX</v>
      </c>
      <c r="J38" s="783"/>
      <c r="K38" s="612">
        <f>'[2]RET615_Trafo LV REF (High)'!K94</f>
        <v>10</v>
      </c>
      <c r="L38" s="612"/>
      <c r="M38" s="612">
        <f>'[2]RET615_Trafo LV REF (High)'!M94</f>
        <v>1500</v>
      </c>
      <c r="N38" s="612"/>
      <c r="O38" s="613">
        <f>'[2]RET615_Trafo LV REF (High)'!O94</f>
        <v>100</v>
      </c>
      <c r="P38" s="613"/>
      <c r="Q38" s="629" t="str">
        <f>'[2]RET615_Trafo LV REF (High)'!Q94</f>
        <v>RET615</v>
      </c>
      <c r="R38" s="629"/>
      <c r="S38" s="613" t="str">
        <f>'[2]RET615_Trafo LV REF (High)'!S94</f>
        <v>Suitably Dimensioned</v>
      </c>
      <c r="T38" s="613"/>
      <c r="U38" s="613"/>
      <c r="V38" s="613"/>
      <c r="W38" s="301">
        <f>'[2]RET615_Trafo LV REF (High)'!G78</f>
        <v>308.19170832649024</v>
      </c>
      <c r="X38" s="275"/>
      <c r="Y38" s="30"/>
      <c r="Z38" s="30"/>
    </row>
    <row r="39" spans="1:26" ht="18" hidden="1" customHeight="1">
      <c r="A39" s="623"/>
      <c r="B39" s="623"/>
      <c r="C39" s="623"/>
      <c r="D39" s="613" t="str">
        <f>'[2]RET615_Trafo LV REF (High)'!D95</f>
        <v>-</v>
      </c>
      <c r="E39" s="613"/>
      <c r="F39" s="625"/>
      <c r="G39" s="613"/>
      <c r="H39" s="613"/>
      <c r="I39" s="783"/>
      <c r="J39" s="783"/>
      <c r="K39" s="612" t="str">
        <f>'[2]RET615_Trafo LV REF (High)'!K95</f>
        <v>-</v>
      </c>
      <c r="L39" s="612"/>
      <c r="M39" s="612" t="str">
        <f>'[2]RET615_Trafo LV REF (High)'!M95</f>
        <v>-</v>
      </c>
      <c r="N39" s="612"/>
      <c r="O39" s="613" t="str">
        <f>'[2]RET615_Trafo LV REF (High)'!O95</f>
        <v>-</v>
      </c>
      <c r="P39" s="613"/>
      <c r="Q39" s="629"/>
      <c r="R39" s="629"/>
      <c r="S39" s="613" t="str">
        <f>'[2]RET615_Trafo LV REF (High)'!S95</f>
        <v>-</v>
      </c>
      <c r="T39" s="613"/>
      <c r="U39" s="613"/>
      <c r="V39" s="613"/>
      <c r="W39" s="301"/>
      <c r="X39" s="275"/>
      <c r="Y39" s="30"/>
      <c r="Z39" s="30"/>
    </row>
    <row r="40" spans="1:26" ht="18" hidden="1" customHeight="1">
      <c r="A40" s="623"/>
      <c r="B40" s="623"/>
      <c r="C40" s="623"/>
      <c r="D40" s="613" t="str">
        <f>'[2]RET615_Trafo LV REF (High)'!D96</f>
        <v>-</v>
      </c>
      <c r="E40" s="613"/>
      <c r="F40" s="626"/>
      <c r="G40" s="613"/>
      <c r="H40" s="613"/>
      <c r="I40" s="783"/>
      <c r="J40" s="783"/>
      <c r="K40" s="612" t="str">
        <f>'[2]RET615_Trafo LV REF (High)'!K96</f>
        <v>-</v>
      </c>
      <c r="L40" s="612"/>
      <c r="M40" s="612" t="str">
        <f>'[2]RET615_Trafo LV REF (High)'!M96</f>
        <v>-</v>
      </c>
      <c r="N40" s="612"/>
      <c r="O40" s="613" t="str">
        <f>'[2]RET615_Trafo LV REF (High)'!O96</f>
        <v>-</v>
      </c>
      <c r="P40" s="613"/>
      <c r="Q40" s="629"/>
      <c r="R40" s="629"/>
      <c r="S40" s="613" t="str">
        <f>'[2]RET615_Trafo LV REF (High)'!S96</f>
        <v>-</v>
      </c>
      <c r="T40" s="613"/>
      <c r="U40" s="613"/>
      <c r="V40" s="613"/>
      <c r="W40" s="275"/>
      <c r="X40" s="275"/>
      <c r="Y40" s="30"/>
      <c r="Z40" s="30"/>
    </row>
    <row r="41" spans="1:26" ht="18" hidden="1" customHeight="1">
      <c r="A41" s="623">
        <f>'[2]RET615_Trafo LV REF (High)'!A97</f>
        <v>0</v>
      </c>
      <c r="B41" s="623">
        <f>'[2]RET615_Trafo LV REF (High)'!B97</f>
        <v>0</v>
      </c>
      <c r="C41" s="623"/>
      <c r="D41" s="613">
        <f>'[2]RET615_Trafo LV REF (High)'!D97</f>
        <v>1500</v>
      </c>
      <c r="E41" s="613"/>
      <c r="F41" s="624">
        <f>'[2]RET615_Trafo LV REF (High)'!F97</f>
        <v>1</v>
      </c>
      <c r="G41" s="613">
        <f>'[2]RET615_Trafo LV REF (High)'!G97</f>
        <v>50</v>
      </c>
      <c r="H41" s="783">
        <f>'[2]RET615_Trafo LV REF (High)'!H97</f>
        <v>2.5</v>
      </c>
      <c r="I41" s="783" t="str">
        <f>'[2]RET615_Trafo LV REF (High)'!I97</f>
        <v>PX</v>
      </c>
      <c r="J41" s="783"/>
      <c r="K41" s="612">
        <f>'[2]RET615_Trafo LV REF (High)'!K97</f>
        <v>3</v>
      </c>
      <c r="L41" s="612"/>
      <c r="M41" s="612">
        <f>'[2]RET615_Trafo LV REF (High)'!M97</f>
        <v>1500</v>
      </c>
      <c r="N41" s="612"/>
      <c r="O41" s="613">
        <f>'[2]RET615_Trafo LV REF (High)'!O97</f>
        <v>74.39</v>
      </c>
      <c r="P41" s="613"/>
      <c r="Q41" s="629" t="str">
        <f>'[2]RET615_Trafo LV REF (High)'!Q97</f>
        <v>RET615</v>
      </c>
      <c r="R41" s="629"/>
      <c r="S41" s="613" t="str">
        <f>'[2]RET615_Trafo LV REF (High)'!S97</f>
        <v>Suitably Dimensioned</v>
      </c>
      <c r="T41" s="613"/>
      <c r="U41" s="613"/>
      <c r="V41" s="613"/>
      <c r="W41" s="301">
        <f>'[2]RET615_Trafo LV REF (High)'!G78</f>
        <v>308.19170832649024</v>
      </c>
      <c r="X41" s="275"/>
      <c r="Y41" s="30"/>
      <c r="Z41" s="30"/>
    </row>
    <row r="42" spans="1:26" ht="18" hidden="1" customHeight="1">
      <c r="A42" s="623"/>
      <c r="B42" s="623"/>
      <c r="C42" s="623"/>
      <c r="D42" s="613" t="str">
        <f>'[2]RET615_Trafo LV REF (High)'!D98</f>
        <v>-</v>
      </c>
      <c r="E42" s="613"/>
      <c r="F42" s="625"/>
      <c r="G42" s="613"/>
      <c r="H42" s="613"/>
      <c r="I42" s="783"/>
      <c r="J42" s="783"/>
      <c r="K42" s="612" t="str">
        <f>'[2]RET615_Trafo LV REF (High)'!K98</f>
        <v>-</v>
      </c>
      <c r="L42" s="612"/>
      <c r="M42" s="612" t="str">
        <f>'[2]RET615_Trafo LV REF (High)'!M98</f>
        <v>-</v>
      </c>
      <c r="N42" s="612"/>
      <c r="O42" s="613" t="str">
        <f>'[2]RET615_Trafo LV REF (High)'!O98</f>
        <v>-</v>
      </c>
      <c r="P42" s="613"/>
      <c r="Q42" s="629"/>
      <c r="R42" s="629"/>
      <c r="S42" s="613" t="str">
        <f>'[2]RET615_Trafo LV REF (High)'!S98</f>
        <v>-</v>
      </c>
      <c r="T42" s="613"/>
      <c r="U42" s="613"/>
      <c r="V42" s="613"/>
      <c r="W42" s="301"/>
      <c r="X42" s="275"/>
      <c r="Y42" s="30"/>
      <c r="Z42" s="30"/>
    </row>
    <row r="43" spans="1:26" ht="18" hidden="1" customHeight="1">
      <c r="A43" s="623"/>
      <c r="B43" s="623"/>
      <c r="C43" s="623"/>
      <c r="D43" s="613" t="str">
        <f>'[2]RET615_Trafo LV REF (High)'!D99</f>
        <v>-</v>
      </c>
      <c r="E43" s="613"/>
      <c r="F43" s="626"/>
      <c r="G43" s="613"/>
      <c r="H43" s="613"/>
      <c r="I43" s="783"/>
      <c r="J43" s="783"/>
      <c r="K43" s="612" t="str">
        <f>'[2]RET615_Trafo LV REF (High)'!K99</f>
        <v>-</v>
      </c>
      <c r="L43" s="612"/>
      <c r="M43" s="612" t="str">
        <f>'[2]RET615_Trafo LV REF (High)'!M99</f>
        <v>-</v>
      </c>
      <c r="N43" s="612"/>
      <c r="O43" s="613" t="str">
        <f>'[2]RET615_Trafo LV REF (High)'!O99</f>
        <v>-</v>
      </c>
      <c r="P43" s="613"/>
      <c r="Q43" s="629"/>
      <c r="R43" s="629"/>
      <c r="S43" s="613" t="str">
        <f>'[2]RET615_Trafo LV REF (High)'!S99</f>
        <v>-</v>
      </c>
      <c r="T43" s="613"/>
      <c r="U43" s="613"/>
      <c r="V43" s="613"/>
      <c r="W43" s="275"/>
      <c r="X43" s="275"/>
      <c r="Y43" s="30"/>
      <c r="Z43" s="30"/>
    </row>
    <row r="44" spans="1:26" ht="18" hidden="1" customHeight="1">
      <c r="A44" s="327" t="s">
        <v>111</v>
      </c>
      <c r="B44" s="328"/>
      <c r="C44" s="328"/>
      <c r="D44" s="328"/>
      <c r="E44" s="328"/>
      <c r="F44" s="328"/>
      <c r="G44" s="328"/>
      <c r="H44" s="328"/>
      <c r="I44" s="328"/>
      <c r="J44" s="328"/>
      <c r="K44" s="328"/>
      <c r="L44" s="328"/>
      <c r="M44" s="328"/>
      <c r="N44" s="328"/>
      <c r="O44" s="328"/>
      <c r="P44" s="328"/>
      <c r="Q44" s="328"/>
      <c r="R44" s="328"/>
      <c r="S44" s="328"/>
      <c r="T44" s="328"/>
      <c r="U44" s="328"/>
      <c r="V44" s="328"/>
      <c r="W44" s="849"/>
      <c r="X44" s="850"/>
      <c r="Y44" s="30"/>
      <c r="Z44" s="30"/>
    </row>
    <row r="45" spans="1:26" ht="26.4" hidden="1" customHeight="1">
      <c r="A45" s="782" t="s">
        <v>97</v>
      </c>
      <c r="B45" s="782"/>
      <c r="C45" s="612"/>
      <c r="D45" s="782" t="s">
        <v>98</v>
      </c>
      <c r="E45" s="782"/>
      <c r="F45" s="782"/>
      <c r="G45" s="782" t="s">
        <v>99</v>
      </c>
      <c r="H45" s="782"/>
      <c r="I45" s="782" t="s">
        <v>100</v>
      </c>
      <c r="J45" s="782"/>
      <c r="K45" s="614" t="s">
        <v>101</v>
      </c>
      <c r="L45" s="615"/>
      <c r="M45" s="782" t="s">
        <v>112</v>
      </c>
      <c r="N45" s="782"/>
      <c r="O45" s="782"/>
      <c r="P45" s="782"/>
      <c r="Q45" s="614" t="s">
        <v>104</v>
      </c>
      <c r="R45" s="615"/>
      <c r="S45" s="614" t="s">
        <v>105</v>
      </c>
      <c r="T45" s="620"/>
      <c r="U45" s="620"/>
      <c r="V45" s="620"/>
      <c r="W45" s="331"/>
      <c r="X45" s="331"/>
      <c r="Y45" s="30"/>
      <c r="Z45" s="30"/>
    </row>
    <row r="46" spans="1:26" ht="18" hidden="1" customHeight="1">
      <c r="A46" s="623" t="str">
        <f>'[2]BCU-0.2FS  (2)'!A137</f>
        <v>BC1</v>
      </c>
      <c r="B46" s="623" t="str">
        <f>'[2]BCU-0.2FS  (2)'!B137</f>
        <v>Core4</v>
      </c>
      <c r="C46" s="623"/>
      <c r="D46" s="613">
        <f>'[2]BCU-0.2FS  (2)'!D137</f>
        <v>1500</v>
      </c>
      <c r="E46" s="613"/>
      <c r="F46" s="624">
        <f>'[2]BCU-0.2FS  (2)'!F137</f>
        <v>1</v>
      </c>
      <c r="G46" s="613">
        <f>'[2]BCU-0.2FS  (2)'!H137</f>
        <v>50</v>
      </c>
      <c r="H46" s="783">
        <f>'[2]BCU-0.2FS  (2)'!I137</f>
        <v>2.5</v>
      </c>
      <c r="I46" s="852" t="str">
        <f>'[2]BCU-0.2FS  (2)'!J137</f>
        <v>1FS5</v>
      </c>
      <c r="J46" s="845"/>
      <c r="K46" s="612">
        <f>'[2]BCU-0.2FS  (2)'!O137</f>
        <v>20</v>
      </c>
      <c r="L46" s="612"/>
      <c r="M46" s="612">
        <f>'[2]BCU-0.2FS  (2)'!O137</f>
        <v>20</v>
      </c>
      <c r="N46" s="612"/>
      <c r="O46" s="613" t="s">
        <v>7</v>
      </c>
      <c r="P46" s="613"/>
      <c r="Q46" s="629" t="str">
        <f>'[2]BCU-0.2FS  (2)'!R137</f>
        <v>REC670</v>
      </c>
      <c r="R46" s="629"/>
      <c r="S46" s="820" t="str">
        <f>'[2]BCU-0.2FS  (2)'!U137</f>
        <v>Not suitable</v>
      </c>
      <c r="T46" s="821"/>
      <c r="U46" s="821"/>
      <c r="V46" s="822"/>
      <c r="W46" s="300"/>
      <c r="X46" s="275"/>
      <c r="Y46" s="30"/>
      <c r="Z46" s="30"/>
    </row>
    <row r="47" spans="1:26" ht="18" hidden="1" customHeight="1">
      <c r="A47" s="623"/>
      <c r="B47" s="623"/>
      <c r="C47" s="623"/>
      <c r="D47" s="613" t="s">
        <v>7</v>
      </c>
      <c r="E47" s="613"/>
      <c r="F47" s="625"/>
      <c r="G47" s="613"/>
      <c r="H47" s="613"/>
      <c r="I47" s="846"/>
      <c r="J47" s="847"/>
      <c r="K47" s="612" t="s">
        <v>7</v>
      </c>
      <c r="L47" s="612"/>
      <c r="M47" s="612" t="s">
        <v>7</v>
      </c>
      <c r="N47" s="612"/>
      <c r="O47" s="613" t="s">
        <v>7</v>
      </c>
      <c r="P47" s="613"/>
      <c r="Q47" s="629"/>
      <c r="R47" s="629"/>
      <c r="S47" s="820" t="s">
        <v>7</v>
      </c>
      <c r="T47" s="821"/>
      <c r="U47" s="821"/>
      <c r="V47" s="822"/>
      <c r="W47" s="276"/>
      <c r="X47" s="275"/>
      <c r="Y47" s="30"/>
      <c r="Z47" s="30"/>
    </row>
    <row r="48" spans="1:26" ht="18" hidden="1" customHeight="1">
      <c r="A48" s="623"/>
      <c r="B48" s="623"/>
      <c r="C48" s="623"/>
      <c r="D48" s="613" t="s">
        <v>7</v>
      </c>
      <c r="E48" s="613"/>
      <c r="F48" s="626"/>
      <c r="G48" s="613"/>
      <c r="H48" s="613"/>
      <c r="I48" s="827"/>
      <c r="J48" s="828"/>
      <c r="K48" s="612" t="s">
        <v>7</v>
      </c>
      <c r="L48" s="612"/>
      <c r="M48" s="612" t="s">
        <v>7</v>
      </c>
      <c r="N48" s="612"/>
      <c r="O48" s="613" t="s">
        <v>7</v>
      </c>
      <c r="P48" s="613"/>
      <c r="Q48" s="629"/>
      <c r="R48" s="629"/>
      <c r="S48" s="820" t="s">
        <v>7</v>
      </c>
      <c r="T48" s="821"/>
      <c r="U48" s="821"/>
      <c r="V48" s="822"/>
      <c r="W48" s="275"/>
      <c r="X48" s="275"/>
      <c r="Y48" s="30"/>
      <c r="Z48" s="30"/>
    </row>
    <row r="49" spans="1:26" ht="18" hidden="1" customHeight="1">
      <c r="A49" s="327" t="s">
        <v>113</v>
      </c>
      <c r="B49" s="328"/>
      <c r="C49" s="328"/>
      <c r="D49" s="328"/>
      <c r="E49" s="328"/>
      <c r="F49" s="328"/>
      <c r="G49" s="328"/>
      <c r="H49" s="328"/>
      <c r="I49" s="328"/>
      <c r="J49" s="328"/>
      <c r="K49" s="328"/>
      <c r="L49" s="328"/>
      <c r="M49" s="328"/>
      <c r="N49" s="328"/>
      <c r="O49" s="328"/>
      <c r="P49" s="328"/>
      <c r="Q49" s="328"/>
      <c r="R49" s="328"/>
      <c r="S49" s="328"/>
      <c r="T49" s="328"/>
      <c r="U49" s="328"/>
      <c r="V49" s="328"/>
      <c r="W49" s="849"/>
      <c r="X49" s="850"/>
      <c r="Y49" s="30"/>
      <c r="Z49" s="30"/>
    </row>
    <row r="50" spans="1:26" ht="26.4" hidden="1">
      <c r="A50" s="782" t="s">
        <v>97</v>
      </c>
      <c r="B50" s="782"/>
      <c r="C50" s="612"/>
      <c r="D50" s="782" t="s">
        <v>98</v>
      </c>
      <c r="E50" s="782"/>
      <c r="F50" s="782"/>
      <c r="G50" s="782" t="s">
        <v>99</v>
      </c>
      <c r="H50" s="782"/>
      <c r="I50" s="782" t="s">
        <v>100</v>
      </c>
      <c r="J50" s="782"/>
      <c r="K50" s="614" t="s">
        <v>101</v>
      </c>
      <c r="L50" s="615"/>
      <c r="M50" s="782" t="s">
        <v>112</v>
      </c>
      <c r="N50" s="782"/>
      <c r="O50" s="782"/>
      <c r="P50" s="782"/>
      <c r="Q50" s="614" t="s">
        <v>104</v>
      </c>
      <c r="R50" s="615"/>
      <c r="S50" s="614" t="s">
        <v>105</v>
      </c>
      <c r="T50" s="620"/>
      <c r="U50" s="620"/>
      <c r="V50" s="620"/>
      <c r="W50" s="331" t="s">
        <v>106</v>
      </c>
      <c r="X50" s="331"/>
      <c r="Y50" s="30"/>
      <c r="Z50" s="30"/>
    </row>
    <row r="51" spans="1:26" ht="18" hidden="1" customHeight="1">
      <c r="A51" s="623" t="str">
        <f>'[2]REF615 OC-5P (SBEF)'!A141</f>
        <v>T2N</v>
      </c>
      <c r="B51" s="623" t="str">
        <f>'[2]REF615 OC-5P (SBEF)'!B141</f>
        <v>Core2</v>
      </c>
      <c r="C51" s="623"/>
      <c r="D51" s="613">
        <f>'[2]REF615 OC-5P (SBEF)'!D141</f>
        <v>1500</v>
      </c>
      <c r="E51" s="613"/>
      <c r="F51" s="624">
        <f>'[2]REF615 OC-5P (SBEF)'!F141</f>
        <v>1</v>
      </c>
      <c r="G51" s="613">
        <f>'[2]REF615 OC-5P (SBEF)'!G141</f>
        <v>50</v>
      </c>
      <c r="H51" s="783">
        <f>'[2]REF615 OC-5P (SBEF)'!H141</f>
        <v>2.5</v>
      </c>
      <c r="I51" s="819" t="str">
        <f>'[2]REF615 OC-5P (SBEF)'!I141</f>
        <v>5P</v>
      </c>
      <c r="J51" s="823">
        <f>'[2]REF615 OC-5P (SBEF)'!J141</f>
        <v>20</v>
      </c>
      <c r="K51" s="612">
        <f>'[2]REF615 OC-5P (SBEF)'!K141</f>
        <v>4</v>
      </c>
      <c r="L51" s="612"/>
      <c r="M51" s="612">
        <f>'[2]REF615 OC-5P (SBEF)'!M141</f>
        <v>15</v>
      </c>
      <c r="N51" s="612"/>
      <c r="O51" s="613" t="str">
        <f>'[2]REF615 OC-5P (SBEF)'!O141</f>
        <v>-</v>
      </c>
      <c r="P51" s="613"/>
      <c r="Q51" s="629" t="str">
        <f>'[2]REF615 OC-5P (SBEF)'!Q141</f>
        <v>REF615</v>
      </c>
      <c r="R51" s="629"/>
      <c r="S51" s="820" t="str">
        <f>'[2]REF615 OC-5P (SBEF)'!S141</f>
        <v>Suitably Dimensioned</v>
      </c>
      <c r="T51" s="821"/>
      <c r="U51" s="821"/>
      <c r="V51" s="822"/>
      <c r="W51" s="300">
        <f>'[2]REF615 OC-5P (SBEF)'!G40</f>
        <v>26.666666666666668</v>
      </c>
      <c r="X51" s="275"/>
      <c r="Y51" s="30"/>
      <c r="Z51" s="30"/>
    </row>
    <row r="52" spans="1:26" ht="18" hidden="1" customHeight="1">
      <c r="A52" s="623"/>
      <c r="B52" s="623"/>
      <c r="C52" s="623"/>
      <c r="D52" s="613" t="str">
        <f>'[2]REF615 OC-5P (SBEF)'!D142</f>
        <v>-</v>
      </c>
      <c r="E52" s="613"/>
      <c r="F52" s="625"/>
      <c r="G52" s="613"/>
      <c r="H52" s="613"/>
      <c r="I52" s="819"/>
      <c r="J52" s="823"/>
      <c r="K52" s="612" t="str">
        <f>'[2]REF615 OC-5P (SBEF)'!K142</f>
        <v>-</v>
      </c>
      <c r="L52" s="612"/>
      <c r="M52" s="612" t="str">
        <f>'[2]REF615 OC-5P (SBEF)'!M142</f>
        <v>-</v>
      </c>
      <c r="N52" s="612"/>
      <c r="O52" s="613" t="str">
        <f>'[2]REF615 OC-5P (SBEF)'!O142</f>
        <v>-</v>
      </c>
      <c r="P52" s="613"/>
      <c r="Q52" s="629"/>
      <c r="R52" s="629"/>
      <c r="S52" s="820" t="str">
        <f>'[2]REF615 OC-5P (SBEF)'!S142</f>
        <v>-</v>
      </c>
      <c r="T52" s="821"/>
      <c r="U52" s="821"/>
      <c r="V52" s="822"/>
      <c r="W52" s="276" t="s">
        <v>7</v>
      </c>
      <c r="X52" s="275"/>
      <c r="Y52" s="30"/>
      <c r="Z52" s="30"/>
    </row>
    <row r="53" spans="1:26" ht="18" hidden="1" customHeight="1">
      <c r="A53" s="623"/>
      <c r="B53" s="623"/>
      <c r="C53" s="623"/>
      <c r="D53" s="613" t="str">
        <f>'[2]REF615 OC-5P (SBEF)'!D143</f>
        <v>-</v>
      </c>
      <c r="E53" s="613"/>
      <c r="F53" s="626"/>
      <c r="G53" s="613"/>
      <c r="H53" s="613"/>
      <c r="I53" s="819"/>
      <c r="J53" s="823"/>
      <c r="K53" s="612" t="str">
        <f>'[2]REF615 OC-5P (SBEF)'!K143</f>
        <v>-</v>
      </c>
      <c r="L53" s="612"/>
      <c r="M53" s="612" t="str">
        <f>'[2]REF615 OC-5P (SBEF)'!M143</f>
        <v>-</v>
      </c>
      <c r="N53" s="612"/>
      <c r="O53" s="613" t="str">
        <f>'[2]REF615 OC-5P (SBEF)'!O143</f>
        <v>-</v>
      </c>
      <c r="P53" s="613"/>
      <c r="Q53" s="629"/>
      <c r="R53" s="629"/>
      <c r="S53" s="820" t="str">
        <f>'[2]REF615 OC-5P (SBEF)'!S143</f>
        <v>-</v>
      </c>
      <c r="T53" s="821"/>
      <c r="U53" s="821"/>
      <c r="V53" s="822"/>
      <c r="W53" s="275" t="s">
        <v>7</v>
      </c>
      <c r="X53" s="275"/>
      <c r="Y53" s="30"/>
      <c r="Z53" s="30"/>
    </row>
    <row r="54" spans="1:26" ht="18" customHeight="1">
      <c r="A54" s="351" t="s">
        <v>824</v>
      </c>
      <c r="B54" s="352"/>
      <c r="C54" s="352"/>
      <c r="D54" s="352"/>
      <c r="E54" s="352"/>
      <c r="F54" s="352"/>
      <c r="G54" s="352"/>
      <c r="H54" s="352"/>
      <c r="I54" s="352"/>
      <c r="J54" s="352"/>
      <c r="K54" s="352"/>
      <c r="L54" s="352"/>
      <c r="M54" s="352"/>
      <c r="N54" s="352"/>
      <c r="O54" s="352"/>
      <c r="P54" s="352"/>
      <c r="Q54" s="352"/>
      <c r="R54" s="352"/>
      <c r="S54" s="352"/>
      <c r="T54" s="352"/>
      <c r="U54" s="352"/>
      <c r="V54" s="352"/>
      <c r="W54" s="353"/>
      <c r="X54" s="354"/>
      <c r="Y54" s="30"/>
      <c r="Z54" s="30"/>
    </row>
    <row r="55" spans="1:26" ht="18" customHeight="1">
      <c r="A55" s="347" t="s">
        <v>825</v>
      </c>
      <c r="B55" s="348"/>
      <c r="C55" s="348"/>
      <c r="D55" s="348"/>
      <c r="E55" s="348"/>
      <c r="F55" s="348"/>
      <c r="G55" s="348"/>
      <c r="H55" s="348"/>
      <c r="I55" s="348"/>
      <c r="J55" s="348"/>
      <c r="K55" s="348"/>
      <c r="L55" s="348"/>
      <c r="M55" s="348"/>
      <c r="N55" s="348"/>
      <c r="O55" s="348"/>
      <c r="P55" s="348"/>
      <c r="Q55" s="348"/>
      <c r="R55" s="348"/>
      <c r="S55" s="348"/>
      <c r="T55" s="348"/>
      <c r="U55" s="348"/>
      <c r="V55" s="348"/>
      <c r="W55" s="349"/>
      <c r="X55" s="350"/>
      <c r="Y55" s="30"/>
      <c r="Z55" s="30"/>
    </row>
    <row r="56" spans="1:26" ht="26.4">
      <c r="A56" s="614" t="s">
        <v>97</v>
      </c>
      <c r="B56" s="620"/>
      <c r="C56" s="615"/>
      <c r="D56" s="614" t="s">
        <v>98</v>
      </c>
      <c r="E56" s="620"/>
      <c r="F56" s="615"/>
      <c r="G56" s="614" t="s">
        <v>99</v>
      </c>
      <c r="H56" s="615"/>
      <c r="I56" s="614" t="s">
        <v>100</v>
      </c>
      <c r="J56" s="615"/>
      <c r="K56" s="614" t="s">
        <v>101</v>
      </c>
      <c r="L56" s="615"/>
      <c r="M56" s="614" t="s">
        <v>941</v>
      </c>
      <c r="N56" s="615"/>
      <c r="O56" s="614" t="s">
        <v>103</v>
      </c>
      <c r="P56" s="615"/>
      <c r="Q56" s="614" t="s">
        <v>104</v>
      </c>
      <c r="R56" s="615"/>
      <c r="S56" s="782" t="s">
        <v>105</v>
      </c>
      <c r="T56" s="782"/>
      <c r="U56" s="782"/>
      <c r="V56" s="782"/>
      <c r="W56" s="491" t="s">
        <v>566</v>
      </c>
      <c r="X56" s="331"/>
      <c r="Y56" s="30"/>
      <c r="Z56" s="331" t="s">
        <v>106</v>
      </c>
    </row>
    <row r="57" spans="1:26" ht="18" customHeight="1">
      <c r="A57" s="623" t="str">
        <f>'BUP BCU(1)'!A97</f>
        <v>T1</v>
      </c>
      <c r="B57" s="623" t="str">
        <f>'BUP BCU(1)'!B97</f>
        <v>Core1</v>
      </c>
      <c r="C57" s="623"/>
      <c r="D57" s="613">
        <f>'BUP BCU(1)'!D97</f>
        <v>2500</v>
      </c>
      <c r="E57" s="613"/>
      <c r="F57" s="624">
        <f>'BUP BCU(1)'!F97</f>
        <v>1</v>
      </c>
      <c r="G57" s="613">
        <f>'CT-VT Burdens'!S19</f>
        <v>80</v>
      </c>
      <c r="H57" s="630">
        <f>'CT-VT Burdens'!S10</f>
        <v>2.5</v>
      </c>
      <c r="I57" s="783" t="str">
        <f>'BUP BCU(1)'!I97</f>
        <v>5P20</v>
      </c>
      <c r="J57" s="783"/>
      <c r="K57" s="612">
        <f>'BUP BCU(1)'!K97</f>
        <v>5</v>
      </c>
      <c r="L57" s="612"/>
      <c r="M57" s="784">
        <f>'BUP BCU(1)'!M97</f>
        <v>16</v>
      </c>
      <c r="N57" s="612"/>
      <c r="O57" s="786" t="s">
        <v>7</v>
      </c>
      <c r="P57" s="613"/>
      <c r="Q57" s="629" t="str">
        <f>'BUP BCU(1)'!Q97</f>
        <v>REF650 REC670</v>
      </c>
      <c r="R57" s="629"/>
      <c r="S57" s="613" t="str">
        <f>'BUP BCU(1)'!S97</f>
        <v>Suitably Dimentioned</v>
      </c>
      <c r="T57" s="613"/>
      <c r="U57" s="613"/>
      <c r="V57" s="613"/>
      <c r="W57" s="357">
        <f>'BUP BCU(1)'!O97</f>
        <v>107.99356921128272</v>
      </c>
      <c r="X57" s="275"/>
      <c r="Y57" s="30"/>
      <c r="Z57" s="300">
        <f>'RET670_650-PX (HV) (2)'!H110</f>
        <v>192.84536021188657</v>
      </c>
    </row>
    <row r="58" spans="1:26" ht="18" customHeight="1">
      <c r="A58" s="623"/>
      <c r="B58" s="623"/>
      <c r="C58" s="623"/>
      <c r="D58" s="786" t="str">
        <f>'RED670_2.2C42-X (2)'!D432</f>
        <v>-</v>
      </c>
      <c r="E58" s="613"/>
      <c r="F58" s="625"/>
      <c r="G58" s="613"/>
      <c r="H58" s="630"/>
      <c r="I58" s="783"/>
      <c r="J58" s="783"/>
      <c r="K58" s="785" t="str">
        <f>'RED670_2.2C42-X (2)'!K432</f>
        <v>-</v>
      </c>
      <c r="L58" s="612"/>
      <c r="M58" s="785" t="str">
        <f>'RED670_2.2C42-X (2)'!M432</f>
        <v>-</v>
      </c>
      <c r="N58" s="612"/>
      <c r="O58" s="786" t="str">
        <f>'RED670_2.2C42-X (2)'!O432</f>
        <v>-</v>
      </c>
      <c r="P58" s="613"/>
      <c r="Q58" s="629"/>
      <c r="R58" s="629"/>
      <c r="S58" s="786" t="str">
        <f>'RED670_2.2C42-X (2)'!S432</f>
        <v>-</v>
      </c>
      <c r="T58" s="613"/>
      <c r="U58" s="613"/>
      <c r="V58" s="613"/>
      <c r="W58" s="357" t="s">
        <v>7</v>
      </c>
      <c r="X58" s="275"/>
      <c r="Y58" s="30"/>
      <c r="Z58" s="300" t="e">
        <f>'RET670_650-PX (HV) (2)'!H250</f>
        <v>#VALUE!</v>
      </c>
    </row>
    <row r="59" spans="1:26" ht="18" customHeight="1">
      <c r="A59" s="623"/>
      <c r="B59" s="623"/>
      <c r="C59" s="623"/>
      <c r="D59" s="613" t="str">
        <f>'RED670_2.2C42-X (2)'!D433</f>
        <v>-</v>
      </c>
      <c r="E59" s="613"/>
      <c r="F59" s="626"/>
      <c r="G59" s="613"/>
      <c r="H59" s="630"/>
      <c r="I59" s="783"/>
      <c r="J59" s="783"/>
      <c r="K59" s="612" t="str">
        <f>'RED670_2.2C42-X (2)'!K433</f>
        <v>-</v>
      </c>
      <c r="L59" s="612"/>
      <c r="M59" s="612" t="str">
        <f>'RED670_2.2C42-X (2)'!M433</f>
        <v>-</v>
      </c>
      <c r="N59" s="612"/>
      <c r="O59" s="613" t="str">
        <f>'RED670_2.2C42-X (2)'!O433</f>
        <v>-</v>
      </c>
      <c r="P59" s="613"/>
      <c r="Q59" s="629"/>
      <c r="R59" s="629"/>
      <c r="S59" s="613" t="str">
        <f>'RED670_2.2C42-X (2)'!S433</f>
        <v>-</v>
      </c>
      <c r="T59" s="613"/>
      <c r="U59" s="613"/>
      <c r="V59" s="613"/>
      <c r="W59" s="487" t="s">
        <v>7</v>
      </c>
      <c r="X59" s="275"/>
      <c r="Y59" s="30"/>
      <c r="Z59" s="30"/>
    </row>
    <row r="60" spans="1:26" ht="18" customHeight="1">
      <c r="A60" s="347" t="s">
        <v>826</v>
      </c>
      <c r="B60" s="348"/>
      <c r="C60" s="348"/>
      <c r="D60" s="348"/>
      <c r="E60" s="348"/>
      <c r="F60" s="348"/>
      <c r="G60" s="348"/>
      <c r="H60" s="348"/>
      <c r="I60" s="348"/>
      <c r="J60" s="348"/>
      <c r="K60" s="348"/>
      <c r="L60" s="348"/>
      <c r="M60" s="348"/>
      <c r="N60" s="348"/>
      <c r="O60" s="348"/>
      <c r="P60" s="348"/>
      <c r="Q60" s="348"/>
      <c r="R60" s="348"/>
      <c r="S60" s="348"/>
      <c r="T60" s="348"/>
      <c r="U60" s="348"/>
      <c r="V60" s="348"/>
      <c r="W60" s="849"/>
      <c r="X60" s="850"/>
      <c r="Y60" s="30"/>
      <c r="Z60" s="30"/>
    </row>
    <row r="61" spans="1:26" ht="26.4">
      <c r="A61" s="782" t="s">
        <v>97</v>
      </c>
      <c r="B61" s="782"/>
      <c r="C61" s="612"/>
      <c r="D61" s="782" t="s">
        <v>98</v>
      </c>
      <c r="E61" s="782"/>
      <c r="F61" s="782"/>
      <c r="G61" s="782" t="s">
        <v>99</v>
      </c>
      <c r="H61" s="782"/>
      <c r="I61" s="782" t="s">
        <v>100</v>
      </c>
      <c r="J61" s="782"/>
      <c r="K61" s="614" t="s">
        <v>101</v>
      </c>
      <c r="L61" s="615"/>
      <c r="M61" s="782" t="s">
        <v>102</v>
      </c>
      <c r="N61" s="782"/>
      <c r="O61" s="782" t="s">
        <v>103</v>
      </c>
      <c r="P61" s="782"/>
      <c r="Q61" s="614" t="s">
        <v>104</v>
      </c>
      <c r="R61" s="615"/>
      <c r="S61" s="614" t="s">
        <v>105</v>
      </c>
      <c r="T61" s="620"/>
      <c r="U61" s="620"/>
      <c r="V61" s="620"/>
      <c r="W61" s="491" t="s">
        <v>106</v>
      </c>
      <c r="X61" s="331"/>
      <c r="Y61" s="30"/>
      <c r="Z61" s="331" t="s">
        <v>106</v>
      </c>
    </row>
    <row r="62" spans="1:26" ht="18" customHeight="1">
      <c r="A62" s="623" t="str">
        <f>'BBP P743(1)'!A270</f>
        <v>T1</v>
      </c>
      <c r="B62" s="623" t="str">
        <f>'BBP P743(1)'!B270</f>
        <v>Core2</v>
      </c>
      <c r="C62" s="623"/>
      <c r="D62" s="613">
        <f>'BBP P743(1)'!D270</f>
        <v>2500</v>
      </c>
      <c r="E62" s="613"/>
      <c r="F62" s="624">
        <f>'BBP P743(1)'!F270</f>
        <v>1</v>
      </c>
      <c r="G62" s="613">
        <f>'CT-VT Burdens'!S19</f>
        <v>80</v>
      </c>
      <c r="H62" s="630">
        <f>'CT-VT Burdens'!S10</f>
        <v>2.5</v>
      </c>
      <c r="I62" s="813" t="str">
        <f>'BBP P743(1)'!I270</f>
        <v>PX-B</v>
      </c>
      <c r="J62" s="845"/>
      <c r="K62" s="851">
        <f>'BBP P743(1)'!K270</f>
        <v>5</v>
      </c>
      <c r="L62" s="851"/>
      <c r="M62" s="612">
        <f>'BBP P743(1)'!M270</f>
        <v>750</v>
      </c>
      <c r="N62" s="612"/>
      <c r="O62" s="613">
        <f>'BBP P743(1)'!O270</f>
        <v>60</v>
      </c>
      <c r="P62" s="613"/>
      <c r="Q62" s="829" t="str">
        <f>'BBP P743(1)'!Q270</f>
        <v>P743</v>
      </c>
      <c r="R62" s="830"/>
      <c r="S62" s="820" t="str">
        <f>'BBP P743(1)'!S270</f>
        <v>Suitably Dimentioned</v>
      </c>
      <c r="T62" s="821"/>
      <c r="U62" s="821"/>
      <c r="V62" s="821"/>
      <c r="W62" s="357">
        <f>'BBP P743(1)'!H56</f>
        <v>130.8373488</v>
      </c>
      <c r="X62" s="300"/>
      <c r="Y62" s="30"/>
      <c r="Z62" s="300">
        <f>'SEL487E-X'!H71</f>
        <v>189.94053251743898</v>
      </c>
    </row>
    <row r="63" spans="1:26" ht="19.2" customHeight="1">
      <c r="A63" s="623"/>
      <c r="B63" s="623"/>
      <c r="C63" s="623"/>
      <c r="D63" s="786" t="str">
        <f>'BUP BCU'!D99</f>
        <v>-</v>
      </c>
      <c r="E63" s="613"/>
      <c r="F63" s="625"/>
      <c r="G63" s="613"/>
      <c r="H63" s="630"/>
      <c r="I63" s="846"/>
      <c r="J63" s="847"/>
      <c r="K63" s="785" t="s">
        <v>7</v>
      </c>
      <c r="L63" s="612"/>
      <c r="M63" s="785" t="str">
        <f>'BUP BCU'!M99</f>
        <v>-</v>
      </c>
      <c r="N63" s="612"/>
      <c r="O63" s="786" t="str">
        <f>'BUP BCU'!O99</f>
        <v>-</v>
      </c>
      <c r="P63" s="613"/>
      <c r="Q63" s="831"/>
      <c r="R63" s="832"/>
      <c r="S63" s="787" t="str">
        <f>'BUP BCU'!S99</f>
        <v>-</v>
      </c>
      <c r="T63" s="821"/>
      <c r="U63" s="821"/>
      <c r="V63" s="821"/>
      <c r="W63" s="357" t="s">
        <v>7</v>
      </c>
      <c r="X63" s="300"/>
      <c r="Y63" s="30"/>
      <c r="Z63" s="300">
        <f>'SEL487E-X'!H153</f>
        <v>215.1781177419299</v>
      </c>
    </row>
    <row r="64" spans="1:26" ht="18" customHeight="1">
      <c r="A64" s="623"/>
      <c r="B64" s="623"/>
      <c r="C64" s="623"/>
      <c r="D64" s="613" t="str">
        <f>'BUP BCU'!D100</f>
        <v>-</v>
      </c>
      <c r="E64" s="613"/>
      <c r="F64" s="626"/>
      <c r="G64" s="613"/>
      <c r="H64" s="630"/>
      <c r="I64" s="827"/>
      <c r="J64" s="828"/>
      <c r="K64" s="612" t="str">
        <f>'BUP BCU'!K100</f>
        <v>-</v>
      </c>
      <c r="L64" s="612"/>
      <c r="M64" s="612" t="str">
        <f>'BUP BCU'!M100</f>
        <v>-</v>
      </c>
      <c r="N64" s="612"/>
      <c r="O64" s="613" t="str">
        <f>'BUP BCU'!O100</f>
        <v>-</v>
      </c>
      <c r="P64" s="613"/>
      <c r="Q64" s="833"/>
      <c r="R64" s="834"/>
      <c r="S64" s="820" t="str">
        <f>'BUP BCU'!S100</f>
        <v>-</v>
      </c>
      <c r="T64" s="821"/>
      <c r="U64" s="821"/>
      <c r="V64" s="822"/>
      <c r="W64" s="487" t="s">
        <v>7</v>
      </c>
      <c r="X64" s="275"/>
      <c r="Y64" s="30"/>
      <c r="Z64" s="30"/>
    </row>
    <row r="65" spans="1:26" ht="18" customHeight="1">
      <c r="A65" s="347" t="s">
        <v>827</v>
      </c>
      <c r="B65" s="348"/>
      <c r="C65" s="348"/>
      <c r="D65" s="348"/>
      <c r="E65" s="348"/>
      <c r="F65" s="348"/>
      <c r="G65" s="348"/>
      <c r="H65" s="348"/>
      <c r="I65" s="348"/>
      <c r="J65" s="348"/>
      <c r="K65" s="348"/>
      <c r="L65" s="348"/>
      <c r="M65" s="348"/>
      <c r="N65" s="348"/>
      <c r="O65" s="348"/>
      <c r="P65" s="348"/>
      <c r="Q65" s="348"/>
      <c r="R65" s="348"/>
      <c r="S65" s="348"/>
      <c r="T65" s="348"/>
      <c r="U65" s="348"/>
      <c r="V65" s="348"/>
      <c r="W65" s="349"/>
      <c r="X65" s="350"/>
      <c r="Y65" s="30"/>
      <c r="Z65" s="30"/>
    </row>
    <row r="66" spans="1:26" ht="27.75" customHeight="1">
      <c r="A66" s="614" t="s">
        <v>97</v>
      </c>
      <c r="B66" s="620"/>
      <c r="C66" s="615"/>
      <c r="D66" s="614" t="s">
        <v>98</v>
      </c>
      <c r="E66" s="620"/>
      <c r="F66" s="615"/>
      <c r="G66" s="614" t="s">
        <v>99</v>
      </c>
      <c r="H66" s="615"/>
      <c r="I66" s="614" t="s">
        <v>100</v>
      </c>
      <c r="J66" s="615"/>
      <c r="K66" s="614" t="s">
        <v>101</v>
      </c>
      <c r="L66" s="615"/>
      <c r="M66" s="614" t="s">
        <v>102</v>
      </c>
      <c r="N66" s="615"/>
      <c r="O66" s="614" t="s">
        <v>103</v>
      </c>
      <c r="P66" s="615"/>
      <c r="Q66" s="614" t="s">
        <v>104</v>
      </c>
      <c r="R66" s="615"/>
      <c r="S66" s="782" t="s">
        <v>105</v>
      </c>
      <c r="T66" s="782"/>
      <c r="U66" s="782"/>
      <c r="V66" s="782"/>
      <c r="W66" s="331" t="s">
        <v>106</v>
      </c>
      <c r="X66" s="331"/>
      <c r="Y66" s="30"/>
      <c r="Z66" s="331" t="s">
        <v>106</v>
      </c>
    </row>
    <row r="67" spans="1:26" ht="18" customHeight="1">
      <c r="A67" s="623" t="str">
        <f>'BBP FU1 - REB500'!A265</f>
        <v>T1</v>
      </c>
      <c r="B67" s="623" t="str">
        <f>'BBP FU1 - REB500'!B265</f>
        <v>Core3</v>
      </c>
      <c r="C67" s="623"/>
      <c r="D67" s="613">
        <f>'BBP FU1 - REB500'!D265</f>
        <v>2500</v>
      </c>
      <c r="E67" s="613"/>
      <c r="F67" s="624">
        <f>'BBP FU1 - REB500'!F265</f>
        <v>1</v>
      </c>
      <c r="G67" s="634">
        <f>'BBP FU1 - REB500'!G265</f>
        <v>80</v>
      </c>
      <c r="H67" s="805">
        <f>'CT-VT Burdens'!S10</f>
        <v>2.5</v>
      </c>
      <c r="I67" s="813" t="str">
        <f>'BBP FU1 - REB500'!I265</f>
        <v>PX - B</v>
      </c>
      <c r="J67" s="814"/>
      <c r="K67" s="612">
        <f>'BBP FU1 - REB500'!K265</f>
        <v>5</v>
      </c>
      <c r="L67" s="612"/>
      <c r="M67" s="612">
        <f>'BBP FU1 - REB500'!M265</f>
        <v>750</v>
      </c>
      <c r="N67" s="612"/>
      <c r="O67" s="613">
        <f>'BBP FU1 - REB500'!O265</f>
        <v>60</v>
      </c>
      <c r="P67" s="613"/>
      <c r="Q67" s="629" t="str">
        <f>'BBP FU1 - REB500'!Q265</f>
        <v>REB500</v>
      </c>
      <c r="R67" s="629"/>
      <c r="S67" s="613" t="str">
        <f>'BBP FU1 - REB500'!S265</f>
        <v>Suitable Dimensions</v>
      </c>
      <c r="T67" s="613"/>
      <c r="U67" s="613"/>
      <c r="V67" s="613"/>
      <c r="W67" s="357">
        <f>'BBP FU1 - REB500'!M82</f>
        <v>62.033927424000005</v>
      </c>
      <c r="X67" s="275"/>
      <c r="Y67" s="30"/>
      <c r="Z67" s="301">
        <f>'BCU+OC-5P SEL751+7SJ85'!G41</f>
        <v>10</v>
      </c>
    </row>
    <row r="68" spans="1:26" ht="18" customHeight="1">
      <c r="A68" s="623"/>
      <c r="B68" s="623"/>
      <c r="C68" s="623"/>
      <c r="D68" s="786" t="s">
        <v>7</v>
      </c>
      <c r="E68" s="613"/>
      <c r="F68" s="625"/>
      <c r="G68" s="635"/>
      <c r="H68" s="843"/>
      <c r="I68" s="815"/>
      <c r="J68" s="816"/>
      <c r="K68" s="785" t="s">
        <v>7</v>
      </c>
      <c r="L68" s="612"/>
      <c r="M68" s="785" t="s">
        <v>7</v>
      </c>
      <c r="N68" s="612"/>
      <c r="O68" s="613" t="str">
        <f>'BCU+OC-5P SEL751+7SJ85'!O139</f>
        <v>-</v>
      </c>
      <c r="P68" s="613"/>
      <c r="Q68" s="629"/>
      <c r="R68" s="629"/>
      <c r="S68" s="786" t="s">
        <v>7</v>
      </c>
      <c r="T68" s="613"/>
      <c r="U68" s="613"/>
      <c r="V68" s="613"/>
      <c r="W68" s="357" t="s">
        <v>7</v>
      </c>
      <c r="X68" s="275"/>
      <c r="Y68" s="30"/>
      <c r="Z68" s="301">
        <f>'BCU+OC-5P SEL751+7SJ85'!G82</f>
        <v>15.75</v>
      </c>
    </row>
    <row r="69" spans="1:26" ht="18" customHeight="1">
      <c r="A69" s="623"/>
      <c r="B69" s="623"/>
      <c r="C69" s="623"/>
      <c r="D69" s="613" t="str">
        <f>'BCU+OC-5P SEL751+7SJ85'!D140</f>
        <v>-</v>
      </c>
      <c r="E69" s="613"/>
      <c r="F69" s="626"/>
      <c r="G69" s="636"/>
      <c r="H69" s="844"/>
      <c r="I69" s="817"/>
      <c r="J69" s="818"/>
      <c r="K69" s="612" t="str">
        <f>'BCU+OC-5P SEL751+7SJ85'!K140</f>
        <v>-</v>
      </c>
      <c r="L69" s="612"/>
      <c r="M69" s="612" t="str">
        <f>'BCU+OC-5P SEL751+7SJ85'!M140</f>
        <v>-</v>
      </c>
      <c r="N69" s="612"/>
      <c r="O69" s="613" t="str">
        <f>'BCU+OC-5P SEL751+7SJ85'!O140</f>
        <v>-</v>
      </c>
      <c r="P69" s="613"/>
      <c r="Q69" s="629"/>
      <c r="R69" s="629"/>
      <c r="S69" s="613" t="str">
        <f>'BCU+OC-5P SEL751+7SJ85'!S140</f>
        <v>-</v>
      </c>
      <c r="T69" s="613"/>
      <c r="U69" s="613"/>
      <c r="V69" s="613"/>
      <c r="W69" s="487" t="s">
        <v>7</v>
      </c>
      <c r="X69" s="275"/>
      <c r="Y69" s="30"/>
      <c r="Z69" s="30"/>
    </row>
    <row r="70" spans="1:26" ht="21" customHeight="1">
      <c r="A70" s="28"/>
      <c r="B70" s="28"/>
      <c r="C70" s="28"/>
      <c r="D70" s="257"/>
      <c r="E70" s="233"/>
      <c r="F70" s="233"/>
      <c r="G70" s="233"/>
      <c r="H70" s="233"/>
      <c r="I70" s="234"/>
      <c r="J70" s="234"/>
      <c r="K70" s="493"/>
      <c r="L70" s="488"/>
      <c r="M70" s="493"/>
      <c r="N70" s="488"/>
      <c r="O70" s="257"/>
      <c r="P70" s="233"/>
      <c r="Q70" s="492"/>
      <c r="R70" s="492"/>
      <c r="S70" s="257"/>
      <c r="T70" s="233"/>
      <c r="U70" s="233"/>
      <c r="V70" s="233"/>
      <c r="W70" s="265"/>
      <c r="X70" s="233"/>
      <c r="Y70" s="30"/>
      <c r="Z70" s="30"/>
    </row>
    <row r="71" spans="1:26" ht="21" customHeight="1">
      <c r="A71" s="337"/>
      <c r="B71" s="28"/>
      <c r="C71" s="28"/>
      <c r="D71" s="257"/>
      <c r="E71" s="233"/>
      <c r="F71" s="233"/>
      <c r="G71" s="233"/>
      <c r="H71" s="233"/>
      <c r="I71" s="234"/>
      <c r="J71" s="234"/>
      <c r="K71" s="493"/>
      <c r="L71" s="488"/>
      <c r="M71" s="493"/>
      <c r="N71" s="488"/>
      <c r="O71" s="257"/>
      <c r="P71" s="233"/>
      <c r="Q71" s="492"/>
      <c r="R71" s="492"/>
      <c r="S71" s="257"/>
      <c r="T71" s="233"/>
      <c r="U71" s="233"/>
      <c r="V71" s="233"/>
      <c r="W71" s="265"/>
      <c r="X71" s="338"/>
      <c r="Y71" s="30"/>
      <c r="Z71" s="30"/>
    </row>
    <row r="72" spans="1:26" ht="21" customHeight="1">
      <c r="A72" s="351" t="s">
        <v>828</v>
      </c>
      <c r="B72" s="352"/>
      <c r="C72" s="352"/>
      <c r="D72" s="352"/>
      <c r="E72" s="352"/>
      <c r="F72" s="352"/>
      <c r="G72" s="352"/>
      <c r="H72" s="352"/>
      <c r="I72" s="352"/>
      <c r="J72" s="352"/>
      <c r="K72" s="352"/>
      <c r="L72" s="352"/>
      <c r="M72" s="352"/>
      <c r="N72" s="352"/>
      <c r="O72" s="352"/>
      <c r="P72" s="352"/>
      <c r="Q72" s="352"/>
      <c r="R72" s="352"/>
      <c r="S72" s="352"/>
      <c r="T72" s="352"/>
      <c r="U72" s="352"/>
      <c r="V72" s="352"/>
      <c r="W72" s="353"/>
      <c r="X72" s="354"/>
      <c r="Y72" s="30"/>
      <c r="Z72" s="30"/>
    </row>
    <row r="73" spans="1:26" ht="18" customHeight="1">
      <c r="A73" s="347" t="s">
        <v>829</v>
      </c>
      <c r="B73" s="348"/>
      <c r="C73" s="348"/>
      <c r="D73" s="348"/>
      <c r="E73" s="348"/>
      <c r="F73" s="348"/>
      <c r="G73" s="348"/>
      <c r="H73" s="348"/>
      <c r="I73" s="348"/>
      <c r="J73" s="348"/>
      <c r="K73" s="348"/>
      <c r="L73" s="348"/>
      <c r="M73" s="348"/>
      <c r="N73" s="348"/>
      <c r="O73" s="348"/>
      <c r="P73" s="348"/>
      <c r="Q73" s="348"/>
      <c r="R73" s="348"/>
      <c r="S73" s="348"/>
      <c r="T73" s="348"/>
      <c r="U73" s="348"/>
      <c r="V73" s="348"/>
      <c r="W73" s="849"/>
      <c r="X73" s="850"/>
      <c r="Y73" s="30"/>
      <c r="Z73" s="30"/>
    </row>
    <row r="74" spans="1:26" ht="28.95" customHeight="1">
      <c r="A74" s="782" t="s">
        <v>97</v>
      </c>
      <c r="B74" s="782"/>
      <c r="C74" s="612"/>
      <c r="D74" s="782" t="s">
        <v>98</v>
      </c>
      <c r="E74" s="782"/>
      <c r="F74" s="782"/>
      <c r="G74" s="782" t="s">
        <v>99</v>
      </c>
      <c r="H74" s="782"/>
      <c r="I74" s="782" t="s">
        <v>100</v>
      </c>
      <c r="J74" s="782"/>
      <c r="K74" s="614" t="s">
        <v>101</v>
      </c>
      <c r="L74" s="615"/>
      <c r="M74" s="782" t="s">
        <v>123</v>
      </c>
      <c r="N74" s="782"/>
      <c r="O74" s="782" t="s">
        <v>103</v>
      </c>
      <c r="P74" s="782"/>
      <c r="Q74" s="614" t="s">
        <v>104</v>
      </c>
      <c r="R74" s="615"/>
      <c r="S74" s="614" t="s">
        <v>105</v>
      </c>
      <c r="T74" s="620"/>
      <c r="U74" s="620"/>
      <c r="V74" s="620"/>
      <c r="W74" s="491" t="s">
        <v>566</v>
      </c>
      <c r="X74" s="331"/>
      <c r="Y74" s="30"/>
      <c r="Z74" s="331" t="s">
        <v>106</v>
      </c>
    </row>
    <row r="75" spans="1:26" ht="18" customHeight="1">
      <c r="A75" s="623" t="str">
        <f>'HVC1 - REF650'!A266</f>
        <v>T1</v>
      </c>
      <c r="B75" s="623" t="str">
        <f>'RET670_650-PX (HV) (2)'!B418</f>
        <v>Core1</v>
      </c>
      <c r="C75" s="623"/>
      <c r="D75" s="613">
        <f>'HVC1 - REF650'!D266</f>
        <v>1250</v>
      </c>
      <c r="E75" s="613"/>
      <c r="F75" s="624">
        <f>'HVC1 - REF650'!F266</f>
        <v>1</v>
      </c>
      <c r="G75" s="613">
        <f>'CT-VT Burdens'!S19</f>
        <v>80</v>
      </c>
      <c r="H75" s="630">
        <f>'CT-VT Burdens'!S10</f>
        <v>2.5</v>
      </c>
      <c r="I75" s="813" t="str">
        <f>'HVC1 - REF650'!I266</f>
        <v>PX-B</v>
      </c>
      <c r="J75" s="845"/>
      <c r="K75" s="612">
        <f>'HVC1 - REF650'!K266</f>
        <v>5</v>
      </c>
      <c r="L75" s="612"/>
      <c r="M75" s="784">
        <f>'HVC1 - REF650'!M266</f>
        <v>750</v>
      </c>
      <c r="N75" s="612"/>
      <c r="O75" s="613">
        <f>'HVC1 - REF650'!O266</f>
        <v>60</v>
      </c>
      <c r="P75" s="613"/>
      <c r="Q75" s="629" t="str">
        <f>'HVC1 - REF650'!Q266</f>
        <v>REF650</v>
      </c>
      <c r="R75" s="629"/>
      <c r="S75" s="820" t="str">
        <f>'HVC1 - REF650'!S266</f>
        <v>Suitably Dimentioned</v>
      </c>
      <c r="T75" s="821"/>
      <c r="U75" s="821"/>
      <c r="V75" s="821"/>
      <c r="W75" s="357">
        <f>'HVC1 - REF650'!D55</f>
        <v>126.23808078653238</v>
      </c>
      <c r="X75" s="300"/>
      <c r="Y75" s="30"/>
      <c r="Z75" s="300">
        <f>'[2]REF615 OC-5P_HV_SBEF(8)'!G40</f>
        <v>33.333333333333336</v>
      </c>
    </row>
    <row r="76" spans="1:26" ht="18" customHeight="1">
      <c r="A76" s="623"/>
      <c r="B76" s="623"/>
      <c r="C76" s="623"/>
      <c r="D76" s="786" t="s">
        <v>7</v>
      </c>
      <c r="E76" s="613"/>
      <c r="F76" s="625"/>
      <c r="G76" s="613"/>
      <c r="H76" s="630"/>
      <c r="I76" s="846"/>
      <c r="J76" s="847"/>
      <c r="K76" s="612" t="str">
        <f>'RET670_650-PX (HV) (2)'!K419</f>
        <v>-</v>
      </c>
      <c r="L76" s="612"/>
      <c r="M76" s="612" t="str">
        <f>'RET670_650-PX (HV) (2)'!M419</f>
        <v>-</v>
      </c>
      <c r="N76" s="612"/>
      <c r="O76" s="613" t="str">
        <f>'RET670_650-PX (HV) (2)'!O419</f>
        <v>-</v>
      </c>
      <c r="P76" s="613"/>
      <c r="Q76" s="629"/>
      <c r="R76" s="629"/>
      <c r="S76" s="820" t="str">
        <f>'RET670_650-PX (HV) (2)'!S419</f>
        <v>-</v>
      </c>
      <c r="T76" s="821"/>
      <c r="U76" s="821"/>
      <c r="V76" s="822"/>
      <c r="W76" s="499" t="s">
        <v>7</v>
      </c>
      <c r="X76" s="300"/>
      <c r="Y76" s="30"/>
      <c r="Z76" s="30"/>
    </row>
    <row r="77" spans="1:26" ht="18" customHeight="1">
      <c r="A77" s="623"/>
      <c r="B77" s="623"/>
      <c r="C77" s="623"/>
      <c r="D77" s="786" t="s">
        <v>7</v>
      </c>
      <c r="E77" s="613"/>
      <c r="F77" s="626"/>
      <c r="G77" s="613"/>
      <c r="H77" s="630"/>
      <c r="I77" s="827"/>
      <c r="J77" s="828"/>
      <c r="K77" s="612" t="str">
        <f>'RET670_650-PX (HV) (2)'!K420</f>
        <v>-</v>
      </c>
      <c r="L77" s="612"/>
      <c r="M77" s="612" t="str">
        <f>'RET670_650-PX (HV) (2)'!M420</f>
        <v>-</v>
      </c>
      <c r="N77" s="612"/>
      <c r="O77" s="613" t="str">
        <f>'RET670_650-PX (HV) (2)'!O420</f>
        <v>-</v>
      </c>
      <c r="P77" s="613"/>
      <c r="Q77" s="629"/>
      <c r="R77" s="629"/>
      <c r="S77" s="820" t="str">
        <f>'RET670_650-PX (HV) (2)'!S420</f>
        <v>-</v>
      </c>
      <c r="T77" s="821"/>
      <c r="U77" s="821"/>
      <c r="V77" s="822"/>
      <c r="W77" s="487" t="s">
        <v>7</v>
      </c>
      <c r="X77" s="275"/>
      <c r="Y77" s="30"/>
      <c r="Z77" s="30"/>
    </row>
    <row r="78" spans="1:26" ht="16.2" customHeight="1">
      <c r="A78" s="347" t="s">
        <v>830</v>
      </c>
      <c r="B78" s="348"/>
      <c r="C78" s="348"/>
      <c r="D78" s="348"/>
      <c r="E78" s="348"/>
      <c r="F78" s="348"/>
      <c r="G78" s="348"/>
      <c r="H78" s="348"/>
      <c r="I78" s="348"/>
      <c r="J78" s="348"/>
      <c r="K78" s="348"/>
      <c r="L78" s="348"/>
      <c r="M78" s="348"/>
      <c r="N78" s="348"/>
      <c r="O78" s="348"/>
      <c r="P78" s="348"/>
      <c r="Q78" s="348"/>
      <c r="R78" s="348"/>
      <c r="S78" s="348"/>
      <c r="T78" s="348"/>
      <c r="U78" s="348"/>
      <c r="V78" s="348"/>
      <c r="W78" s="849"/>
      <c r="X78" s="850"/>
      <c r="Y78" s="30"/>
      <c r="Z78" s="30"/>
    </row>
    <row r="79" spans="1:26" ht="28.2" customHeight="1">
      <c r="A79" s="782" t="s">
        <v>97</v>
      </c>
      <c r="B79" s="782"/>
      <c r="C79" s="612"/>
      <c r="D79" s="782" t="s">
        <v>98</v>
      </c>
      <c r="E79" s="782"/>
      <c r="F79" s="782"/>
      <c r="G79" s="782" t="s">
        <v>99</v>
      </c>
      <c r="H79" s="782"/>
      <c r="I79" s="782" t="s">
        <v>100</v>
      </c>
      <c r="J79" s="782"/>
      <c r="K79" s="614" t="s">
        <v>101</v>
      </c>
      <c r="L79" s="615"/>
      <c r="M79" s="782" t="s">
        <v>102</v>
      </c>
      <c r="N79" s="782"/>
      <c r="O79" s="782" t="s">
        <v>103</v>
      </c>
      <c r="P79" s="782"/>
      <c r="Q79" s="614" t="s">
        <v>104</v>
      </c>
      <c r="R79" s="615"/>
      <c r="S79" s="614" t="s">
        <v>105</v>
      </c>
      <c r="T79" s="620"/>
      <c r="U79" s="620"/>
      <c r="V79" s="620"/>
      <c r="W79" s="491" t="s">
        <v>106</v>
      </c>
      <c r="X79" s="331"/>
      <c r="Y79" s="30"/>
      <c r="Z79" s="30"/>
    </row>
    <row r="80" spans="1:26" ht="18" customHeight="1">
      <c r="A80" s="804" t="str">
        <f>'MFAC+MVTP'!A51</f>
        <v>T1</v>
      </c>
      <c r="B80" s="840" t="str">
        <f>'MFAC+MVTP'!B51</f>
        <v>Core2</v>
      </c>
      <c r="C80" s="664"/>
      <c r="D80" s="820">
        <f>'MFAC+MVTP'!D51</f>
        <v>1250</v>
      </c>
      <c r="E80" s="822"/>
      <c r="F80" s="624">
        <f>'MFAC+MVTP'!F51</f>
        <v>1</v>
      </c>
      <c r="G80" s="624">
        <f>'CT-VT Burdens'!S19</f>
        <v>80</v>
      </c>
      <c r="H80" s="805">
        <f>'CT-VT Burdens'!S10</f>
        <v>2.5</v>
      </c>
      <c r="I80" s="813" t="str">
        <f>'MFAC+MVTP'!I51</f>
        <v>PX-B</v>
      </c>
      <c r="J80" s="845"/>
      <c r="K80" s="836">
        <f>'MFAC+MVTP'!K51</f>
        <v>5</v>
      </c>
      <c r="L80" s="837"/>
      <c r="M80" s="836">
        <f>'MFAC+MVTP'!M51</f>
        <v>750</v>
      </c>
      <c r="N80" s="837"/>
      <c r="O80" s="820">
        <f>'MFAC+MVTP'!O51</f>
        <v>60</v>
      </c>
      <c r="P80" s="822"/>
      <c r="Q80" s="829" t="str">
        <f>'MFAC+MVTP'!Q51</f>
        <v>MFAC MVTP</v>
      </c>
      <c r="R80" s="830"/>
      <c r="S80" s="820" t="str">
        <f>'MFAC+MVTP'!S51</f>
        <v>Suitably Dimentioned</v>
      </c>
      <c r="T80" s="821"/>
      <c r="U80" s="821"/>
      <c r="V80" s="822"/>
      <c r="W80" s="357">
        <f>'MFAC+MVTP'!H43</f>
        <v>203.5386064742186</v>
      </c>
      <c r="X80" s="300"/>
      <c r="Y80" s="30"/>
      <c r="Z80" s="30"/>
    </row>
    <row r="81" spans="1:26" ht="18" customHeight="1">
      <c r="A81" s="838"/>
      <c r="B81" s="841"/>
      <c r="C81" s="842"/>
      <c r="D81" s="820" t="str">
        <f>'MFAC+MVTP'!D52</f>
        <v>-</v>
      </c>
      <c r="E81" s="822"/>
      <c r="F81" s="625"/>
      <c r="G81" s="625"/>
      <c r="H81" s="843"/>
      <c r="I81" s="846"/>
      <c r="J81" s="847"/>
      <c r="K81" s="836" t="str">
        <f>'7UT635-X'!K286</f>
        <v>-</v>
      </c>
      <c r="L81" s="837"/>
      <c r="M81" s="836" t="str">
        <f>'7UT635-X'!M286</f>
        <v>-</v>
      </c>
      <c r="N81" s="837"/>
      <c r="O81" s="820" t="str">
        <f>'7UT635-X'!O286</f>
        <v>-</v>
      </c>
      <c r="P81" s="822"/>
      <c r="Q81" s="831"/>
      <c r="R81" s="832"/>
      <c r="S81" s="820" t="str">
        <f>'7UT635-X'!S286</f>
        <v>-</v>
      </c>
      <c r="T81" s="821"/>
      <c r="U81" s="821"/>
      <c r="V81" s="822"/>
      <c r="W81" s="499" t="s">
        <v>7</v>
      </c>
      <c r="X81" s="300"/>
      <c r="Y81" s="30"/>
      <c r="Z81" s="30"/>
    </row>
    <row r="82" spans="1:26" ht="15.6" customHeight="1">
      <c r="A82" s="839"/>
      <c r="B82" s="665"/>
      <c r="C82" s="666"/>
      <c r="D82" s="820" t="str">
        <f>'7UT635-X'!D287</f>
        <v>-</v>
      </c>
      <c r="E82" s="822"/>
      <c r="F82" s="626"/>
      <c r="G82" s="626"/>
      <c r="H82" s="844"/>
      <c r="I82" s="827"/>
      <c r="J82" s="828"/>
      <c r="K82" s="836" t="str">
        <f>'7UT635-X'!K287</f>
        <v>-</v>
      </c>
      <c r="L82" s="837"/>
      <c r="M82" s="836" t="str">
        <f>'7UT635-X'!M287</f>
        <v>-</v>
      </c>
      <c r="N82" s="837"/>
      <c r="O82" s="820" t="str">
        <f>'7UT635-X'!O287</f>
        <v>-</v>
      </c>
      <c r="P82" s="822"/>
      <c r="Q82" s="833"/>
      <c r="R82" s="834"/>
      <c r="S82" s="820" t="str">
        <f>'7UT635-X'!S287</f>
        <v>-</v>
      </c>
      <c r="T82" s="821"/>
      <c r="U82" s="821"/>
      <c r="V82" s="822"/>
      <c r="W82" s="487" t="s">
        <v>7</v>
      </c>
      <c r="X82" s="275"/>
      <c r="Y82" s="30"/>
      <c r="Z82" s="30"/>
    </row>
    <row r="83" spans="1:26" ht="15.6" customHeight="1">
      <c r="A83" s="347" t="s">
        <v>831</v>
      </c>
      <c r="B83" s="348"/>
      <c r="C83" s="348"/>
      <c r="D83" s="348"/>
      <c r="E83" s="348"/>
      <c r="F83" s="348"/>
      <c r="G83" s="348"/>
      <c r="H83" s="348"/>
      <c r="I83" s="348"/>
      <c r="J83" s="348"/>
      <c r="K83" s="348"/>
      <c r="L83" s="348"/>
      <c r="M83" s="348"/>
      <c r="N83" s="348"/>
      <c r="O83" s="348"/>
      <c r="P83" s="348"/>
      <c r="Q83" s="348"/>
      <c r="R83" s="348"/>
      <c r="S83" s="348"/>
      <c r="T83" s="348"/>
      <c r="U83" s="348"/>
      <c r="V83" s="348"/>
      <c r="W83" s="349"/>
      <c r="X83" s="350"/>
      <c r="Y83" s="30"/>
      <c r="Z83" s="30"/>
    </row>
    <row r="84" spans="1:26" ht="28.95" customHeight="1">
      <c r="A84" s="782" t="s">
        <v>97</v>
      </c>
      <c r="B84" s="782"/>
      <c r="C84" s="612"/>
      <c r="D84" s="782" t="s">
        <v>98</v>
      </c>
      <c r="E84" s="782"/>
      <c r="F84" s="782"/>
      <c r="G84" s="782" t="s">
        <v>99</v>
      </c>
      <c r="H84" s="782"/>
      <c r="I84" s="782" t="s">
        <v>100</v>
      </c>
      <c r="J84" s="782"/>
      <c r="K84" s="614" t="s">
        <v>101</v>
      </c>
      <c r="L84" s="615"/>
      <c r="M84" s="782" t="s">
        <v>941</v>
      </c>
      <c r="N84" s="782"/>
      <c r="O84" s="782" t="s">
        <v>103</v>
      </c>
      <c r="P84" s="782"/>
      <c r="Q84" s="614" t="s">
        <v>104</v>
      </c>
      <c r="R84" s="615"/>
      <c r="S84" s="614" t="s">
        <v>105</v>
      </c>
      <c r="T84" s="620"/>
      <c r="U84" s="620"/>
      <c r="V84" s="620"/>
      <c r="W84" s="491" t="s">
        <v>566</v>
      </c>
      <c r="X84" s="331"/>
      <c r="Y84" s="30"/>
      <c r="Z84" s="30"/>
    </row>
    <row r="85" spans="1:26" ht="15.6" customHeight="1">
      <c r="A85" s="804" t="str">
        <f>'BUP BCU(2)'!A95</f>
        <v>T1</v>
      </c>
      <c r="B85" s="840" t="str">
        <f>'BUP BCU(2)'!B95</f>
        <v>Core3</v>
      </c>
      <c r="C85" s="664"/>
      <c r="D85" s="820">
        <f>'BUP BCU(2)'!D95</f>
        <v>1250</v>
      </c>
      <c r="E85" s="822"/>
      <c r="F85" s="624">
        <f>'BUP BCU(2)'!F95</f>
        <v>1</v>
      </c>
      <c r="G85" s="624">
        <f>'CT-VT Burdens'!S19</f>
        <v>80</v>
      </c>
      <c r="H85" s="805">
        <f>'CT-VT Burdens'!S10</f>
        <v>2.5</v>
      </c>
      <c r="I85" s="813" t="str">
        <f>'BUP BCU(2)'!I95</f>
        <v>5P20</v>
      </c>
      <c r="J85" s="845"/>
      <c r="K85" s="836">
        <f>'BUP BCU(2)'!K95</f>
        <v>5</v>
      </c>
      <c r="L85" s="837"/>
      <c r="M85" s="848">
        <f>'BUP BCU(2)'!G59</f>
        <v>32</v>
      </c>
      <c r="N85" s="837"/>
      <c r="O85" s="787" t="s">
        <v>7</v>
      </c>
      <c r="P85" s="822"/>
      <c r="Q85" s="829" t="str">
        <f>'BUP BCU(2)'!Q95</f>
        <v>REF650 REC670 IDM+18</v>
      </c>
      <c r="R85" s="830"/>
      <c r="S85" s="820" t="str">
        <f>'BUP BCU(1)'!S97</f>
        <v>Suitably Dimentioned</v>
      </c>
      <c r="T85" s="821"/>
      <c r="U85" s="821"/>
      <c r="V85" s="822"/>
      <c r="W85" s="357">
        <f>'BUP BCU(2)'!D59</f>
        <v>106.3851219470768</v>
      </c>
      <c r="X85" s="300"/>
      <c r="Y85" s="30"/>
      <c r="Z85" s="30"/>
    </row>
    <row r="86" spans="1:26" ht="15.6" customHeight="1">
      <c r="A86" s="838"/>
      <c r="B86" s="841"/>
      <c r="C86" s="842"/>
      <c r="D86" s="820" t="str">
        <f>'OC+BCPU+FMS-X (2)'!D287</f>
        <v>-</v>
      </c>
      <c r="E86" s="822"/>
      <c r="F86" s="625"/>
      <c r="G86" s="625"/>
      <c r="H86" s="843"/>
      <c r="I86" s="846"/>
      <c r="J86" s="847"/>
      <c r="K86" s="836" t="str">
        <f>'OC+BCPU+FMS-X (2)'!K287</f>
        <v>-</v>
      </c>
      <c r="L86" s="837"/>
      <c r="M86" s="836" t="str">
        <f>'OC+BCPU+FMS-X (2)'!M287</f>
        <v>-</v>
      </c>
      <c r="N86" s="837"/>
      <c r="O86" s="820" t="str">
        <f>'OC+BCPU+FMS-X (2)'!O287</f>
        <v>-</v>
      </c>
      <c r="P86" s="822"/>
      <c r="Q86" s="831"/>
      <c r="R86" s="832"/>
      <c r="S86" s="820" t="str">
        <f>'OC+BCPU+FMS-X (2)'!S287</f>
        <v>-</v>
      </c>
      <c r="T86" s="821"/>
      <c r="U86" s="821"/>
      <c r="V86" s="822"/>
      <c r="W86" s="499" t="s">
        <v>7</v>
      </c>
      <c r="X86" s="300"/>
      <c r="Y86" s="30"/>
      <c r="Z86" s="30"/>
    </row>
    <row r="87" spans="1:26" ht="15.6" customHeight="1">
      <c r="A87" s="839"/>
      <c r="B87" s="665"/>
      <c r="C87" s="666"/>
      <c r="D87" s="820" t="str">
        <f>'OC+BCPU+FMS-X (2)'!D288</f>
        <v>-</v>
      </c>
      <c r="E87" s="822"/>
      <c r="F87" s="626"/>
      <c r="G87" s="626"/>
      <c r="H87" s="844"/>
      <c r="I87" s="827"/>
      <c r="J87" s="828"/>
      <c r="K87" s="836" t="str">
        <f>'OC+BCPU+FMS-X (2)'!K288</f>
        <v>-</v>
      </c>
      <c r="L87" s="837"/>
      <c r="M87" s="836" t="str">
        <f>'OC+BCPU+FMS-X (2)'!M288</f>
        <v>-</v>
      </c>
      <c r="N87" s="837"/>
      <c r="O87" s="820" t="str">
        <f>'OC+BCPU+FMS-X (2)'!O288</f>
        <v>-</v>
      </c>
      <c r="P87" s="822"/>
      <c r="Q87" s="833"/>
      <c r="R87" s="834"/>
      <c r="S87" s="820" t="str">
        <f>'OC+BCPU+FMS-X (2)'!S288</f>
        <v>-</v>
      </c>
      <c r="T87" s="821"/>
      <c r="U87" s="821"/>
      <c r="V87" s="822"/>
      <c r="W87" s="487" t="s">
        <v>7</v>
      </c>
      <c r="X87" s="275"/>
      <c r="Y87" s="30"/>
      <c r="Z87" s="30"/>
    </row>
    <row r="88" spans="1:26" ht="15.6" customHeight="1">
      <c r="A88" s="347" t="s">
        <v>827</v>
      </c>
      <c r="B88" s="348"/>
      <c r="C88" s="348"/>
      <c r="D88" s="348"/>
      <c r="E88" s="348"/>
      <c r="F88" s="348"/>
      <c r="G88" s="348"/>
      <c r="H88" s="348"/>
      <c r="I88" s="348"/>
      <c r="J88" s="348"/>
      <c r="K88" s="348"/>
      <c r="L88" s="348"/>
      <c r="M88" s="348"/>
      <c r="N88" s="348"/>
      <c r="O88" s="348"/>
      <c r="P88" s="348"/>
      <c r="Q88" s="348"/>
      <c r="R88" s="348"/>
      <c r="S88" s="348"/>
      <c r="T88" s="348"/>
      <c r="U88" s="348"/>
      <c r="V88" s="348"/>
      <c r="W88" s="349"/>
      <c r="X88" s="350"/>
      <c r="Y88" s="30"/>
      <c r="Z88" s="30"/>
    </row>
    <row r="89" spans="1:26" ht="26.4" customHeight="1">
      <c r="A89" s="614" t="s">
        <v>97</v>
      </c>
      <c r="B89" s="620"/>
      <c r="C89" s="615"/>
      <c r="D89" s="614" t="s">
        <v>98</v>
      </c>
      <c r="E89" s="620"/>
      <c r="F89" s="615"/>
      <c r="G89" s="614" t="s">
        <v>99</v>
      </c>
      <c r="H89" s="615"/>
      <c r="I89" s="614" t="s">
        <v>100</v>
      </c>
      <c r="J89" s="615"/>
      <c r="K89" s="614" t="s">
        <v>101</v>
      </c>
      <c r="L89" s="615"/>
      <c r="M89" s="614" t="s">
        <v>943</v>
      </c>
      <c r="N89" s="615"/>
      <c r="O89" s="614" t="s">
        <v>103</v>
      </c>
      <c r="P89" s="615"/>
      <c r="Q89" s="614" t="s">
        <v>104</v>
      </c>
      <c r="R89" s="615"/>
      <c r="S89" s="782" t="s">
        <v>105</v>
      </c>
      <c r="T89" s="782"/>
      <c r="U89" s="782"/>
      <c r="V89" s="782"/>
      <c r="W89" s="331" t="s">
        <v>106</v>
      </c>
      <c r="X89" s="331"/>
      <c r="Y89" s="30"/>
      <c r="Z89" s="30"/>
    </row>
    <row r="90" spans="1:26" ht="15.6" customHeight="1">
      <c r="A90" s="623" t="str">
        <f>'BBP FU1 - REB500 (2)'!A264</f>
        <v>T1</v>
      </c>
      <c r="B90" s="623" t="str">
        <f>'BBP FU1 - REB500 (2)'!B264</f>
        <v>Core4</v>
      </c>
      <c r="C90" s="623"/>
      <c r="D90" s="613">
        <f>'BBP FU1 - REB500 (2)'!D264</f>
        <v>2500</v>
      </c>
      <c r="E90" s="613"/>
      <c r="F90" s="624">
        <f>'BBP FU1 - REB500 (2)'!F264</f>
        <v>1</v>
      </c>
      <c r="G90" s="627">
        <f>'CT-VT Burdens'!S19</f>
        <v>80</v>
      </c>
      <c r="H90" s="630">
        <f>'CT-VT Burdens'!S10</f>
        <v>2.5</v>
      </c>
      <c r="I90" s="813" t="str">
        <f>'BBP FU1 - REB500 (2)'!I264</f>
        <v>PX-B</v>
      </c>
      <c r="J90" s="814"/>
      <c r="K90" s="612">
        <f>'BBP FU1 - REB500 (2)'!K264</f>
        <v>5</v>
      </c>
      <c r="L90" s="612"/>
      <c r="M90" s="612">
        <f>'BBP FU1 - REB500 (2)'!M264</f>
        <v>750</v>
      </c>
      <c r="N90" s="612"/>
      <c r="O90" s="613">
        <f>'BBP FU1 - REB500 (2)'!O264</f>
        <v>60</v>
      </c>
      <c r="P90" s="613"/>
      <c r="Q90" s="629" t="str">
        <f>'BBP FU1 - REB500 (2)'!Q264</f>
        <v>REB500</v>
      </c>
      <c r="R90" s="629"/>
      <c r="S90" s="613" t="str">
        <f>'BBP FU1 - REB500 (2)'!S264</f>
        <v>Suitable Dimensions</v>
      </c>
      <c r="T90" s="613"/>
      <c r="U90" s="613"/>
      <c r="V90" s="613"/>
      <c r="W90" s="357">
        <f>'BBP FU1 - REB500 (2)'!M82</f>
        <v>62.033927424000005</v>
      </c>
      <c r="X90" s="275"/>
      <c r="Y90" s="30"/>
      <c r="Z90" s="30"/>
    </row>
    <row r="91" spans="1:26" ht="15.6" customHeight="1">
      <c r="A91" s="623"/>
      <c r="B91" s="623"/>
      <c r="C91" s="623"/>
      <c r="D91" s="786" t="str">
        <f>'Main Tariff Meter '!D145</f>
        <v>-</v>
      </c>
      <c r="E91" s="613"/>
      <c r="F91" s="625"/>
      <c r="G91" s="613"/>
      <c r="H91" s="630"/>
      <c r="I91" s="815"/>
      <c r="J91" s="816"/>
      <c r="K91" s="785" t="str">
        <f>'Main Tariff Meter '!K145</f>
        <v>-</v>
      </c>
      <c r="L91" s="612"/>
      <c r="M91" s="785" t="str">
        <f>'Main Tariff Meter '!M145</f>
        <v>-</v>
      </c>
      <c r="N91" s="612"/>
      <c r="O91" s="613" t="str">
        <f>'Main Tariff Meter '!O145</f>
        <v>-</v>
      </c>
      <c r="P91" s="613"/>
      <c r="Q91" s="629"/>
      <c r="R91" s="629"/>
      <c r="S91" s="786" t="str">
        <f>'Main Tariff Meter '!S145</f>
        <v>-</v>
      </c>
      <c r="T91" s="613"/>
      <c r="U91" s="613"/>
      <c r="V91" s="613"/>
      <c r="W91" s="357" t="s">
        <v>7</v>
      </c>
      <c r="X91" s="275"/>
      <c r="Y91" s="30"/>
      <c r="Z91" s="30"/>
    </row>
    <row r="92" spans="1:26" ht="18.75" customHeight="1">
      <c r="A92" s="804"/>
      <c r="B92" s="804"/>
      <c r="C92" s="804"/>
      <c r="D92" s="624" t="str">
        <f>'Main Tariff Meter '!D146</f>
        <v>-</v>
      </c>
      <c r="E92" s="624"/>
      <c r="F92" s="625"/>
      <c r="G92" s="624"/>
      <c r="H92" s="805"/>
      <c r="I92" s="815"/>
      <c r="J92" s="816"/>
      <c r="K92" s="835" t="str">
        <f>'Main Tariff Meter '!K146</f>
        <v>-</v>
      </c>
      <c r="L92" s="835"/>
      <c r="M92" s="835" t="str">
        <f>'Main Tariff Meter '!M146</f>
        <v>-</v>
      </c>
      <c r="N92" s="835"/>
      <c r="O92" s="624" t="str">
        <f>'Main Tariff Meter '!O146</f>
        <v>-</v>
      </c>
      <c r="P92" s="624"/>
      <c r="Q92" s="806"/>
      <c r="R92" s="806"/>
      <c r="S92" s="624" t="str">
        <f>'Main Tariff Meter '!S146</f>
        <v>-</v>
      </c>
      <c r="T92" s="624"/>
      <c r="U92" s="624"/>
      <c r="V92" s="624"/>
      <c r="W92" s="520" t="s">
        <v>7</v>
      </c>
      <c r="X92" s="481"/>
      <c r="Y92" s="30"/>
      <c r="Z92" s="30"/>
    </row>
    <row r="93" spans="1:26" ht="15.6" customHeight="1">
      <c r="A93" s="347" t="s">
        <v>826</v>
      </c>
      <c r="B93" s="348"/>
      <c r="C93" s="348"/>
      <c r="D93" s="348"/>
      <c r="E93" s="348"/>
      <c r="F93" s="348"/>
      <c r="G93" s="348"/>
      <c r="H93" s="348"/>
      <c r="I93" s="348"/>
      <c r="J93" s="348"/>
      <c r="K93" s="348"/>
      <c r="L93" s="348"/>
      <c r="M93" s="348"/>
      <c r="N93" s="348"/>
      <c r="O93" s="348"/>
      <c r="P93" s="348"/>
      <c r="Q93" s="348"/>
      <c r="R93" s="348"/>
      <c r="S93" s="348"/>
      <c r="T93" s="348"/>
      <c r="U93" s="348"/>
      <c r="V93" s="348"/>
      <c r="W93" s="349"/>
      <c r="X93" s="350"/>
      <c r="Y93" s="30"/>
      <c r="Z93" s="30"/>
    </row>
    <row r="94" spans="1:26" ht="31.5" customHeight="1">
      <c r="A94" s="614" t="s">
        <v>97</v>
      </c>
      <c r="B94" s="620"/>
      <c r="C94" s="615"/>
      <c r="D94" s="614" t="s">
        <v>98</v>
      </c>
      <c r="E94" s="620"/>
      <c r="F94" s="615"/>
      <c r="G94" s="614" t="s">
        <v>99</v>
      </c>
      <c r="H94" s="615"/>
      <c r="I94" s="614" t="s">
        <v>100</v>
      </c>
      <c r="J94" s="615"/>
      <c r="K94" s="614" t="s">
        <v>101</v>
      </c>
      <c r="L94" s="615"/>
      <c r="M94" s="614" t="s">
        <v>943</v>
      </c>
      <c r="N94" s="615"/>
      <c r="O94" s="614" t="s">
        <v>103</v>
      </c>
      <c r="P94" s="615"/>
      <c r="Q94" s="614" t="s">
        <v>104</v>
      </c>
      <c r="R94" s="615"/>
      <c r="S94" s="782" t="s">
        <v>105</v>
      </c>
      <c r="T94" s="782"/>
      <c r="U94" s="782"/>
      <c r="V94" s="782"/>
      <c r="W94" s="331" t="s">
        <v>106</v>
      </c>
      <c r="X94" s="331"/>
      <c r="Y94" s="30"/>
      <c r="Z94" s="30"/>
    </row>
    <row r="95" spans="1:26" ht="17.25" customHeight="1">
      <c r="A95" s="623" t="str">
        <f>'BBP 743(2)'!A268</f>
        <v>T1</v>
      </c>
      <c r="B95" s="623" t="str">
        <f>'BBP 743(2)'!B268</f>
        <v>Core5</v>
      </c>
      <c r="C95" s="623"/>
      <c r="D95" s="613">
        <f>'BBP 743(2)'!D268</f>
        <v>2500</v>
      </c>
      <c r="E95" s="613"/>
      <c r="F95" s="624">
        <f>-'BBP 743(2)'!F268</f>
        <v>-1</v>
      </c>
      <c r="G95" s="627">
        <f>'CT-VT Burdens'!S19</f>
        <v>80</v>
      </c>
      <c r="H95" s="630">
        <f>'CT-VT Burdens'!S10</f>
        <v>2.5</v>
      </c>
      <c r="I95" s="813">
        <f>'Main Tariff Meter '!I153</f>
        <v>0</v>
      </c>
      <c r="J95" s="814"/>
      <c r="K95" s="612">
        <f>'BBP 743(2)'!K268</f>
        <v>5</v>
      </c>
      <c r="L95" s="612"/>
      <c r="M95" s="612">
        <f>'BBP 743(2)'!M268</f>
        <v>750</v>
      </c>
      <c r="N95" s="612"/>
      <c r="O95" s="613">
        <f>'BBP 743(2)'!O268</f>
        <v>60</v>
      </c>
      <c r="P95" s="613"/>
      <c r="Q95" s="629" t="str">
        <f>'BBP 743(2)'!Q268</f>
        <v>P743</v>
      </c>
      <c r="R95" s="629"/>
      <c r="S95" s="613" t="str">
        <f>'BBP 743(2)'!S268</f>
        <v>Suitably Dimentioned</v>
      </c>
      <c r="T95" s="613"/>
      <c r="U95" s="613"/>
      <c r="V95" s="613"/>
      <c r="W95" s="357">
        <f>'BBP 743(2)'!H55</f>
        <v>130.8373488</v>
      </c>
      <c r="X95" s="275"/>
      <c r="Y95" s="30"/>
      <c r="Z95" s="30"/>
    </row>
    <row r="96" spans="1:26" ht="15.6" customHeight="1">
      <c r="A96" s="623"/>
      <c r="B96" s="623"/>
      <c r="C96" s="623"/>
      <c r="D96" s="786" t="s">
        <v>7</v>
      </c>
      <c r="E96" s="613"/>
      <c r="F96" s="625"/>
      <c r="G96" s="613"/>
      <c r="H96" s="630"/>
      <c r="I96" s="815"/>
      <c r="J96" s="816"/>
      <c r="K96" s="785">
        <f>'Main Tariff Meter '!K154</f>
        <v>0</v>
      </c>
      <c r="L96" s="612"/>
      <c r="M96" s="785">
        <f>'Main Tariff Meter '!M154</f>
        <v>0</v>
      </c>
      <c r="N96" s="612"/>
      <c r="O96" s="613">
        <f>'Main Tariff Meter '!O154</f>
        <v>0</v>
      </c>
      <c r="P96" s="613"/>
      <c r="Q96" s="629"/>
      <c r="R96" s="629"/>
      <c r="S96" s="786">
        <f>'Main Tariff Meter '!S154</f>
        <v>0</v>
      </c>
      <c r="T96" s="613"/>
      <c r="U96" s="613"/>
      <c r="V96" s="613"/>
      <c r="W96" s="357" t="s">
        <v>7</v>
      </c>
      <c r="X96" s="275"/>
      <c r="Y96" s="30"/>
      <c r="Z96" s="30"/>
    </row>
    <row r="97" spans="1:26" ht="15.6" customHeight="1">
      <c r="A97" s="623"/>
      <c r="B97" s="623"/>
      <c r="C97" s="623"/>
      <c r="D97" s="786" t="s">
        <v>7</v>
      </c>
      <c r="E97" s="613"/>
      <c r="F97" s="626"/>
      <c r="G97" s="613"/>
      <c r="H97" s="630"/>
      <c r="I97" s="817"/>
      <c r="J97" s="818"/>
      <c r="K97" s="612">
        <f>'Main Tariff Meter '!K155</f>
        <v>0</v>
      </c>
      <c r="L97" s="612"/>
      <c r="M97" s="612">
        <f>'Main Tariff Meter '!M155</f>
        <v>0</v>
      </c>
      <c r="N97" s="612"/>
      <c r="O97" s="613">
        <f>'Main Tariff Meter '!O155</f>
        <v>0</v>
      </c>
      <c r="P97" s="613"/>
      <c r="Q97" s="629"/>
      <c r="R97" s="629"/>
      <c r="S97" s="613">
        <f>'Main Tariff Meter '!S155</f>
        <v>0</v>
      </c>
      <c r="T97" s="613"/>
      <c r="U97" s="613"/>
      <c r="V97" s="613"/>
      <c r="W97" s="487" t="s">
        <v>7</v>
      </c>
      <c r="X97" s="275"/>
      <c r="Y97" s="30"/>
      <c r="Z97" s="30"/>
    </row>
    <row r="98" spans="1:26" ht="15.6" customHeight="1">
      <c r="A98" s="28"/>
      <c r="B98" s="28"/>
      <c r="C98" s="28"/>
      <c r="D98" s="257"/>
      <c r="E98" s="233"/>
      <c r="F98" s="233"/>
      <c r="G98" s="233"/>
      <c r="H98" s="265"/>
      <c r="I98" s="234"/>
      <c r="J98" s="234"/>
      <c r="K98" s="488"/>
      <c r="L98" s="488"/>
      <c r="M98" s="488"/>
      <c r="N98" s="488"/>
      <c r="O98" s="233"/>
      <c r="P98" s="233"/>
      <c r="Q98" s="492"/>
      <c r="R98" s="492"/>
      <c r="S98" s="233"/>
      <c r="T98" s="233"/>
      <c r="U98" s="233"/>
      <c r="V98" s="233"/>
      <c r="W98" s="257"/>
      <c r="X98" s="233"/>
      <c r="Y98" s="30"/>
      <c r="Z98" s="30"/>
    </row>
    <row r="99" spans="1:26" ht="15.6" customHeight="1">
      <c r="A99" s="337"/>
      <c r="B99" s="28"/>
      <c r="C99" s="28"/>
      <c r="D99" s="233"/>
      <c r="E99" s="233"/>
      <c r="F99" s="233"/>
      <c r="G99" s="233"/>
      <c r="H99" s="233"/>
      <c r="I99" s="234"/>
      <c r="J99" s="234"/>
      <c r="K99" s="488"/>
      <c r="L99" s="488"/>
      <c r="M99" s="488"/>
      <c r="N99" s="488"/>
      <c r="O99" s="233"/>
      <c r="P99" s="233"/>
      <c r="Q99" s="492"/>
      <c r="R99" s="492"/>
      <c r="S99" s="233"/>
      <c r="T99" s="233"/>
      <c r="U99" s="233"/>
      <c r="V99" s="233"/>
      <c r="W99" s="234"/>
      <c r="X99" s="338"/>
      <c r="Y99" s="30"/>
      <c r="Z99" s="30"/>
    </row>
    <row r="100" spans="1:26" ht="15.6" customHeight="1">
      <c r="A100" s="351" t="s">
        <v>954</v>
      </c>
      <c r="B100" s="352"/>
      <c r="C100" s="352"/>
      <c r="D100" s="352"/>
      <c r="E100" s="352"/>
      <c r="F100" s="352"/>
      <c r="G100" s="352"/>
      <c r="H100" s="352"/>
      <c r="I100" s="352"/>
      <c r="J100" s="352"/>
      <c r="K100" s="352"/>
      <c r="L100" s="352"/>
      <c r="M100" s="352"/>
      <c r="N100" s="352"/>
      <c r="O100" s="352"/>
      <c r="P100" s="352"/>
      <c r="Q100" s="352"/>
      <c r="R100" s="352"/>
      <c r="S100" s="352"/>
      <c r="T100" s="352"/>
      <c r="U100" s="352"/>
      <c r="V100" s="352"/>
      <c r="W100" s="353"/>
      <c r="X100" s="354"/>
      <c r="Y100" s="30"/>
      <c r="Z100" s="30"/>
    </row>
    <row r="101" spans="1:26" ht="15" customHeight="1">
      <c r="A101" s="347" t="s">
        <v>832</v>
      </c>
      <c r="B101" s="348"/>
      <c r="C101" s="348"/>
      <c r="D101" s="348"/>
      <c r="E101" s="348"/>
      <c r="F101" s="348"/>
      <c r="G101" s="348"/>
      <c r="H101" s="348"/>
      <c r="I101" s="348"/>
      <c r="J101" s="348"/>
      <c r="K101" s="348"/>
      <c r="L101" s="348"/>
      <c r="M101" s="348"/>
      <c r="N101" s="348"/>
      <c r="O101" s="348"/>
      <c r="P101" s="348"/>
      <c r="Q101" s="348"/>
      <c r="R101" s="348"/>
      <c r="S101" s="348"/>
      <c r="T101" s="348"/>
      <c r="U101" s="348"/>
      <c r="V101" s="348"/>
      <c r="W101" s="849"/>
      <c r="X101" s="850"/>
      <c r="Y101" s="30"/>
      <c r="Z101" s="30"/>
    </row>
    <row r="102" spans="1:26" ht="28.95" customHeight="1">
      <c r="A102" s="782" t="s">
        <v>97</v>
      </c>
      <c r="B102" s="782"/>
      <c r="C102" s="612"/>
      <c r="D102" s="782" t="s">
        <v>98</v>
      </c>
      <c r="E102" s="782"/>
      <c r="F102" s="782"/>
      <c r="G102" s="782" t="s">
        <v>99</v>
      </c>
      <c r="H102" s="782"/>
      <c r="I102" s="782" t="s">
        <v>100</v>
      </c>
      <c r="J102" s="782"/>
      <c r="K102" s="614" t="s">
        <v>101</v>
      </c>
      <c r="L102" s="615"/>
      <c r="M102" s="782" t="s">
        <v>102</v>
      </c>
      <c r="N102" s="782"/>
      <c r="O102" s="782" t="s">
        <v>103</v>
      </c>
      <c r="P102" s="782"/>
      <c r="Q102" s="614" t="s">
        <v>104</v>
      </c>
      <c r="R102" s="615"/>
      <c r="S102" s="614" t="s">
        <v>105</v>
      </c>
      <c r="T102" s="620"/>
      <c r="U102" s="620"/>
      <c r="V102" s="620"/>
      <c r="W102" s="491" t="s">
        <v>106</v>
      </c>
      <c r="X102" s="331"/>
      <c r="Y102" s="30"/>
      <c r="Z102" s="30"/>
    </row>
    <row r="103" spans="1:26" ht="24.6" customHeight="1">
      <c r="A103" s="840" t="str">
        <f>'IFP1-RED670'!A384</f>
        <v>T1</v>
      </c>
      <c r="B103" s="840" t="str">
        <f>'IFP1-RED670'!B384</f>
        <v>Core1</v>
      </c>
      <c r="C103" s="664"/>
      <c r="D103" s="852">
        <f>'IFP1-RED670'!D384</f>
        <v>2500</v>
      </c>
      <c r="E103" s="860"/>
      <c r="F103" s="624">
        <f>'IFP1-RED670'!F384</f>
        <v>1</v>
      </c>
      <c r="G103" s="624">
        <f>'CT-VT Burdens'!S19</f>
        <v>80</v>
      </c>
      <c r="H103" s="863">
        <f>'CT-VT Burdens'!S10</f>
        <v>2.5</v>
      </c>
      <c r="I103" s="852" t="str">
        <f>'IFP1-RED670'!Q384</f>
        <v>RED670</v>
      </c>
      <c r="J103" s="860"/>
      <c r="K103" s="612">
        <f>'IFP1-RED670'!K384</f>
        <v>10</v>
      </c>
      <c r="L103" s="612"/>
      <c r="M103" s="612">
        <f>'IFP1-RED670'!M384</f>
        <v>3000</v>
      </c>
      <c r="N103" s="612"/>
      <c r="O103" s="613">
        <f>'IFP1-RED670'!O384</f>
        <v>50</v>
      </c>
      <c r="P103" s="613"/>
      <c r="Q103" s="876" t="str">
        <f>'IFP1-RED670'!Q384</f>
        <v>RED670</v>
      </c>
      <c r="R103" s="876"/>
      <c r="S103" s="820" t="str">
        <f>'IFP1-RED670'!S384</f>
        <v>Suitably Dimensioned</v>
      </c>
      <c r="T103" s="821"/>
      <c r="U103" s="821"/>
      <c r="V103" s="821"/>
      <c r="W103" s="357">
        <f>'IFP1-RED670'!H122</f>
        <v>262.55611309805181</v>
      </c>
      <c r="X103" s="300"/>
      <c r="Y103" s="30"/>
      <c r="Z103" s="30"/>
    </row>
    <row r="104" spans="1:26" ht="15.6" customHeight="1">
      <c r="A104" s="841"/>
      <c r="B104" s="841"/>
      <c r="C104" s="842"/>
      <c r="D104" s="846"/>
      <c r="E104" s="861"/>
      <c r="F104" s="625"/>
      <c r="G104" s="625"/>
      <c r="H104" s="864"/>
      <c r="I104" s="846"/>
      <c r="J104" s="861"/>
      <c r="K104" s="612" t="str">
        <f>'OC+BCPU+FMS-X (3)'!K287</f>
        <v>-</v>
      </c>
      <c r="L104" s="612"/>
      <c r="M104" s="612" t="str">
        <f>'OC+BCPU+FMS-X (3)'!M287</f>
        <v>-</v>
      </c>
      <c r="N104" s="612"/>
      <c r="O104" s="613" t="str">
        <f>'OC+BCPU+FMS-X (3)'!O287</f>
        <v>-</v>
      </c>
      <c r="P104" s="613"/>
      <c r="Q104" s="877"/>
      <c r="R104" s="877"/>
      <c r="S104" s="820" t="str">
        <f>'OC+BCPU+FMS-X (3)'!S287</f>
        <v>-</v>
      </c>
      <c r="T104" s="821"/>
      <c r="U104" s="821"/>
      <c r="V104" s="822"/>
      <c r="W104" s="499" t="s">
        <v>7</v>
      </c>
      <c r="X104" s="300"/>
      <c r="Y104" s="30"/>
      <c r="Z104" s="30"/>
    </row>
    <row r="105" spans="1:26" ht="15.6" hidden="1" customHeight="1">
      <c r="A105" s="841"/>
      <c r="B105" s="841"/>
      <c r="C105" s="842"/>
      <c r="D105" s="846"/>
      <c r="E105" s="861"/>
      <c r="F105" s="625"/>
      <c r="G105" s="625"/>
      <c r="H105" s="864"/>
      <c r="I105" s="846"/>
      <c r="J105" s="861"/>
      <c r="K105" s="612" t="str">
        <f>'OC+BCPU+FMS-X (3)'!K288</f>
        <v>-</v>
      </c>
      <c r="L105" s="612"/>
      <c r="M105" s="612" t="str">
        <f>'OC+BCPU+FMS-X (3)'!M288</f>
        <v>-</v>
      </c>
      <c r="N105" s="612"/>
      <c r="O105" s="613" t="str">
        <f>'OC+BCPU+FMS-X (3)'!O288</f>
        <v>-</v>
      </c>
      <c r="P105" s="613"/>
      <c r="Q105" s="877"/>
      <c r="R105" s="877"/>
      <c r="S105" s="820" t="str">
        <f>'OC+BCPU+FMS-X (3)'!S288</f>
        <v>-</v>
      </c>
      <c r="T105" s="821"/>
      <c r="U105" s="821"/>
      <c r="V105" s="822"/>
      <c r="W105" s="487" t="s">
        <v>7</v>
      </c>
      <c r="X105" s="275"/>
      <c r="Y105" s="30"/>
      <c r="Z105" s="30"/>
    </row>
    <row r="106" spans="1:26" ht="26.4" hidden="1" customHeight="1">
      <c r="A106" s="841"/>
      <c r="B106" s="841"/>
      <c r="C106" s="842"/>
      <c r="D106" s="846"/>
      <c r="E106" s="861"/>
      <c r="F106" s="625"/>
      <c r="G106" s="625"/>
      <c r="H106" s="864"/>
      <c r="I106" s="846"/>
      <c r="J106" s="861"/>
      <c r="K106" s="348"/>
      <c r="L106" s="348"/>
      <c r="M106" s="348"/>
      <c r="N106" s="348"/>
      <c r="O106" s="348"/>
      <c r="P106" s="348"/>
      <c r="Q106" s="877"/>
      <c r="R106" s="877"/>
      <c r="S106" s="348"/>
      <c r="T106" s="348"/>
      <c r="U106" s="348"/>
      <c r="V106" s="348"/>
      <c r="W106" s="849"/>
      <c r="X106" s="850"/>
      <c r="Y106" s="30"/>
      <c r="Z106" s="30"/>
    </row>
    <row r="107" spans="1:26" ht="15.6" hidden="1" customHeight="1">
      <c r="A107" s="841"/>
      <c r="B107" s="841"/>
      <c r="C107" s="842"/>
      <c r="D107" s="846"/>
      <c r="E107" s="861"/>
      <c r="F107" s="625"/>
      <c r="G107" s="625"/>
      <c r="H107" s="864"/>
      <c r="I107" s="846"/>
      <c r="J107" s="861"/>
      <c r="K107" s="614" t="s">
        <v>101</v>
      </c>
      <c r="L107" s="615"/>
      <c r="M107" s="782" t="s">
        <v>112</v>
      </c>
      <c r="N107" s="782"/>
      <c r="O107" s="782"/>
      <c r="P107" s="782"/>
      <c r="Q107" s="877"/>
      <c r="R107" s="877"/>
      <c r="S107" s="614" t="s">
        <v>105</v>
      </c>
      <c r="T107" s="620"/>
      <c r="U107" s="620"/>
      <c r="V107" s="620"/>
      <c r="W107" s="331" t="s">
        <v>115</v>
      </c>
      <c r="X107" s="331"/>
      <c r="Y107" s="30"/>
      <c r="Z107" s="30"/>
    </row>
    <row r="108" spans="1:26" ht="15.6" hidden="1" customHeight="1">
      <c r="A108" s="841"/>
      <c r="B108" s="841"/>
      <c r="C108" s="842"/>
      <c r="D108" s="846"/>
      <c r="E108" s="861"/>
      <c r="F108" s="625"/>
      <c r="G108" s="625"/>
      <c r="H108" s="864"/>
      <c r="I108" s="846"/>
      <c r="J108" s="861"/>
      <c r="K108" s="612">
        <f>'(Metering + Ammeter) (2)'!K144</f>
        <v>1</v>
      </c>
      <c r="L108" s="612"/>
      <c r="M108" s="612">
        <f>'(Metering + Ammeter) (2)'!M144</f>
        <v>5</v>
      </c>
      <c r="N108" s="612"/>
      <c r="O108" s="613" t="str">
        <f>'(Metering + Ammeter) (2)'!O144</f>
        <v>-</v>
      </c>
      <c r="P108" s="613"/>
      <c r="Q108" s="877"/>
      <c r="R108" s="877"/>
      <c r="S108" s="820" t="str">
        <f>'(Metering + Ammeter) (2)'!S144</f>
        <v>Suitable Dimensions</v>
      </c>
      <c r="T108" s="821"/>
      <c r="U108" s="821"/>
      <c r="V108" s="822"/>
      <c r="W108" s="276">
        <f>'(Metering + Ammeter) (2)'!J46</f>
        <v>8.1083986079241797</v>
      </c>
      <c r="X108" s="300"/>
      <c r="Y108" s="30"/>
      <c r="Z108" s="30"/>
    </row>
    <row r="109" spans="1:26" ht="15.6" hidden="1" customHeight="1">
      <c r="A109" s="841"/>
      <c r="B109" s="841"/>
      <c r="C109" s="842"/>
      <c r="D109" s="846"/>
      <c r="E109" s="861"/>
      <c r="F109" s="625"/>
      <c r="G109" s="625"/>
      <c r="H109" s="864"/>
      <c r="I109" s="846"/>
      <c r="J109" s="861"/>
      <c r="K109" s="612" t="str">
        <f>'(Metering + Ammeter) (2)'!K145</f>
        <v>-</v>
      </c>
      <c r="L109" s="612"/>
      <c r="M109" s="612" t="str">
        <f>'(Metering + Ammeter) (2)'!M145</f>
        <v>-</v>
      </c>
      <c r="N109" s="612"/>
      <c r="O109" s="613" t="str">
        <f>'(Metering + Ammeter) (2)'!O145</f>
        <v>-</v>
      </c>
      <c r="P109" s="613"/>
      <c r="Q109" s="877"/>
      <c r="R109" s="877"/>
      <c r="S109" s="820" t="str">
        <f>'(Metering + Ammeter) (2)'!S145</f>
        <v>-</v>
      </c>
      <c r="T109" s="821"/>
      <c r="U109" s="821"/>
      <c r="V109" s="822"/>
      <c r="W109" s="499" t="s">
        <v>7</v>
      </c>
      <c r="X109" s="300"/>
      <c r="Y109" s="30"/>
      <c r="Z109" s="30"/>
    </row>
    <row r="110" spans="1:26" ht="15.6" hidden="1" customHeight="1">
      <c r="A110" s="841"/>
      <c r="B110" s="841"/>
      <c r="C110" s="842"/>
      <c r="D110" s="846"/>
      <c r="E110" s="861"/>
      <c r="F110" s="625"/>
      <c r="G110" s="625"/>
      <c r="H110" s="864"/>
      <c r="I110" s="846"/>
      <c r="J110" s="861"/>
      <c r="K110" s="612" t="str">
        <f>'(Metering + Ammeter) (2)'!K146</f>
        <v>-</v>
      </c>
      <c r="L110" s="612"/>
      <c r="M110" s="612" t="str">
        <f>'(Metering + Ammeter) (2)'!M146</f>
        <v>-</v>
      </c>
      <c r="N110" s="612"/>
      <c r="O110" s="613" t="str">
        <f>'(Metering + Ammeter) (2)'!O146</f>
        <v>-</v>
      </c>
      <c r="P110" s="613"/>
      <c r="Q110" s="877"/>
      <c r="R110" s="877"/>
      <c r="S110" s="820" t="str">
        <f>'(Metering + Ammeter) (2)'!S146</f>
        <v>-</v>
      </c>
      <c r="T110" s="821"/>
      <c r="U110" s="821"/>
      <c r="V110" s="822"/>
      <c r="W110" s="487" t="s">
        <v>7</v>
      </c>
      <c r="X110" s="275"/>
      <c r="Y110" s="30"/>
      <c r="Z110" s="30"/>
    </row>
    <row r="111" spans="1:26" ht="26.4" hidden="1" customHeight="1">
      <c r="A111" s="841"/>
      <c r="B111" s="841"/>
      <c r="C111" s="842"/>
      <c r="D111" s="846"/>
      <c r="E111" s="861"/>
      <c r="F111" s="625"/>
      <c r="G111" s="625"/>
      <c r="H111" s="864"/>
      <c r="I111" s="846"/>
      <c r="J111" s="861"/>
      <c r="K111" s="348"/>
      <c r="L111" s="348"/>
      <c r="M111" s="348"/>
      <c r="N111" s="348"/>
      <c r="O111" s="348"/>
      <c r="P111" s="348"/>
      <c r="Q111" s="877"/>
      <c r="R111" s="877"/>
      <c r="S111" s="348"/>
      <c r="T111" s="348"/>
      <c r="U111" s="348"/>
      <c r="V111" s="348"/>
      <c r="W111" s="349"/>
      <c r="X111" s="350"/>
      <c r="Y111" s="30"/>
      <c r="Z111" s="30"/>
    </row>
    <row r="112" spans="1:26" ht="15.6" hidden="1" customHeight="1">
      <c r="A112" s="841"/>
      <c r="B112" s="841"/>
      <c r="C112" s="842"/>
      <c r="D112" s="846"/>
      <c r="E112" s="861"/>
      <c r="F112" s="625"/>
      <c r="G112" s="625"/>
      <c r="H112" s="864"/>
      <c r="I112" s="846"/>
      <c r="J112" s="861"/>
      <c r="K112" s="614" t="s">
        <v>101</v>
      </c>
      <c r="L112" s="615"/>
      <c r="M112" s="614" t="s">
        <v>114</v>
      </c>
      <c r="N112" s="615"/>
      <c r="O112" s="614" t="s">
        <v>103</v>
      </c>
      <c r="P112" s="615"/>
      <c r="Q112" s="877"/>
      <c r="R112" s="877"/>
      <c r="S112" s="782" t="s">
        <v>105</v>
      </c>
      <c r="T112" s="782"/>
      <c r="U112" s="782"/>
      <c r="V112" s="782"/>
      <c r="W112" s="498" t="s">
        <v>116</v>
      </c>
      <c r="X112" s="498" t="s">
        <v>117</v>
      </c>
      <c r="Y112" s="30"/>
      <c r="Z112" s="30"/>
    </row>
    <row r="113" spans="1:26" ht="15.6" hidden="1" customHeight="1">
      <c r="A113" s="841"/>
      <c r="B113" s="841"/>
      <c r="C113" s="842"/>
      <c r="D113" s="846"/>
      <c r="E113" s="861"/>
      <c r="F113" s="625"/>
      <c r="G113" s="625"/>
      <c r="H113" s="864"/>
      <c r="I113" s="846"/>
      <c r="J113" s="861"/>
      <c r="K113" s="612" t="e">
        <f>#REF!</f>
        <v>#REF!</v>
      </c>
      <c r="L113" s="612"/>
      <c r="M113" s="612" t="e">
        <f>#REF!</f>
        <v>#REF!</v>
      </c>
      <c r="N113" s="612"/>
      <c r="O113" s="613" t="e">
        <f>#REF!</f>
        <v>#REF!</v>
      </c>
      <c r="P113" s="613"/>
      <c r="Q113" s="877"/>
      <c r="R113" s="877"/>
      <c r="S113" s="613" t="e">
        <f>#REF!</f>
        <v>#REF!</v>
      </c>
      <c r="T113" s="613"/>
      <c r="U113" s="613"/>
      <c r="V113" s="613"/>
      <c r="W113" s="276" t="e">
        <f>#REF!</f>
        <v>#REF!</v>
      </c>
      <c r="X113" s="276" t="e">
        <f>#REF!</f>
        <v>#REF!</v>
      </c>
      <c r="Y113" s="30"/>
      <c r="Z113" s="30"/>
    </row>
    <row r="114" spans="1:26" ht="15.6" hidden="1" customHeight="1">
      <c r="A114" s="841"/>
      <c r="B114" s="841"/>
      <c r="C114" s="842"/>
      <c r="D114" s="846"/>
      <c r="E114" s="861"/>
      <c r="F114" s="625"/>
      <c r="G114" s="625"/>
      <c r="H114" s="864"/>
      <c r="I114" s="846"/>
      <c r="J114" s="861"/>
      <c r="K114" s="612" t="e">
        <f>#REF!</f>
        <v>#REF!</v>
      </c>
      <c r="L114" s="612"/>
      <c r="M114" s="612" t="e">
        <f>#REF!</f>
        <v>#REF!</v>
      </c>
      <c r="N114" s="612"/>
      <c r="O114" s="613" t="e">
        <f>#REF!</f>
        <v>#REF!</v>
      </c>
      <c r="P114" s="613"/>
      <c r="Q114" s="877"/>
      <c r="R114" s="877"/>
      <c r="S114" s="613" t="e">
        <f>#REF!</f>
        <v>#REF!</v>
      </c>
      <c r="T114" s="613"/>
      <c r="U114" s="613"/>
      <c r="V114" s="613"/>
      <c r="W114" s="276" t="e">
        <f>#REF!</f>
        <v>#REF!</v>
      </c>
      <c r="X114" s="276" t="e">
        <f>#REF!</f>
        <v>#REF!</v>
      </c>
      <c r="Y114" s="30"/>
      <c r="Z114" s="30"/>
    </row>
    <row r="115" spans="1:26" ht="15.6" customHeight="1">
      <c r="A115" s="665"/>
      <c r="B115" s="665"/>
      <c r="C115" s="666"/>
      <c r="D115" s="827"/>
      <c r="E115" s="862"/>
      <c r="F115" s="626"/>
      <c r="G115" s="626"/>
      <c r="H115" s="865"/>
      <c r="I115" s="827"/>
      <c r="J115" s="862"/>
      <c r="K115" s="785" t="s">
        <v>7</v>
      </c>
      <c r="L115" s="612"/>
      <c r="M115" s="785" t="s">
        <v>7</v>
      </c>
      <c r="N115" s="612"/>
      <c r="O115" s="786" t="s">
        <v>7</v>
      </c>
      <c r="P115" s="613"/>
      <c r="Q115" s="878"/>
      <c r="R115" s="878"/>
      <c r="S115" s="786" t="s">
        <v>7</v>
      </c>
      <c r="T115" s="613"/>
      <c r="U115" s="613"/>
      <c r="V115" s="613"/>
      <c r="W115" s="487" t="s">
        <v>7</v>
      </c>
      <c r="X115" s="275"/>
      <c r="Y115" s="30"/>
      <c r="Z115" s="30"/>
    </row>
    <row r="116" spans="1:26" ht="17.399999999999999" customHeight="1">
      <c r="A116" s="347" t="s">
        <v>833</v>
      </c>
      <c r="B116" s="348"/>
      <c r="C116" s="348"/>
      <c r="D116" s="348"/>
      <c r="E116" s="348"/>
      <c r="F116" s="348"/>
      <c r="G116" s="348"/>
      <c r="H116" s="348"/>
      <c r="I116" s="348"/>
      <c r="J116" s="348"/>
      <c r="K116" s="348"/>
      <c r="L116" s="348"/>
      <c r="M116" s="348"/>
      <c r="N116" s="348"/>
      <c r="O116" s="348"/>
      <c r="P116" s="348"/>
      <c r="Q116" s="348"/>
      <c r="R116" s="348"/>
      <c r="S116" s="348"/>
      <c r="T116" s="348"/>
      <c r="U116" s="348"/>
      <c r="V116" s="348"/>
      <c r="W116" s="349"/>
      <c r="X116" s="350"/>
      <c r="Y116" s="30"/>
      <c r="Z116" s="30"/>
    </row>
    <row r="117" spans="1:26" ht="30" customHeight="1">
      <c r="A117" s="782" t="s">
        <v>97</v>
      </c>
      <c r="B117" s="782"/>
      <c r="C117" s="782"/>
      <c r="D117" s="782" t="s">
        <v>98</v>
      </c>
      <c r="E117" s="782"/>
      <c r="F117" s="782"/>
      <c r="G117" s="782" t="s">
        <v>99</v>
      </c>
      <c r="H117" s="782"/>
      <c r="I117" s="782" t="s">
        <v>100</v>
      </c>
      <c r="J117" s="782"/>
      <c r="K117" s="782" t="s">
        <v>101</v>
      </c>
      <c r="L117" s="782"/>
      <c r="M117" s="782" t="s">
        <v>102</v>
      </c>
      <c r="N117" s="782"/>
      <c r="O117" s="782" t="s">
        <v>103</v>
      </c>
      <c r="P117" s="782"/>
      <c r="Q117" s="782" t="s">
        <v>104</v>
      </c>
      <c r="R117" s="782"/>
      <c r="S117" s="782" t="s">
        <v>105</v>
      </c>
      <c r="T117" s="782"/>
      <c r="U117" s="782"/>
      <c r="V117" s="782"/>
      <c r="W117" s="498" t="s">
        <v>106</v>
      </c>
      <c r="X117" s="498"/>
      <c r="Y117" s="30"/>
      <c r="Z117" s="30"/>
    </row>
    <row r="118" spans="1:26" ht="20.25" customHeight="1">
      <c r="A118" s="623" t="str">
        <f>'IFP2 P545 (3)'!A128</f>
        <v>T1</v>
      </c>
      <c r="B118" s="623" t="str">
        <f>'IFP2 P545 (3)'!B128</f>
        <v>Core2</v>
      </c>
      <c r="C118" s="623"/>
      <c r="D118" s="820">
        <f>'IFP2 P545 (3)'!D128</f>
        <v>2500</v>
      </c>
      <c r="E118" s="822"/>
      <c r="F118" s="613">
        <f>'IFP2 P545 (3)'!F128</f>
        <v>1</v>
      </c>
      <c r="G118" s="786">
        <f>'CT-VT Burdens'!S19</f>
        <v>80</v>
      </c>
      <c r="H118" s="783">
        <f>'CT-VT Burdens'!S10</f>
        <v>2.5</v>
      </c>
      <c r="I118" s="783" t="str">
        <f>'IFP2 P545 (3)'!I128</f>
        <v>PX-A</v>
      </c>
      <c r="J118" s="783"/>
      <c r="K118" s="612">
        <f>'IFP2 P545 (3)'!K128</f>
        <v>5</v>
      </c>
      <c r="L118" s="612"/>
      <c r="M118" s="612">
        <f>'IFP2 P545 (3)'!M128</f>
        <v>3750</v>
      </c>
      <c r="N118" s="612"/>
      <c r="O118" s="613">
        <f>'IFP2 P545 (3)'!O128</f>
        <v>60</v>
      </c>
      <c r="P118" s="613"/>
      <c r="Q118" s="829" t="str">
        <f>'IFP2 P545 (3)'!Q128</f>
        <v>P545</v>
      </c>
      <c r="R118" s="830"/>
      <c r="S118" s="613" t="str">
        <f>'IFP2 P545 (3)'!S128</f>
        <v>Suitably Dimensioned</v>
      </c>
      <c r="T118" s="613"/>
      <c r="U118" s="613"/>
      <c r="V118" s="613"/>
      <c r="W118" s="276">
        <f>'IFP2 P545 (3)'!G92</f>
        <v>1654.2380646399999</v>
      </c>
      <c r="X118" s="276"/>
      <c r="Y118" s="30"/>
      <c r="Z118" s="30"/>
    </row>
    <row r="119" spans="1:26" ht="15.6" customHeight="1">
      <c r="A119" s="623"/>
      <c r="B119" s="623"/>
      <c r="C119" s="623"/>
      <c r="D119" s="820"/>
      <c r="E119" s="822"/>
      <c r="F119" s="613"/>
      <c r="G119" s="613"/>
      <c r="H119" s="613"/>
      <c r="I119" s="783"/>
      <c r="J119" s="783"/>
      <c r="K119" s="785" t="s">
        <v>7</v>
      </c>
      <c r="L119" s="612"/>
      <c r="M119" s="785" t="s">
        <v>7</v>
      </c>
      <c r="N119" s="612"/>
      <c r="O119" s="786" t="s">
        <v>7</v>
      </c>
      <c r="P119" s="613"/>
      <c r="Q119" s="831"/>
      <c r="R119" s="832"/>
      <c r="S119" s="786" t="s">
        <v>7</v>
      </c>
      <c r="T119" s="613"/>
      <c r="U119" s="613"/>
      <c r="V119" s="613"/>
      <c r="W119" s="499" t="s">
        <v>7</v>
      </c>
      <c r="X119" s="276"/>
      <c r="Y119" s="30"/>
      <c r="Z119" s="30"/>
    </row>
    <row r="120" spans="1:26" ht="15.75" customHeight="1">
      <c r="A120" s="623"/>
      <c r="B120" s="623"/>
      <c r="C120" s="623"/>
      <c r="D120" s="827"/>
      <c r="E120" s="828"/>
      <c r="F120" s="613"/>
      <c r="G120" s="613"/>
      <c r="H120" s="613"/>
      <c r="I120" s="783"/>
      <c r="J120" s="783"/>
      <c r="K120" s="785" t="s">
        <v>7</v>
      </c>
      <c r="L120" s="612"/>
      <c r="M120" s="785" t="s">
        <v>7</v>
      </c>
      <c r="N120" s="612"/>
      <c r="O120" s="786" t="s">
        <v>7</v>
      </c>
      <c r="P120" s="613"/>
      <c r="Q120" s="833"/>
      <c r="R120" s="834"/>
      <c r="S120" s="786" t="s">
        <v>7</v>
      </c>
      <c r="T120" s="613"/>
      <c r="U120" s="613"/>
      <c r="V120" s="613"/>
      <c r="W120" s="487" t="s">
        <v>7</v>
      </c>
      <c r="X120" s="275"/>
      <c r="Y120" s="30"/>
      <c r="Z120" s="30"/>
    </row>
    <row r="121" spans="1:26" ht="15.6" customHeight="1">
      <c r="A121" s="347" t="s">
        <v>834</v>
      </c>
      <c r="B121" s="348"/>
      <c r="C121" s="348"/>
      <c r="D121" s="348"/>
      <c r="E121" s="348"/>
      <c r="F121" s="348"/>
      <c r="G121" s="348"/>
      <c r="H121" s="348"/>
      <c r="I121" s="348"/>
      <c r="J121" s="348"/>
      <c r="K121" s="348"/>
      <c r="L121" s="348"/>
      <c r="M121" s="348"/>
      <c r="N121" s="348"/>
      <c r="O121" s="348"/>
      <c r="P121" s="348"/>
      <c r="Q121" s="348"/>
      <c r="R121" s="348"/>
      <c r="S121" s="348"/>
      <c r="T121" s="348"/>
      <c r="U121" s="348"/>
      <c r="V121" s="348"/>
      <c r="W121" s="349"/>
      <c r="X121" s="350"/>
      <c r="Y121" s="30"/>
      <c r="Z121" s="30"/>
    </row>
    <row r="122" spans="1:26" ht="31.5" customHeight="1">
      <c r="A122" s="782" t="s">
        <v>97</v>
      </c>
      <c r="B122" s="782"/>
      <c r="C122" s="782"/>
      <c r="D122" s="782" t="s">
        <v>98</v>
      </c>
      <c r="E122" s="782"/>
      <c r="F122" s="782"/>
      <c r="G122" s="782" t="s">
        <v>99</v>
      </c>
      <c r="H122" s="782"/>
      <c r="I122" s="782" t="s">
        <v>100</v>
      </c>
      <c r="J122" s="782"/>
      <c r="K122" s="782" t="s">
        <v>101</v>
      </c>
      <c r="L122" s="782"/>
      <c r="M122" s="782" t="s">
        <v>123</v>
      </c>
      <c r="N122" s="782"/>
      <c r="O122" s="782" t="s">
        <v>103</v>
      </c>
      <c r="P122" s="782"/>
      <c r="Q122" s="782" t="s">
        <v>104</v>
      </c>
      <c r="R122" s="782"/>
      <c r="S122" s="782" t="s">
        <v>105</v>
      </c>
      <c r="T122" s="782"/>
      <c r="U122" s="782"/>
      <c r="V122" s="782"/>
      <c r="W122" s="491" t="s">
        <v>566</v>
      </c>
      <c r="X122" s="331"/>
      <c r="Y122" s="30"/>
      <c r="Z122" s="30"/>
    </row>
    <row r="123" spans="1:26" ht="18.75" customHeight="1">
      <c r="A123" s="649" t="str">
        <f>'BUP BCU(3)'!A274</f>
        <v>T1</v>
      </c>
      <c r="B123" s="649" t="str">
        <f>'BUP BCU(3)'!B274</f>
        <v>Core3</v>
      </c>
      <c r="C123" s="623"/>
      <c r="D123" s="613">
        <f>'BUP BCU(3)'!D274</f>
        <v>2500</v>
      </c>
      <c r="E123" s="613"/>
      <c r="F123" s="613">
        <f>'BUP BCU(3)'!F274</f>
        <v>1</v>
      </c>
      <c r="G123" s="613">
        <f>'CT-VT Burdens'!S19</f>
        <v>80</v>
      </c>
      <c r="H123" s="630">
        <f>'CT-VT Burdens'!S10</f>
        <v>2.5</v>
      </c>
      <c r="I123" s="783" t="str">
        <f>'BUP BCU(3)'!I274</f>
        <v>5P20</v>
      </c>
      <c r="J123" s="783"/>
      <c r="K123" s="612">
        <f>'BUP BCU(3)'!K274</f>
        <v>5</v>
      </c>
      <c r="L123" s="612"/>
      <c r="M123" s="784">
        <f>'BUP BCU(3)'!G60</f>
        <v>16</v>
      </c>
      <c r="N123" s="612"/>
      <c r="O123" s="786" t="s">
        <v>7</v>
      </c>
      <c r="P123" s="613"/>
      <c r="Q123" s="629" t="str">
        <f>'BUP BCU(3)'!Q274</f>
        <v>REF650 REC670 IDM+9</v>
      </c>
      <c r="R123" s="629"/>
      <c r="S123" s="613" t="str">
        <f>'BUP BCU(3)'!S274</f>
        <v>Suitably Dimentioned</v>
      </c>
      <c r="T123" s="613"/>
      <c r="U123" s="613"/>
      <c r="V123" s="613"/>
      <c r="W123" s="276">
        <f>'BUP BCU(3)'!D60</f>
        <v>107.03580866464779</v>
      </c>
      <c r="X123" s="275"/>
      <c r="Y123" s="30"/>
      <c r="Z123" s="30"/>
    </row>
    <row r="124" spans="1:26" ht="15.6" customHeight="1">
      <c r="A124" s="623"/>
      <c r="B124" s="623"/>
      <c r="C124" s="623"/>
      <c r="D124" s="613" t="str">
        <f>'BBP FU1 - REB500'!D266</f>
        <v>-</v>
      </c>
      <c r="E124" s="613"/>
      <c r="F124" s="613"/>
      <c r="G124" s="613"/>
      <c r="H124" s="630"/>
      <c r="I124" s="783"/>
      <c r="J124" s="783"/>
      <c r="K124" s="612" t="str">
        <f>'BBP FU1 - REB500'!K266</f>
        <v>-</v>
      </c>
      <c r="L124" s="612"/>
      <c r="M124" s="612" t="str">
        <f>'BBP FU1 - REB500'!M266</f>
        <v>-</v>
      </c>
      <c r="N124" s="612"/>
      <c r="O124" s="613" t="str">
        <f>'BBP FU1 - REB500'!O266</f>
        <v>-</v>
      </c>
      <c r="P124" s="613"/>
      <c r="Q124" s="629"/>
      <c r="R124" s="629"/>
      <c r="S124" s="613" t="str">
        <f>'BBP FU1 - REB500'!S266</f>
        <v>-</v>
      </c>
      <c r="T124" s="613"/>
      <c r="U124" s="613"/>
      <c r="V124" s="613"/>
      <c r="W124" s="533" t="s">
        <v>7</v>
      </c>
      <c r="X124" s="275"/>
      <c r="Y124" s="30"/>
      <c r="Z124" s="30"/>
    </row>
    <row r="125" spans="1:26" ht="15.6" customHeight="1">
      <c r="A125" s="804"/>
      <c r="B125" s="804"/>
      <c r="C125" s="804"/>
      <c r="D125" s="807" t="str">
        <f>'BBP FU1 - REB500'!D267</f>
        <v>-</v>
      </c>
      <c r="E125" s="808"/>
      <c r="F125" s="624"/>
      <c r="G125" s="624"/>
      <c r="H125" s="805"/>
      <c r="I125" s="631"/>
      <c r="J125" s="631"/>
      <c r="K125" s="809" t="str">
        <f>'BBP FU1 - REB500'!K267</f>
        <v>-</v>
      </c>
      <c r="L125" s="810"/>
      <c r="M125" s="809" t="str">
        <f>'BBP FU1 - REB500'!M267</f>
        <v>-</v>
      </c>
      <c r="N125" s="810"/>
      <c r="O125" s="807" t="str">
        <f>'BBP FU1 - REB500'!O267</f>
        <v>-</v>
      </c>
      <c r="P125" s="808"/>
      <c r="Q125" s="806"/>
      <c r="R125" s="806"/>
      <c r="S125" s="807" t="str">
        <f>'BBP FU1 - REB500'!S267</f>
        <v>-</v>
      </c>
      <c r="T125" s="811"/>
      <c r="U125" s="811"/>
      <c r="V125" s="808"/>
      <c r="W125" s="534" t="s">
        <v>7</v>
      </c>
      <c r="X125" s="481"/>
      <c r="Y125" s="30"/>
      <c r="Z125" s="30"/>
    </row>
    <row r="126" spans="1:26" ht="15.6" customHeight="1">
      <c r="A126" s="347" t="s">
        <v>838</v>
      </c>
      <c r="B126" s="348"/>
      <c r="C126" s="348"/>
      <c r="D126" s="348"/>
      <c r="E126" s="348"/>
      <c r="F126" s="348"/>
      <c r="G126" s="348"/>
      <c r="H126" s="348"/>
      <c r="I126" s="348"/>
      <c r="J126" s="348"/>
      <c r="K126" s="348"/>
      <c r="L126" s="348"/>
      <c r="M126" s="348"/>
      <c r="N126" s="348"/>
      <c r="O126" s="348"/>
      <c r="P126" s="348"/>
      <c r="Q126" s="348"/>
      <c r="R126" s="348"/>
      <c r="S126" s="348"/>
      <c r="T126" s="348"/>
      <c r="U126" s="348"/>
      <c r="V126" s="348"/>
      <c r="W126" s="349"/>
      <c r="X126" s="350"/>
      <c r="Y126" s="30"/>
      <c r="Z126" s="30"/>
    </row>
    <row r="127" spans="1:26" ht="28.95" customHeight="1">
      <c r="A127" s="782" t="s">
        <v>97</v>
      </c>
      <c r="B127" s="782"/>
      <c r="C127" s="782"/>
      <c r="D127" s="782" t="s">
        <v>98</v>
      </c>
      <c r="E127" s="782"/>
      <c r="F127" s="782"/>
      <c r="G127" s="782" t="s">
        <v>99</v>
      </c>
      <c r="H127" s="782"/>
      <c r="I127" s="782" t="s">
        <v>100</v>
      </c>
      <c r="J127" s="782"/>
      <c r="K127" s="782" t="s">
        <v>101</v>
      </c>
      <c r="L127" s="782"/>
      <c r="M127" s="782" t="s">
        <v>123</v>
      </c>
      <c r="N127" s="782"/>
      <c r="O127" s="782" t="s">
        <v>103</v>
      </c>
      <c r="P127" s="782"/>
      <c r="Q127" s="782" t="s">
        <v>104</v>
      </c>
      <c r="R127" s="782"/>
      <c r="S127" s="782" t="s">
        <v>105</v>
      </c>
      <c r="T127" s="782"/>
      <c r="U127" s="782"/>
      <c r="V127" s="782"/>
      <c r="W127" s="491" t="s">
        <v>566</v>
      </c>
      <c r="X127" s="331"/>
      <c r="Y127" s="30"/>
      <c r="Z127" s="30"/>
    </row>
    <row r="128" spans="1:26" ht="18.75" customHeight="1">
      <c r="A128" s="649" t="str">
        <f>'GIB - REF650'!A91</f>
        <v>T1</v>
      </c>
      <c r="B128" s="649" t="str">
        <f>'GIB - REF650'!B91</f>
        <v>Core4</v>
      </c>
      <c r="C128" s="623"/>
      <c r="D128" s="613">
        <f>'GIB - REF650'!D91</f>
        <v>2500</v>
      </c>
      <c r="E128" s="613"/>
      <c r="F128" s="613">
        <f>'GIB - REF650'!F91</f>
        <v>1</v>
      </c>
      <c r="G128" s="613">
        <f>'CT-VT Burdens'!S19</f>
        <v>80</v>
      </c>
      <c r="H128" s="630">
        <f>'CT-VT Burdens'!S10</f>
        <v>2.5</v>
      </c>
      <c r="I128" s="783" t="str">
        <f>'GIB - REF650'!I91</f>
        <v>PX-B</v>
      </c>
      <c r="J128" s="783"/>
      <c r="K128" s="612">
        <f>'GIB - REF650'!K91</f>
        <v>5</v>
      </c>
      <c r="L128" s="612"/>
      <c r="M128" s="784">
        <f>'GIB - REF650'!G57</f>
        <v>16</v>
      </c>
      <c r="N128" s="612"/>
      <c r="O128" s="613">
        <f>'GIB - REF650'!O91</f>
        <v>60</v>
      </c>
      <c r="P128" s="613"/>
      <c r="Q128" s="629" t="str">
        <f>'GIB - REF650'!Q91</f>
        <v>REF650</v>
      </c>
      <c r="R128" s="629"/>
      <c r="S128" s="613" t="str">
        <f>'GIB - REF650'!S91</f>
        <v>Suitably Dimentioned</v>
      </c>
      <c r="T128" s="613"/>
      <c r="U128" s="613"/>
      <c r="V128" s="613"/>
      <c r="W128" s="276">
        <f>'GIB - REF650'!D57</f>
        <v>126.23808078653238</v>
      </c>
      <c r="X128" s="275"/>
      <c r="Y128" s="30"/>
      <c r="Z128" s="30"/>
    </row>
    <row r="129" spans="1:26" ht="18.75" customHeight="1">
      <c r="A129" s="623"/>
      <c r="B129" s="623"/>
      <c r="C129" s="623"/>
      <c r="D129" s="613" t="str">
        <f>'GIB - REF650'!D92</f>
        <v>-</v>
      </c>
      <c r="E129" s="613"/>
      <c r="F129" s="613"/>
      <c r="G129" s="613"/>
      <c r="H129" s="630"/>
      <c r="I129" s="783"/>
      <c r="J129" s="783"/>
      <c r="K129" s="785" t="s">
        <v>7</v>
      </c>
      <c r="L129" s="612"/>
      <c r="M129" s="785" t="s">
        <v>7</v>
      </c>
      <c r="N129" s="612"/>
      <c r="O129" s="786" t="s">
        <v>7</v>
      </c>
      <c r="P129" s="613"/>
      <c r="Q129" s="629"/>
      <c r="R129" s="629"/>
      <c r="S129" s="786" t="s">
        <v>7</v>
      </c>
      <c r="T129" s="613"/>
      <c r="U129" s="613"/>
      <c r="V129" s="613"/>
      <c r="W129" s="533" t="s">
        <v>7</v>
      </c>
      <c r="X129" s="275"/>
      <c r="Y129" s="30"/>
      <c r="Z129" s="30"/>
    </row>
    <row r="130" spans="1:26" ht="15.6" customHeight="1">
      <c r="A130" s="804"/>
      <c r="B130" s="804"/>
      <c r="C130" s="804"/>
      <c r="D130" s="807" t="s">
        <v>7</v>
      </c>
      <c r="E130" s="808"/>
      <c r="F130" s="624"/>
      <c r="G130" s="624"/>
      <c r="H130" s="805"/>
      <c r="I130" s="631"/>
      <c r="J130" s="631"/>
      <c r="K130" s="809" t="s">
        <v>7</v>
      </c>
      <c r="L130" s="810"/>
      <c r="M130" s="809" t="s">
        <v>7</v>
      </c>
      <c r="N130" s="810"/>
      <c r="O130" s="807" t="s">
        <v>7</v>
      </c>
      <c r="P130" s="808"/>
      <c r="Q130" s="806"/>
      <c r="R130" s="806"/>
      <c r="S130" s="807" t="s">
        <v>7</v>
      </c>
      <c r="T130" s="811"/>
      <c r="U130" s="811"/>
      <c r="V130" s="808"/>
      <c r="W130" s="534" t="s">
        <v>7</v>
      </c>
      <c r="X130" s="481"/>
      <c r="Y130" s="30"/>
      <c r="Z130" s="30"/>
    </row>
    <row r="131" spans="1:26" ht="15.6" customHeight="1">
      <c r="A131" s="347" t="s">
        <v>837</v>
      </c>
      <c r="B131" s="348"/>
      <c r="C131" s="348"/>
      <c r="D131" s="348"/>
      <c r="E131" s="348"/>
      <c r="F131" s="348"/>
      <c r="G131" s="348"/>
      <c r="H131" s="348"/>
      <c r="I131" s="348"/>
      <c r="J131" s="348"/>
      <c r="K131" s="348"/>
      <c r="L131" s="348"/>
      <c r="M131" s="348"/>
      <c r="N131" s="348"/>
      <c r="O131" s="348"/>
      <c r="P131" s="348"/>
      <c r="Q131" s="348"/>
      <c r="R131" s="348"/>
      <c r="S131" s="348"/>
      <c r="T131" s="348"/>
      <c r="U131" s="348"/>
      <c r="V131" s="348"/>
      <c r="W131" s="349"/>
      <c r="X131" s="350"/>
      <c r="Y131" s="30"/>
      <c r="Z131" s="30"/>
    </row>
    <row r="132" spans="1:26" ht="28.2" customHeight="1">
      <c r="A132" s="782" t="s">
        <v>97</v>
      </c>
      <c r="B132" s="782"/>
      <c r="C132" s="782"/>
      <c r="D132" s="782" t="s">
        <v>98</v>
      </c>
      <c r="E132" s="782"/>
      <c r="F132" s="782"/>
      <c r="G132" s="782" t="s">
        <v>99</v>
      </c>
      <c r="H132" s="782"/>
      <c r="I132" s="782" t="s">
        <v>100</v>
      </c>
      <c r="J132" s="782"/>
      <c r="K132" s="782" t="s">
        <v>101</v>
      </c>
      <c r="L132" s="782"/>
      <c r="M132" s="782" t="s">
        <v>102</v>
      </c>
      <c r="N132" s="782"/>
      <c r="O132" s="782" t="s">
        <v>103</v>
      </c>
      <c r="P132" s="782"/>
      <c r="Q132" s="782" t="s">
        <v>104</v>
      </c>
      <c r="R132" s="782"/>
      <c r="S132" s="782" t="s">
        <v>105</v>
      </c>
      <c r="T132" s="782"/>
      <c r="U132" s="782"/>
      <c r="V132" s="782"/>
      <c r="W132" s="491" t="s">
        <v>106</v>
      </c>
      <c r="X132" s="331"/>
      <c r="Y132" s="30"/>
      <c r="Z132" s="30"/>
    </row>
    <row r="133" spans="1:26" ht="18" customHeight="1">
      <c r="A133" s="649" t="str">
        <f>'BBP FU1 - REB500 (3)'!A297</f>
        <v>T1</v>
      </c>
      <c r="B133" s="649" t="str">
        <f>'BBP FU1 - REB500 (3)'!B297</f>
        <v>Core5</v>
      </c>
      <c r="C133" s="623"/>
      <c r="D133" s="613">
        <f>'BBP FU1 - REB500 (3)'!D297</f>
        <v>2500</v>
      </c>
      <c r="E133" s="613"/>
      <c r="F133" s="613">
        <f>'BBP FU1 - REB500 (3)'!F297</f>
        <v>1</v>
      </c>
      <c r="G133" s="613">
        <f>'CT-VT Burdens'!S19</f>
        <v>80</v>
      </c>
      <c r="H133" s="630">
        <f>'CT-VT Burdens'!S10</f>
        <v>2.5</v>
      </c>
      <c r="I133" s="783" t="str">
        <f>'BBP FU1 - REB500 (3)'!I297</f>
        <v>PX-B</v>
      </c>
      <c r="J133" s="783"/>
      <c r="K133" s="612">
        <f>'BBP FU1 - REB500 (3)'!K297</f>
        <v>5</v>
      </c>
      <c r="L133" s="612"/>
      <c r="M133" s="612">
        <f>'BBP FU1 - REB500 (3)'!M297</f>
        <v>750</v>
      </c>
      <c r="N133" s="612"/>
      <c r="O133" s="812">
        <f>'BBP FU1 - REB500 (3)'!O297</f>
        <v>60</v>
      </c>
      <c r="P133" s="613"/>
      <c r="Q133" s="629" t="str">
        <f>'BBP FU1 - REB500 (3)'!Q297</f>
        <v>REB500 P743</v>
      </c>
      <c r="R133" s="629"/>
      <c r="S133" s="613" t="str">
        <f>'BBP FU1 - REB500 (3)'!S297</f>
        <v>Suitable Dimensions</v>
      </c>
      <c r="T133" s="613"/>
      <c r="U133" s="613"/>
      <c r="V133" s="613"/>
      <c r="W133" s="276">
        <f>'BBP FU1 - REB500 (3)'!M81</f>
        <v>62.993927423999999</v>
      </c>
      <c r="X133" s="275"/>
      <c r="Y133" s="30"/>
      <c r="Z133" s="30"/>
    </row>
    <row r="134" spans="1:26" ht="16.5" customHeight="1">
      <c r="A134" s="623"/>
      <c r="B134" s="623"/>
      <c r="C134" s="623"/>
      <c r="D134" s="786" t="s">
        <v>7</v>
      </c>
      <c r="E134" s="613"/>
      <c r="F134" s="613"/>
      <c r="G134" s="613"/>
      <c r="H134" s="630"/>
      <c r="I134" s="783"/>
      <c r="J134" s="783"/>
      <c r="K134" s="612">
        <f>'BBP FU1 - REB500 (3)'!K297</f>
        <v>5</v>
      </c>
      <c r="L134" s="612"/>
      <c r="M134" s="612">
        <f>'BBP FU1 - REB500 (3)'!M297</f>
        <v>750</v>
      </c>
      <c r="N134" s="612"/>
      <c r="O134" s="613">
        <f>'BBP FU1 - REB500 (3)'!O297</f>
        <v>60</v>
      </c>
      <c r="P134" s="613"/>
      <c r="Q134" s="629"/>
      <c r="R134" s="629"/>
      <c r="S134" s="613" t="str">
        <f>'BBP FU1 - REB500 (3)'!S298</f>
        <v>Suitably Dimentioned</v>
      </c>
      <c r="T134" s="613"/>
      <c r="U134" s="613"/>
      <c r="V134" s="613"/>
      <c r="W134" s="533">
        <f>'BBP FU1 - REB500 (3)'!H285</f>
        <v>131.03734880000002</v>
      </c>
      <c r="X134" s="275"/>
      <c r="Y134" s="30"/>
      <c r="Z134" s="30"/>
    </row>
    <row r="135" spans="1:26" ht="15.6" customHeight="1">
      <c r="A135" s="623"/>
      <c r="B135" s="623"/>
      <c r="C135" s="623"/>
      <c r="D135" s="787" t="s">
        <v>7</v>
      </c>
      <c r="E135" s="788"/>
      <c r="F135" s="613"/>
      <c r="G135" s="613"/>
      <c r="H135" s="630"/>
      <c r="I135" s="783"/>
      <c r="J135" s="783"/>
      <c r="K135" s="789">
        <f>'BBP FU1 - REB500'!K277</f>
        <v>0</v>
      </c>
      <c r="L135" s="790"/>
      <c r="M135" s="789">
        <f>'BBP FU1 - REB500'!M277</f>
        <v>0</v>
      </c>
      <c r="N135" s="790"/>
      <c r="O135" s="787">
        <f>'BBP FU1 - REB500'!O277</f>
        <v>0</v>
      </c>
      <c r="P135" s="788"/>
      <c r="Q135" s="629"/>
      <c r="R135" s="629"/>
      <c r="S135" s="787">
        <f>'BBP FU1 - REB500'!S277</f>
        <v>0</v>
      </c>
      <c r="T135" s="791"/>
      <c r="U135" s="791"/>
      <c r="V135" s="788"/>
      <c r="W135" s="533" t="s">
        <v>7</v>
      </c>
      <c r="X135" s="275"/>
      <c r="Y135" s="30"/>
      <c r="Z135" s="30"/>
    </row>
    <row r="136" spans="1:26" ht="15.6" customHeight="1">
      <c r="A136" s="347" t="s">
        <v>836</v>
      </c>
      <c r="B136" s="348"/>
      <c r="C136" s="348"/>
      <c r="D136" s="348"/>
      <c r="E136" s="348"/>
      <c r="F136" s="348"/>
      <c r="G136" s="348"/>
      <c r="H136" s="348"/>
      <c r="I136" s="348"/>
      <c r="J136" s="348"/>
      <c r="K136" s="348"/>
      <c r="L136" s="348"/>
      <c r="M136" s="348"/>
      <c r="N136" s="348"/>
      <c r="O136" s="348"/>
      <c r="P136" s="348"/>
      <c r="Q136" s="348"/>
      <c r="R136" s="348"/>
      <c r="S136" s="348"/>
      <c r="T136" s="348"/>
      <c r="U136" s="348"/>
      <c r="V136" s="348"/>
      <c r="W136" s="349"/>
      <c r="X136" s="350"/>
      <c r="Y136" s="30"/>
      <c r="Z136" s="30"/>
    </row>
    <row r="137" spans="1:26" ht="36" customHeight="1">
      <c r="A137" s="782" t="s">
        <v>97</v>
      </c>
      <c r="B137" s="782"/>
      <c r="C137" s="782"/>
      <c r="D137" s="782" t="s">
        <v>98</v>
      </c>
      <c r="E137" s="782"/>
      <c r="F137" s="782"/>
      <c r="G137" s="782" t="s">
        <v>99</v>
      </c>
      <c r="H137" s="782"/>
      <c r="I137" s="782" t="s">
        <v>100</v>
      </c>
      <c r="J137" s="782"/>
      <c r="K137" s="782" t="s">
        <v>101</v>
      </c>
      <c r="L137" s="782"/>
      <c r="M137" s="782" t="s">
        <v>112</v>
      </c>
      <c r="N137" s="782"/>
      <c r="O137" s="782" t="s">
        <v>103</v>
      </c>
      <c r="P137" s="782"/>
      <c r="Q137" s="782" t="s">
        <v>104</v>
      </c>
      <c r="R137" s="782"/>
      <c r="S137" s="782" t="s">
        <v>105</v>
      </c>
      <c r="T137" s="782"/>
      <c r="U137" s="782"/>
      <c r="V137" s="782"/>
      <c r="W137" s="491" t="s">
        <v>115</v>
      </c>
      <c r="X137" s="331"/>
      <c r="Y137" s="30"/>
      <c r="Z137" s="30"/>
    </row>
    <row r="138" spans="1:26" ht="18.75" customHeight="1">
      <c r="A138" s="649" t="str">
        <f>'COP MAIN'!A55</f>
        <v>T1</v>
      </c>
      <c r="B138" s="649" t="str">
        <f>'COP MAIN'!B55</f>
        <v>Core6</v>
      </c>
      <c r="C138" s="623"/>
      <c r="D138" s="613">
        <f>'COP MAIN'!D55</f>
        <v>2500</v>
      </c>
      <c r="E138" s="613"/>
      <c r="F138" s="613">
        <f>'COP MAIN'!F55</f>
        <v>1</v>
      </c>
      <c r="G138" s="613">
        <f>'CT-VT Burdens'!S19</f>
        <v>80</v>
      </c>
      <c r="H138" s="630">
        <f>'CT-VT Burdens'!S10</f>
        <v>2.5</v>
      </c>
      <c r="I138" s="783" t="str">
        <f>'COP MAIN'!I55</f>
        <v>0.2S</v>
      </c>
      <c r="J138" s="783"/>
      <c r="K138" s="612">
        <f>'COP MAIN'!K55</f>
        <v>5</v>
      </c>
      <c r="L138" s="612"/>
      <c r="M138" s="612">
        <f>'COP MAIN'!M55</f>
        <v>10</v>
      </c>
      <c r="N138" s="612"/>
      <c r="O138" s="786" t="s">
        <v>7</v>
      </c>
      <c r="P138" s="613"/>
      <c r="Q138" s="629" t="str">
        <f>'COP MAIN'!Q55</f>
        <v xml:space="preserve">XC-RACK   </v>
      </c>
      <c r="R138" s="629"/>
      <c r="S138" s="613" t="str">
        <f>'COP MAIN'!S55</f>
        <v>Suitable Dimensions</v>
      </c>
      <c r="T138" s="613"/>
      <c r="U138" s="613"/>
      <c r="V138" s="613"/>
      <c r="W138" s="276">
        <f>'COP MAIN'!J46</f>
        <v>11.628145957678782</v>
      </c>
      <c r="X138" s="275"/>
      <c r="Y138" s="30"/>
      <c r="Z138" s="30"/>
    </row>
    <row r="139" spans="1:26" ht="15" customHeight="1">
      <c r="A139" s="623"/>
      <c r="B139" s="623"/>
      <c r="C139" s="623"/>
      <c r="D139" s="786" t="s">
        <v>7</v>
      </c>
      <c r="E139" s="613"/>
      <c r="F139" s="613"/>
      <c r="G139" s="613"/>
      <c r="H139" s="630"/>
      <c r="I139" s="783"/>
      <c r="J139" s="783"/>
      <c r="K139" s="785" t="s">
        <v>7</v>
      </c>
      <c r="L139" s="612"/>
      <c r="M139" s="785" t="s">
        <v>7</v>
      </c>
      <c r="N139" s="612"/>
      <c r="O139" s="786" t="s">
        <v>7</v>
      </c>
      <c r="P139" s="613"/>
      <c r="Q139" s="629"/>
      <c r="R139" s="629"/>
      <c r="S139" s="786" t="s">
        <v>7</v>
      </c>
      <c r="T139" s="613"/>
      <c r="U139" s="613"/>
      <c r="V139" s="613"/>
      <c r="W139" s="533" t="s">
        <v>7</v>
      </c>
      <c r="X139" s="275"/>
      <c r="Y139" s="30"/>
      <c r="Z139" s="30"/>
    </row>
    <row r="140" spans="1:26" ht="15.6" customHeight="1">
      <c r="A140" s="804"/>
      <c r="B140" s="804"/>
      <c r="C140" s="804"/>
      <c r="D140" s="807" t="s">
        <v>7</v>
      </c>
      <c r="E140" s="808"/>
      <c r="F140" s="624"/>
      <c r="G140" s="624"/>
      <c r="H140" s="805"/>
      <c r="I140" s="631"/>
      <c r="J140" s="631"/>
      <c r="K140" s="809" t="s">
        <v>7</v>
      </c>
      <c r="L140" s="810"/>
      <c r="M140" s="809" t="s">
        <v>7</v>
      </c>
      <c r="N140" s="810"/>
      <c r="O140" s="807" t="s">
        <v>7</v>
      </c>
      <c r="P140" s="808"/>
      <c r="Q140" s="806"/>
      <c r="R140" s="806"/>
      <c r="S140" s="807" t="s">
        <v>7</v>
      </c>
      <c r="T140" s="811"/>
      <c r="U140" s="811"/>
      <c r="V140" s="808"/>
      <c r="W140" s="534" t="s">
        <v>7</v>
      </c>
      <c r="X140" s="481"/>
      <c r="Y140" s="30"/>
      <c r="Z140" s="30"/>
    </row>
    <row r="141" spans="1:26" ht="15.6" customHeight="1">
      <c r="A141" s="347" t="s">
        <v>835</v>
      </c>
      <c r="B141" s="348"/>
      <c r="C141" s="348"/>
      <c r="D141" s="348"/>
      <c r="E141" s="348"/>
      <c r="F141" s="348"/>
      <c r="G141" s="348"/>
      <c r="H141" s="348"/>
      <c r="I141" s="348"/>
      <c r="J141" s="348"/>
      <c r="K141" s="348"/>
      <c r="L141" s="348"/>
      <c r="M141" s="348"/>
      <c r="N141" s="348"/>
      <c r="O141" s="348"/>
      <c r="P141" s="348"/>
      <c r="Q141" s="348"/>
      <c r="R141" s="348"/>
      <c r="S141" s="348"/>
      <c r="T141" s="348"/>
      <c r="U141" s="348"/>
      <c r="V141" s="348"/>
      <c r="W141" s="349"/>
      <c r="X141" s="350"/>
      <c r="Y141" s="30"/>
      <c r="Z141" s="30"/>
    </row>
    <row r="142" spans="1:26" ht="28.2" customHeight="1">
      <c r="A142" s="782" t="s">
        <v>97</v>
      </c>
      <c r="B142" s="782"/>
      <c r="C142" s="782"/>
      <c r="D142" s="782" t="s">
        <v>98</v>
      </c>
      <c r="E142" s="782"/>
      <c r="F142" s="782"/>
      <c r="G142" s="782" t="s">
        <v>99</v>
      </c>
      <c r="H142" s="782"/>
      <c r="I142" s="782" t="s">
        <v>100</v>
      </c>
      <c r="J142" s="782"/>
      <c r="K142" s="782" t="s">
        <v>101</v>
      </c>
      <c r="L142" s="782"/>
      <c r="M142" s="782" t="s">
        <v>112</v>
      </c>
      <c r="N142" s="782"/>
      <c r="O142" s="782" t="s">
        <v>103</v>
      </c>
      <c r="P142" s="782"/>
      <c r="Q142" s="782" t="s">
        <v>104</v>
      </c>
      <c r="R142" s="782"/>
      <c r="S142" s="782" t="s">
        <v>105</v>
      </c>
      <c r="T142" s="782"/>
      <c r="U142" s="782"/>
      <c r="V142" s="782"/>
      <c r="W142" s="491" t="s">
        <v>115</v>
      </c>
      <c r="X142" s="331"/>
      <c r="Y142" s="30"/>
      <c r="Z142" s="30"/>
    </row>
    <row r="143" spans="1:26" ht="20.25" customHeight="1">
      <c r="A143" s="649" t="str">
        <f>'COP CHECK'!A55</f>
        <v>T1</v>
      </c>
      <c r="B143" s="649" t="str">
        <f>'COP CHECK'!B55</f>
        <v>Core7</v>
      </c>
      <c r="C143" s="623"/>
      <c r="D143" s="613">
        <f>'COP CHECK'!D55</f>
        <v>2000</v>
      </c>
      <c r="E143" s="613"/>
      <c r="F143" s="613">
        <f>'COP CHECK'!F55</f>
        <v>1</v>
      </c>
      <c r="G143" s="613">
        <f>'CT-VT Burdens'!S19</f>
        <v>80</v>
      </c>
      <c r="H143" s="630">
        <f>'CT-VT Burdens'!S10</f>
        <v>2.5</v>
      </c>
      <c r="I143" s="783" t="str">
        <f>'COP CHECK'!I55</f>
        <v>0.2S</v>
      </c>
      <c r="J143" s="783"/>
      <c r="K143" s="612">
        <f>'COP CHECK'!K55</f>
        <v>5</v>
      </c>
      <c r="L143" s="612"/>
      <c r="M143" s="612">
        <f>'COP CHECK'!M55</f>
        <v>10</v>
      </c>
      <c r="N143" s="612"/>
      <c r="O143" s="786" t="s">
        <v>7</v>
      </c>
      <c r="P143" s="613"/>
      <c r="Q143" s="629" t="str">
        <f>'COP CHECK'!Q55</f>
        <v xml:space="preserve">XC-RACK   </v>
      </c>
      <c r="R143" s="629"/>
      <c r="S143" s="613" t="str">
        <f>'COP CHECK'!S55</f>
        <v>Suitable Dimensions</v>
      </c>
      <c r="T143" s="613"/>
      <c r="U143" s="613"/>
      <c r="V143" s="613"/>
      <c r="W143" s="276">
        <f>'COP CHECK'!J45</f>
        <v>11.628145957678782</v>
      </c>
      <c r="X143" s="275"/>
      <c r="Y143" s="30"/>
      <c r="Z143" s="30"/>
    </row>
    <row r="144" spans="1:26" ht="17.25" customHeight="1">
      <c r="A144" s="623"/>
      <c r="B144" s="623"/>
      <c r="C144" s="623"/>
      <c r="D144" s="786" t="s">
        <v>7</v>
      </c>
      <c r="E144" s="613"/>
      <c r="F144" s="613"/>
      <c r="G144" s="613"/>
      <c r="H144" s="630"/>
      <c r="I144" s="783"/>
      <c r="J144" s="783"/>
      <c r="K144" s="785" t="s">
        <v>7</v>
      </c>
      <c r="L144" s="612"/>
      <c r="M144" s="785" t="s">
        <v>7</v>
      </c>
      <c r="N144" s="612"/>
      <c r="O144" s="786" t="s">
        <v>7</v>
      </c>
      <c r="P144" s="613"/>
      <c r="Q144" s="629"/>
      <c r="R144" s="629"/>
      <c r="S144" s="786" t="s">
        <v>7</v>
      </c>
      <c r="T144" s="613"/>
      <c r="U144" s="613"/>
      <c r="V144" s="613"/>
      <c r="W144" s="533" t="s">
        <v>7</v>
      </c>
      <c r="X144" s="275"/>
      <c r="Y144" s="30"/>
      <c r="Z144" s="30"/>
    </row>
    <row r="145" spans="1:26" ht="15.6" customHeight="1">
      <c r="A145" s="623"/>
      <c r="B145" s="623"/>
      <c r="C145" s="623"/>
      <c r="D145" s="787" t="s">
        <v>7</v>
      </c>
      <c r="E145" s="788"/>
      <c r="F145" s="613"/>
      <c r="G145" s="613"/>
      <c r="H145" s="630"/>
      <c r="I145" s="783"/>
      <c r="J145" s="783"/>
      <c r="K145" s="789" t="s">
        <v>7</v>
      </c>
      <c r="L145" s="790"/>
      <c r="M145" s="789" t="s">
        <v>7</v>
      </c>
      <c r="N145" s="790"/>
      <c r="O145" s="787" t="s">
        <v>7</v>
      </c>
      <c r="P145" s="788"/>
      <c r="Q145" s="629"/>
      <c r="R145" s="629"/>
      <c r="S145" s="787" t="s">
        <v>7</v>
      </c>
      <c r="T145" s="791"/>
      <c r="U145" s="791"/>
      <c r="V145" s="788"/>
      <c r="W145" s="533" t="s">
        <v>7</v>
      </c>
      <c r="X145" s="275"/>
      <c r="Y145" s="30"/>
      <c r="Z145" s="30"/>
    </row>
    <row r="146" spans="1:26" ht="15.6" customHeight="1">
      <c r="A146" s="347" t="s">
        <v>981</v>
      </c>
      <c r="B146" s="348"/>
      <c r="C146" s="348"/>
      <c r="D146" s="348"/>
      <c r="E146" s="348"/>
      <c r="F146" s="348"/>
      <c r="G146" s="348"/>
      <c r="H146" s="348"/>
      <c r="I146" s="348"/>
      <c r="J146" s="348"/>
      <c r="K146" s="348"/>
      <c r="L146" s="348"/>
      <c r="M146" s="348"/>
      <c r="N146" s="348"/>
      <c r="O146" s="348"/>
      <c r="P146" s="348"/>
      <c r="Q146" s="348"/>
      <c r="R146" s="348"/>
      <c r="S146" s="348"/>
      <c r="T146" s="348"/>
      <c r="U146" s="348"/>
      <c r="V146" s="348"/>
      <c r="W146" s="349"/>
      <c r="X146" s="350"/>
      <c r="Y146" s="30"/>
      <c r="Z146" s="30"/>
    </row>
    <row r="147" spans="1:26" ht="27.6" customHeight="1">
      <c r="A147" s="782" t="s">
        <v>97</v>
      </c>
      <c r="B147" s="782"/>
      <c r="C147" s="782"/>
      <c r="D147" s="782" t="s">
        <v>98</v>
      </c>
      <c r="E147" s="782"/>
      <c r="F147" s="782"/>
      <c r="G147" s="782" t="s">
        <v>99</v>
      </c>
      <c r="H147" s="782"/>
      <c r="I147" s="782" t="s">
        <v>100</v>
      </c>
      <c r="J147" s="782"/>
      <c r="K147" s="782" t="s">
        <v>101</v>
      </c>
      <c r="L147" s="782"/>
      <c r="M147" s="782" t="s">
        <v>123</v>
      </c>
      <c r="N147" s="782"/>
      <c r="O147" s="782" t="s">
        <v>103</v>
      </c>
      <c r="P147" s="782"/>
      <c r="Q147" s="782" t="s">
        <v>104</v>
      </c>
      <c r="R147" s="782"/>
      <c r="S147" s="782" t="s">
        <v>105</v>
      </c>
      <c r="T147" s="782"/>
      <c r="U147" s="782"/>
      <c r="V147" s="782"/>
      <c r="W147" s="491" t="s">
        <v>566</v>
      </c>
      <c r="X147" s="331"/>
      <c r="Y147" s="30"/>
      <c r="Z147" s="30"/>
    </row>
    <row r="148" spans="1:26" ht="15.6" customHeight="1">
      <c r="A148" s="649" t="str">
        <f>'GIB - REF650'!A91</f>
        <v>T1</v>
      </c>
      <c r="B148" s="649" t="s">
        <v>396</v>
      </c>
      <c r="C148" s="623"/>
      <c r="D148" s="613">
        <f>'GIB - REF650'!D91</f>
        <v>2500</v>
      </c>
      <c r="E148" s="613"/>
      <c r="F148" s="613">
        <f>'GIB - REF650'!F91</f>
        <v>1</v>
      </c>
      <c r="G148" s="613">
        <f>'CT-VT Burdens'!S19</f>
        <v>80</v>
      </c>
      <c r="H148" s="630">
        <f>'CT-VT Burdens'!S10</f>
        <v>2.5</v>
      </c>
      <c r="I148" s="783" t="str">
        <f>'GIB - REF650'!I91</f>
        <v>PX-B</v>
      </c>
      <c r="J148" s="783"/>
      <c r="K148" s="612">
        <f>'GIB - REF650'!K91</f>
        <v>5</v>
      </c>
      <c r="L148" s="612"/>
      <c r="M148" s="784">
        <f>'GIB - REF650'!G57</f>
        <v>16</v>
      </c>
      <c r="N148" s="612"/>
      <c r="O148" s="613">
        <f>'GIB - REF650'!O91</f>
        <v>60</v>
      </c>
      <c r="P148" s="613"/>
      <c r="Q148" s="629" t="str">
        <f>'GIB - REF650'!Q91</f>
        <v>REF650</v>
      </c>
      <c r="R148" s="629"/>
      <c r="S148" s="613" t="str">
        <f>'GIB - REF650'!S91</f>
        <v>Suitably Dimentioned</v>
      </c>
      <c r="T148" s="613"/>
      <c r="U148" s="613"/>
      <c r="V148" s="613"/>
      <c r="W148" s="276">
        <f>'GIB - REF650'!D57</f>
        <v>126.23808078653238</v>
      </c>
      <c r="X148" s="275"/>
      <c r="Y148" s="30"/>
      <c r="Z148" s="30"/>
    </row>
    <row r="149" spans="1:26" ht="15.6" customHeight="1">
      <c r="A149" s="623"/>
      <c r="B149" s="623"/>
      <c r="C149" s="623"/>
      <c r="D149" s="613" t="str">
        <f>'GIB - REF650'!D92</f>
        <v>-</v>
      </c>
      <c r="E149" s="613"/>
      <c r="F149" s="613"/>
      <c r="G149" s="613"/>
      <c r="H149" s="630"/>
      <c r="I149" s="783"/>
      <c r="J149" s="783"/>
      <c r="K149" s="785" t="s">
        <v>7</v>
      </c>
      <c r="L149" s="612"/>
      <c r="M149" s="785" t="s">
        <v>7</v>
      </c>
      <c r="N149" s="612"/>
      <c r="O149" s="786" t="s">
        <v>7</v>
      </c>
      <c r="P149" s="613"/>
      <c r="Q149" s="629"/>
      <c r="R149" s="629"/>
      <c r="S149" s="786" t="s">
        <v>7</v>
      </c>
      <c r="T149" s="613"/>
      <c r="U149" s="613"/>
      <c r="V149" s="613"/>
      <c r="W149" s="533" t="s">
        <v>7</v>
      </c>
      <c r="X149" s="275"/>
      <c r="Y149" s="30"/>
      <c r="Z149" s="30"/>
    </row>
    <row r="150" spans="1:26" ht="15.6" customHeight="1">
      <c r="A150" s="623"/>
      <c r="B150" s="623"/>
      <c r="C150" s="623"/>
      <c r="D150" s="787" t="s">
        <v>7</v>
      </c>
      <c r="E150" s="788"/>
      <c r="F150" s="613"/>
      <c r="G150" s="613"/>
      <c r="H150" s="630"/>
      <c r="I150" s="783"/>
      <c r="J150" s="783"/>
      <c r="K150" s="789" t="s">
        <v>7</v>
      </c>
      <c r="L150" s="790"/>
      <c r="M150" s="789" t="s">
        <v>7</v>
      </c>
      <c r="N150" s="790"/>
      <c r="O150" s="787" t="s">
        <v>7</v>
      </c>
      <c r="P150" s="788"/>
      <c r="Q150" s="629"/>
      <c r="R150" s="629"/>
      <c r="S150" s="787" t="s">
        <v>7</v>
      </c>
      <c r="T150" s="791"/>
      <c r="U150" s="791"/>
      <c r="V150" s="788"/>
      <c r="W150" s="533" t="s">
        <v>7</v>
      </c>
      <c r="X150" s="275"/>
      <c r="Y150" s="30"/>
      <c r="Z150" s="30"/>
    </row>
    <row r="151" spans="1:26" ht="15.6" customHeight="1">
      <c r="A151" s="28"/>
      <c r="B151" s="28"/>
      <c r="C151" s="28"/>
      <c r="D151" s="257"/>
      <c r="E151" s="257"/>
      <c r="F151" s="233"/>
      <c r="G151" s="233"/>
      <c r="H151" s="233"/>
      <c r="I151" s="234"/>
      <c r="J151" s="234"/>
      <c r="K151" s="493"/>
      <c r="L151" s="493"/>
      <c r="M151" s="493"/>
      <c r="N151" s="493"/>
      <c r="O151" s="257"/>
      <c r="P151" s="257"/>
      <c r="Q151" s="492"/>
      <c r="R151" s="492"/>
      <c r="S151" s="257"/>
      <c r="T151" s="257"/>
      <c r="U151" s="257"/>
      <c r="V151" s="257"/>
      <c r="W151" s="265"/>
      <c r="X151" s="233"/>
      <c r="Y151" s="30"/>
      <c r="Z151" s="30"/>
    </row>
    <row r="152" spans="1:26" ht="15.6" customHeight="1">
      <c r="A152" s="337"/>
      <c r="B152" s="28"/>
      <c r="C152" s="28"/>
      <c r="D152" s="257"/>
      <c r="E152" s="257"/>
      <c r="F152" s="233"/>
      <c r="G152" s="233"/>
      <c r="H152" s="233"/>
      <c r="I152" s="234"/>
      <c r="J152" s="234"/>
      <c r="K152" s="493"/>
      <c r="L152" s="493"/>
      <c r="M152" s="493"/>
      <c r="N152" s="493"/>
      <c r="O152" s="257"/>
      <c r="P152" s="257"/>
      <c r="Q152" s="492"/>
      <c r="R152" s="492"/>
      <c r="S152" s="257"/>
      <c r="T152" s="257"/>
      <c r="U152" s="257"/>
      <c r="V152" s="257"/>
      <c r="W152" s="265"/>
      <c r="X152" s="338"/>
      <c r="Y152" s="30"/>
      <c r="Z152" s="30"/>
    </row>
    <row r="153" spans="1:26" ht="16.95" customHeight="1">
      <c r="A153" s="351" t="s">
        <v>955</v>
      </c>
      <c r="B153" s="352"/>
      <c r="C153" s="352"/>
      <c r="D153" s="352"/>
      <c r="E153" s="352"/>
      <c r="F153" s="352"/>
      <c r="G153" s="352"/>
      <c r="H153" s="352"/>
      <c r="I153" s="352"/>
      <c r="J153" s="352"/>
      <c r="K153" s="352"/>
      <c r="L153" s="352"/>
      <c r="M153" s="352"/>
      <c r="N153" s="352"/>
      <c r="O153" s="352"/>
      <c r="P153" s="352"/>
      <c r="Q153" s="352"/>
      <c r="R153" s="352"/>
      <c r="S153" s="352"/>
      <c r="T153" s="352"/>
      <c r="U153" s="352"/>
      <c r="V153" s="352"/>
      <c r="W153" s="353"/>
      <c r="X153" s="354"/>
      <c r="Y153" s="30"/>
      <c r="Z153" s="30"/>
    </row>
    <row r="154" spans="1:26" ht="15" customHeight="1">
      <c r="A154" s="347" t="s">
        <v>832</v>
      </c>
      <c r="B154" s="348"/>
      <c r="C154" s="348"/>
      <c r="D154" s="348"/>
      <c r="E154" s="348"/>
      <c r="F154" s="348"/>
      <c r="G154" s="348"/>
      <c r="H154" s="348"/>
      <c r="I154" s="348"/>
      <c r="J154" s="348"/>
      <c r="K154" s="348"/>
      <c r="L154" s="348"/>
      <c r="M154" s="348"/>
      <c r="N154" s="348"/>
      <c r="O154" s="348"/>
      <c r="P154" s="348"/>
      <c r="Q154" s="348"/>
      <c r="R154" s="348"/>
      <c r="S154" s="348"/>
      <c r="T154" s="348"/>
      <c r="U154" s="348"/>
      <c r="V154" s="348"/>
      <c r="W154" s="849"/>
      <c r="X154" s="850"/>
      <c r="Y154" s="30"/>
      <c r="Z154" s="30"/>
    </row>
    <row r="155" spans="1:26" ht="27.6" customHeight="1">
      <c r="A155" s="782" t="s">
        <v>97</v>
      </c>
      <c r="B155" s="782"/>
      <c r="C155" s="612"/>
      <c r="D155" s="782" t="s">
        <v>98</v>
      </c>
      <c r="E155" s="782"/>
      <c r="F155" s="782"/>
      <c r="G155" s="782" t="s">
        <v>99</v>
      </c>
      <c r="H155" s="782"/>
      <c r="I155" s="782" t="s">
        <v>100</v>
      </c>
      <c r="J155" s="782"/>
      <c r="K155" s="614" t="s">
        <v>101</v>
      </c>
      <c r="L155" s="615"/>
      <c r="M155" s="782" t="s">
        <v>102</v>
      </c>
      <c r="N155" s="782"/>
      <c r="O155" s="782" t="s">
        <v>103</v>
      </c>
      <c r="P155" s="782"/>
      <c r="Q155" s="614" t="s">
        <v>104</v>
      </c>
      <c r="R155" s="615"/>
      <c r="S155" s="614" t="s">
        <v>105</v>
      </c>
      <c r="T155" s="620"/>
      <c r="U155" s="620"/>
      <c r="V155" s="620"/>
      <c r="W155" s="491" t="s">
        <v>106</v>
      </c>
      <c r="X155" s="331"/>
      <c r="Y155" s="30"/>
      <c r="Z155" s="30"/>
    </row>
    <row r="156" spans="1:26" ht="24.75" customHeight="1">
      <c r="A156" s="623" t="str">
        <f>'IFP1-RED670 (2)'!A431</f>
        <v>T1</v>
      </c>
      <c r="B156" s="623" t="str">
        <f>'IFP1-RED670 (2)'!B431</f>
        <v>Core1</v>
      </c>
      <c r="C156" s="623"/>
      <c r="D156" s="613">
        <f>'IFP1-RED670 (2)'!D431</f>
        <v>2500</v>
      </c>
      <c r="E156" s="613"/>
      <c r="F156" s="624">
        <f>'IFP1-RED670 (2)'!F431</f>
        <v>1</v>
      </c>
      <c r="G156" s="613">
        <f>'CT-VT Burdens'!S19</f>
        <v>80</v>
      </c>
      <c r="H156" s="630">
        <f>'CT-VT Burdens'!S10</f>
        <v>2.5</v>
      </c>
      <c r="I156" s="813" t="str">
        <f>'IFP1-RED670 (2)'!I431</f>
        <v>PX-A</v>
      </c>
      <c r="J156" s="845"/>
      <c r="K156" s="612">
        <f>'IFP1-RED670 (2)'!K431</f>
        <v>5</v>
      </c>
      <c r="L156" s="612"/>
      <c r="M156" s="612">
        <f>'IFP1-RED670 (2)'!M431</f>
        <v>3750</v>
      </c>
      <c r="N156" s="612"/>
      <c r="O156" s="613">
        <f>'IFP1-RED670 (2)'!O431</f>
        <v>60</v>
      </c>
      <c r="P156" s="613"/>
      <c r="Q156" s="629" t="str">
        <f>'IFP1-RED670 (2)'!Q431</f>
        <v>RED670</v>
      </c>
      <c r="R156" s="629"/>
      <c r="S156" s="820" t="str">
        <f>'IFP1-RED670 (2)'!S431</f>
        <v>Suitably Dimensioned</v>
      </c>
      <c r="T156" s="821"/>
      <c r="U156" s="821"/>
      <c r="V156" s="821"/>
      <c r="W156" s="357">
        <f>'IFP1-RED670 (2)'!H122</f>
        <v>148.22100407938692</v>
      </c>
      <c r="X156" s="300"/>
      <c r="Y156" s="30"/>
      <c r="Z156" s="30"/>
    </row>
    <row r="157" spans="1:26" ht="15.6" customHeight="1">
      <c r="A157" s="623"/>
      <c r="B157" s="623"/>
      <c r="C157" s="623"/>
      <c r="D157" s="613" t="str">
        <f>'OC+BCPU+FMS-X (4)'!D287</f>
        <v>-</v>
      </c>
      <c r="E157" s="613"/>
      <c r="F157" s="625"/>
      <c r="G157" s="613"/>
      <c r="H157" s="630"/>
      <c r="I157" s="846"/>
      <c r="J157" s="847"/>
      <c r="K157" s="612" t="str">
        <f>'OC+BCPU+FMS-X (4)'!K287</f>
        <v>-</v>
      </c>
      <c r="L157" s="612"/>
      <c r="M157" s="612" t="str">
        <f>'OC+BCPU+FMS-X (4)'!M287</f>
        <v>-</v>
      </c>
      <c r="N157" s="612"/>
      <c r="O157" s="613" t="str">
        <f>'OC+BCPU+FMS-X (4)'!O287</f>
        <v>-</v>
      </c>
      <c r="P157" s="613"/>
      <c r="Q157" s="629"/>
      <c r="R157" s="629"/>
      <c r="S157" s="820" t="str">
        <f>'OC+BCPU+FMS-X (4)'!S287</f>
        <v>-</v>
      </c>
      <c r="T157" s="821"/>
      <c r="U157" s="821"/>
      <c r="V157" s="822"/>
      <c r="W157" s="499" t="s">
        <v>7</v>
      </c>
      <c r="X157" s="300"/>
      <c r="Y157" s="30"/>
      <c r="Z157" s="30"/>
    </row>
    <row r="158" spans="1:26" ht="12.75" customHeight="1">
      <c r="A158" s="623"/>
      <c r="B158" s="623"/>
      <c r="C158" s="623"/>
      <c r="D158" s="613" t="str">
        <f>'OC+BCPU+FMS-X (4)'!D288</f>
        <v>-</v>
      </c>
      <c r="E158" s="613"/>
      <c r="F158" s="626"/>
      <c r="G158" s="613"/>
      <c r="H158" s="630"/>
      <c r="I158" s="827"/>
      <c r="J158" s="828"/>
      <c r="K158" s="612" t="str">
        <f>'OC+BCPU+FMS-X (4)'!K288</f>
        <v>-</v>
      </c>
      <c r="L158" s="612"/>
      <c r="M158" s="612" t="str">
        <f>'OC+BCPU+FMS-X (4)'!M288</f>
        <v>-</v>
      </c>
      <c r="N158" s="612"/>
      <c r="O158" s="613" t="str">
        <f>'OC+BCPU+FMS-X (4)'!O288</f>
        <v>-</v>
      </c>
      <c r="P158" s="613"/>
      <c r="Q158" s="629"/>
      <c r="R158" s="629"/>
      <c r="S158" s="820" t="str">
        <f>'OC+BCPU+FMS-X (4)'!S288</f>
        <v>-</v>
      </c>
      <c r="T158" s="821"/>
      <c r="U158" s="821"/>
      <c r="V158" s="822"/>
      <c r="W158" s="487" t="s">
        <v>7</v>
      </c>
      <c r="X158" s="275"/>
      <c r="Y158" s="30"/>
      <c r="Z158" s="30"/>
    </row>
    <row r="159" spans="1:26" ht="15.6" customHeight="1">
      <c r="A159" s="530" t="s">
        <v>833</v>
      </c>
      <c r="B159" s="531"/>
      <c r="C159" s="531"/>
      <c r="D159" s="531"/>
      <c r="E159" s="531"/>
      <c r="F159" s="531"/>
      <c r="G159" s="531"/>
      <c r="H159" s="531"/>
      <c r="I159" s="531"/>
      <c r="J159" s="531"/>
      <c r="K159" s="531"/>
      <c r="L159" s="531"/>
      <c r="M159" s="531"/>
      <c r="N159" s="531"/>
      <c r="O159" s="531"/>
      <c r="P159" s="531"/>
      <c r="Q159" s="531"/>
      <c r="R159" s="531"/>
      <c r="S159" s="531"/>
      <c r="T159" s="531"/>
      <c r="U159" s="531"/>
      <c r="V159" s="531"/>
      <c r="W159" s="866"/>
      <c r="X159" s="867"/>
      <c r="Y159" s="30"/>
      <c r="Z159" s="30"/>
    </row>
    <row r="160" spans="1:26" ht="27.6" customHeight="1">
      <c r="A160" s="782" t="s">
        <v>97</v>
      </c>
      <c r="B160" s="782"/>
      <c r="C160" s="612"/>
      <c r="D160" s="782" t="s">
        <v>98</v>
      </c>
      <c r="E160" s="782"/>
      <c r="F160" s="782"/>
      <c r="G160" s="782" t="s">
        <v>99</v>
      </c>
      <c r="H160" s="782"/>
      <c r="I160" s="782" t="s">
        <v>100</v>
      </c>
      <c r="J160" s="782"/>
      <c r="K160" s="614" t="s">
        <v>101</v>
      </c>
      <c r="L160" s="615"/>
      <c r="M160" s="782" t="s">
        <v>102</v>
      </c>
      <c r="N160" s="782"/>
      <c r="O160" s="782" t="s">
        <v>103</v>
      </c>
      <c r="P160" s="782"/>
      <c r="Q160" s="614" t="s">
        <v>104</v>
      </c>
      <c r="R160" s="615"/>
      <c r="S160" s="614" t="s">
        <v>105</v>
      </c>
      <c r="T160" s="620"/>
      <c r="U160" s="620"/>
      <c r="V160" s="620"/>
      <c r="W160" s="331" t="s">
        <v>106</v>
      </c>
      <c r="X160" s="331"/>
      <c r="Y160" s="30"/>
      <c r="Z160" s="30"/>
    </row>
    <row r="161" spans="1:26" ht="18" customHeight="1">
      <c r="A161" s="623" t="str">
        <f>'IFP2 P545 (4)'!A385</f>
        <v>T1</v>
      </c>
      <c r="B161" s="623" t="str">
        <f>'(Metering + Ammeter) (3)'!B144</f>
        <v>Core2</v>
      </c>
      <c r="C161" s="623"/>
      <c r="D161" s="613">
        <f>'(Metering + Ammeter) (3)'!D144</f>
        <v>2500</v>
      </c>
      <c r="E161" s="613"/>
      <c r="F161" s="624">
        <f>'(Metering + Ammeter) (3)'!F144</f>
        <v>1</v>
      </c>
      <c r="G161" s="613">
        <f>'CT-VT Burdens'!S19</f>
        <v>80</v>
      </c>
      <c r="H161" s="630">
        <f>'CT-VT Burdens'!S10</f>
        <v>2.5</v>
      </c>
      <c r="I161" s="813" t="str">
        <f>'IFP2 P545 (4)'!I385</f>
        <v>PX-A</v>
      </c>
      <c r="J161" s="845"/>
      <c r="K161" s="612">
        <f>'IFP2 P545 (4)'!K385</f>
        <v>5</v>
      </c>
      <c r="L161" s="612"/>
      <c r="M161" s="612">
        <f>'IFP2 P545 (4)'!M385</f>
        <v>3750</v>
      </c>
      <c r="N161" s="612"/>
      <c r="O161" s="613">
        <f>'IFP2 P545 (4)'!O385</f>
        <v>60</v>
      </c>
      <c r="P161" s="613"/>
      <c r="Q161" s="629" t="str">
        <f>'IFP2 P545 (4)'!Q385</f>
        <v>P545</v>
      </c>
      <c r="R161" s="629"/>
      <c r="S161" s="820" t="str">
        <f>'IFP2 P545 (4)'!S385</f>
        <v>Suitably Dimensioned</v>
      </c>
      <c r="T161" s="821"/>
      <c r="U161" s="821"/>
      <c r="V161" s="822"/>
      <c r="W161" s="276">
        <f>'IFP2 P545 (4)'!G92</f>
        <v>620.33927424000001</v>
      </c>
      <c r="X161" s="300"/>
      <c r="Y161" s="30"/>
      <c r="Z161" s="30"/>
    </row>
    <row r="162" spans="1:26" ht="21" customHeight="1">
      <c r="A162" s="623"/>
      <c r="B162" s="623"/>
      <c r="C162" s="623"/>
      <c r="D162" s="613" t="str">
        <f>'(Metering + Ammeter) (3)'!D145</f>
        <v>-</v>
      </c>
      <c r="E162" s="613"/>
      <c r="F162" s="625"/>
      <c r="G162" s="613"/>
      <c r="H162" s="630"/>
      <c r="I162" s="846"/>
      <c r="J162" s="847"/>
      <c r="K162" s="612" t="str">
        <f>'(Metering + Ammeter) (3)'!K145</f>
        <v>-</v>
      </c>
      <c r="L162" s="612"/>
      <c r="M162" s="612" t="str">
        <f>'(Metering + Ammeter) (3)'!M145</f>
        <v>-</v>
      </c>
      <c r="N162" s="612"/>
      <c r="O162" s="613" t="str">
        <f>'(Metering + Ammeter) (3)'!O145</f>
        <v>-</v>
      </c>
      <c r="P162" s="613"/>
      <c r="Q162" s="629"/>
      <c r="R162" s="629"/>
      <c r="S162" s="820" t="str">
        <f>'(Metering + Ammeter) (3)'!S145</f>
        <v>-</v>
      </c>
      <c r="T162" s="821"/>
      <c r="U162" s="821"/>
      <c r="V162" s="822"/>
      <c r="W162" s="499" t="s">
        <v>7</v>
      </c>
      <c r="X162" s="300"/>
      <c r="Y162" s="30"/>
      <c r="Z162" s="30"/>
    </row>
    <row r="163" spans="1:26" ht="15.6" customHeight="1">
      <c r="A163" s="623"/>
      <c r="B163" s="623"/>
      <c r="C163" s="623"/>
      <c r="D163" s="613" t="str">
        <f>'(Metering + Ammeter) (3)'!D146</f>
        <v>-</v>
      </c>
      <c r="E163" s="613"/>
      <c r="F163" s="626"/>
      <c r="G163" s="613"/>
      <c r="H163" s="630"/>
      <c r="I163" s="827"/>
      <c r="J163" s="828"/>
      <c r="K163" s="612" t="str">
        <f>'(Metering + Ammeter) (3)'!K146</f>
        <v>-</v>
      </c>
      <c r="L163" s="612"/>
      <c r="M163" s="612" t="str">
        <f>'(Metering + Ammeter) (3)'!M146</f>
        <v>-</v>
      </c>
      <c r="N163" s="612"/>
      <c r="O163" s="613" t="str">
        <f>'(Metering + Ammeter) (3)'!O146</f>
        <v>-</v>
      </c>
      <c r="P163" s="613"/>
      <c r="Q163" s="629"/>
      <c r="R163" s="629"/>
      <c r="S163" s="820" t="str">
        <f>'(Metering + Ammeter) (3)'!S146</f>
        <v>-</v>
      </c>
      <c r="T163" s="821"/>
      <c r="U163" s="821"/>
      <c r="V163" s="822"/>
      <c r="W163" s="275"/>
      <c r="X163" s="275"/>
      <c r="Y163" s="30"/>
      <c r="Z163" s="30"/>
    </row>
    <row r="164" spans="1:26" ht="15.6" customHeight="1">
      <c r="A164" s="347" t="s">
        <v>834</v>
      </c>
      <c r="B164" s="348"/>
      <c r="C164" s="348"/>
      <c r="D164" s="348"/>
      <c r="E164" s="348"/>
      <c r="F164" s="348"/>
      <c r="G164" s="348"/>
      <c r="H164" s="348"/>
      <c r="I164" s="348"/>
      <c r="J164" s="348"/>
      <c r="K164" s="348"/>
      <c r="L164" s="348"/>
      <c r="M164" s="348"/>
      <c r="N164" s="348"/>
      <c r="O164" s="348"/>
      <c r="P164" s="348"/>
      <c r="Q164" s="348"/>
      <c r="R164" s="348"/>
      <c r="S164" s="348"/>
      <c r="T164" s="348"/>
      <c r="U164" s="348"/>
      <c r="V164" s="348"/>
      <c r="W164" s="349"/>
      <c r="X164" s="350"/>
      <c r="Y164" s="30"/>
      <c r="Z164" s="30"/>
    </row>
    <row r="165" spans="1:26" ht="30" customHeight="1">
      <c r="A165" s="614" t="s">
        <v>97</v>
      </c>
      <c r="B165" s="620"/>
      <c r="C165" s="615"/>
      <c r="D165" s="614" t="s">
        <v>98</v>
      </c>
      <c r="E165" s="620"/>
      <c r="F165" s="615"/>
      <c r="G165" s="614" t="s">
        <v>99</v>
      </c>
      <c r="H165" s="615"/>
      <c r="I165" s="614" t="s">
        <v>100</v>
      </c>
      <c r="J165" s="615"/>
      <c r="K165" s="614" t="s">
        <v>101</v>
      </c>
      <c r="L165" s="615"/>
      <c r="M165" s="614" t="s">
        <v>123</v>
      </c>
      <c r="N165" s="615"/>
      <c r="O165" s="614" t="s">
        <v>103</v>
      </c>
      <c r="P165" s="615"/>
      <c r="Q165" s="614" t="s">
        <v>104</v>
      </c>
      <c r="R165" s="615"/>
      <c r="S165" s="782" t="s">
        <v>105</v>
      </c>
      <c r="T165" s="782"/>
      <c r="U165" s="782"/>
      <c r="V165" s="782"/>
      <c r="W165" s="331" t="s">
        <v>947</v>
      </c>
      <c r="X165" s="498"/>
      <c r="Y165" s="30"/>
      <c r="Z165" s="30"/>
    </row>
    <row r="166" spans="1:26" ht="21" customHeight="1">
      <c r="A166" s="623" t="str">
        <f>'BUP BCU(4)'!A265</f>
        <v>T1</v>
      </c>
      <c r="B166" s="623" t="str">
        <f>'BUP BCU(4)'!B265</f>
        <v>Core3</v>
      </c>
      <c r="C166" s="623"/>
      <c r="D166" s="613">
        <f>'BUP BCU(4)'!D265</f>
        <v>2500</v>
      </c>
      <c r="E166" s="613"/>
      <c r="F166" s="613">
        <f>'BUP BCU(4)'!F265</f>
        <v>1</v>
      </c>
      <c r="G166" s="627">
        <f>'CT-VT Burdens'!S19</f>
        <v>80</v>
      </c>
      <c r="H166" s="630">
        <f>'CT-VT Burdens'!S10</f>
        <v>2.5</v>
      </c>
      <c r="I166" s="783" t="str">
        <f>'BUP BCU(4)'!I265</f>
        <v>5P20</v>
      </c>
      <c r="J166" s="783"/>
      <c r="K166" s="612">
        <f>'BUP BCU(4)'!K265</f>
        <v>5</v>
      </c>
      <c r="L166" s="612"/>
      <c r="M166" s="784">
        <f>'BUP BCU(4)'!G56</f>
        <v>16</v>
      </c>
      <c r="N166" s="612"/>
      <c r="O166" s="786" t="s">
        <v>7</v>
      </c>
      <c r="P166" s="613"/>
      <c r="Q166" s="629" t="str">
        <f>'BUP BCU(4)'!Q265</f>
        <v>REF650 REC670 IDM+9</v>
      </c>
      <c r="R166" s="629"/>
      <c r="S166" s="613" t="str">
        <f>'BUP BCU(4)'!S265</f>
        <v>Suitably Dimentioned</v>
      </c>
      <c r="T166" s="613"/>
      <c r="U166" s="613"/>
      <c r="V166" s="613"/>
      <c r="W166" s="276">
        <f>'BUP BCU(4)'!D56</f>
        <v>107.03580866464779</v>
      </c>
      <c r="X166" s="276"/>
      <c r="Y166" s="30"/>
      <c r="Z166" s="30"/>
    </row>
    <row r="167" spans="1:26" ht="15" customHeight="1">
      <c r="A167" s="623"/>
      <c r="B167" s="623"/>
      <c r="C167" s="623"/>
      <c r="D167" s="613" t="str">
        <f>'BUP BCU(4)'!D266</f>
        <v>-</v>
      </c>
      <c r="E167" s="613"/>
      <c r="F167" s="613"/>
      <c r="G167" s="627"/>
      <c r="H167" s="630"/>
      <c r="I167" s="783"/>
      <c r="J167" s="783"/>
      <c r="K167" s="785" t="s">
        <v>7</v>
      </c>
      <c r="L167" s="612"/>
      <c r="M167" s="785" t="s">
        <v>7</v>
      </c>
      <c r="N167" s="612"/>
      <c r="O167" s="786" t="s">
        <v>7</v>
      </c>
      <c r="P167" s="613"/>
      <c r="Q167" s="629"/>
      <c r="R167" s="629"/>
      <c r="S167" s="786" t="s">
        <v>7</v>
      </c>
      <c r="T167" s="613"/>
      <c r="U167" s="613"/>
      <c r="V167" s="613"/>
      <c r="W167" s="499" t="s">
        <v>7</v>
      </c>
      <c r="X167" s="276"/>
      <c r="Y167" s="30"/>
      <c r="Z167" s="30"/>
    </row>
    <row r="168" spans="1:26" ht="15.6" customHeight="1">
      <c r="A168" s="623"/>
      <c r="B168" s="623"/>
      <c r="C168" s="623"/>
      <c r="D168" s="613" t="str">
        <f>'BUP BCU(4)'!D267</f>
        <v>-</v>
      </c>
      <c r="E168" s="613"/>
      <c r="F168" s="613"/>
      <c r="G168" s="627"/>
      <c r="H168" s="630"/>
      <c r="I168" s="783"/>
      <c r="J168" s="783"/>
      <c r="K168" s="785" t="s">
        <v>7</v>
      </c>
      <c r="L168" s="612"/>
      <c r="M168" s="785" t="s">
        <v>7</v>
      </c>
      <c r="N168" s="612"/>
      <c r="O168" s="786" t="s">
        <v>7</v>
      </c>
      <c r="P168" s="613"/>
      <c r="Q168" s="629"/>
      <c r="R168" s="629"/>
      <c r="S168" s="786" t="s">
        <v>7</v>
      </c>
      <c r="T168" s="613"/>
      <c r="U168" s="613"/>
      <c r="V168" s="613"/>
      <c r="W168" s="487" t="s">
        <v>7</v>
      </c>
      <c r="X168" s="275"/>
      <c r="Y168" s="30"/>
      <c r="Z168" s="30"/>
    </row>
    <row r="169" spans="1:26" ht="16.95" customHeight="1">
      <c r="A169" s="347" t="s">
        <v>827</v>
      </c>
      <c r="B169" s="348"/>
      <c r="C169" s="348"/>
      <c r="D169" s="348"/>
      <c r="E169" s="348"/>
      <c r="F169" s="348"/>
      <c r="G169" s="348"/>
      <c r="H169" s="348"/>
      <c r="I169" s="348"/>
      <c r="J169" s="348"/>
      <c r="K169" s="348"/>
      <c r="L169" s="348"/>
      <c r="M169" s="348"/>
      <c r="N169" s="348"/>
      <c r="O169" s="348"/>
      <c r="P169" s="348"/>
      <c r="Q169" s="348"/>
      <c r="R169" s="348"/>
      <c r="S169" s="348"/>
      <c r="T169" s="348"/>
      <c r="U169" s="348"/>
      <c r="V169" s="348"/>
      <c r="W169" s="349"/>
      <c r="X169" s="350"/>
      <c r="Y169" s="30"/>
      <c r="Z169" s="30"/>
    </row>
    <row r="170" spans="1:26" ht="32.25" customHeight="1">
      <c r="A170" s="782" t="s">
        <v>97</v>
      </c>
      <c r="B170" s="782"/>
      <c r="C170" s="782"/>
      <c r="D170" s="782" t="s">
        <v>98</v>
      </c>
      <c r="E170" s="782"/>
      <c r="F170" s="782"/>
      <c r="G170" s="782" t="s">
        <v>99</v>
      </c>
      <c r="H170" s="782"/>
      <c r="I170" s="782" t="s">
        <v>100</v>
      </c>
      <c r="J170" s="782"/>
      <c r="K170" s="782" t="s">
        <v>101</v>
      </c>
      <c r="L170" s="782"/>
      <c r="M170" s="782" t="s">
        <v>102</v>
      </c>
      <c r="N170" s="782"/>
      <c r="O170" s="782" t="s">
        <v>103</v>
      </c>
      <c r="P170" s="782"/>
      <c r="Q170" s="782" t="s">
        <v>104</v>
      </c>
      <c r="R170" s="782"/>
      <c r="S170" s="782" t="s">
        <v>105</v>
      </c>
      <c r="T170" s="782"/>
      <c r="U170" s="782"/>
      <c r="V170" s="782"/>
      <c r="W170" s="498" t="s">
        <v>106</v>
      </c>
      <c r="X170" s="498"/>
      <c r="Y170" s="30"/>
      <c r="Z170" s="30"/>
    </row>
    <row r="171" spans="1:26" ht="18" customHeight="1">
      <c r="A171" s="623" t="str">
        <f>'BBP FU1 - REB500 (4)'!A264</f>
        <v>T1</v>
      </c>
      <c r="B171" s="623" t="str">
        <f>'BBP FU1 - REB500 (4)'!B264</f>
        <v>Core4</v>
      </c>
      <c r="C171" s="623"/>
      <c r="D171" s="613">
        <f>'BBP FU1 - REB500 (4)'!D264</f>
        <v>2500</v>
      </c>
      <c r="E171" s="613"/>
      <c r="F171" s="613">
        <f>'BBP FU1 - REB500 (4)'!F264</f>
        <v>1</v>
      </c>
      <c r="G171" s="613">
        <f>'CT-VT Burdens'!S19</f>
        <v>80</v>
      </c>
      <c r="H171" s="783">
        <f>'CT-VT Burdens'!S10</f>
        <v>2.5</v>
      </c>
      <c r="I171" s="783" t="str">
        <f>'BBP FU1 - REB500 (4)'!I264</f>
        <v>PX-B</v>
      </c>
      <c r="J171" s="783"/>
      <c r="K171" s="612">
        <f>'BBP FU1 - REB500 (4)'!K264</f>
        <v>5</v>
      </c>
      <c r="L171" s="612"/>
      <c r="M171" s="612">
        <f>'BBP FU1 - REB500 (4)'!M264</f>
        <v>750</v>
      </c>
      <c r="N171" s="612"/>
      <c r="O171" s="613">
        <f>'BBP FU1 - REB500 (4)'!O264</f>
        <v>60</v>
      </c>
      <c r="P171" s="613"/>
      <c r="Q171" s="629" t="str">
        <f>'BBP FU1 - REB500 (4)'!Q264</f>
        <v>REB500</v>
      </c>
      <c r="R171" s="629"/>
      <c r="S171" s="613" t="str">
        <f>'BBP FU1 - REB500 (4)'!S264</f>
        <v>Suitable Dimensions</v>
      </c>
      <c r="T171" s="613"/>
      <c r="U171" s="613"/>
      <c r="V171" s="613"/>
      <c r="W171" s="276">
        <f>'BBP FU1 - REB500 (4)'!M82</f>
        <v>62.033927424000005</v>
      </c>
      <c r="X171" s="276"/>
      <c r="Y171" s="30"/>
      <c r="Z171" s="30"/>
    </row>
    <row r="172" spans="1:26" ht="15.75" customHeight="1">
      <c r="A172" s="623"/>
      <c r="B172" s="623"/>
      <c r="C172" s="623"/>
      <c r="D172" s="786" t="s">
        <v>7</v>
      </c>
      <c r="E172" s="613"/>
      <c r="F172" s="613"/>
      <c r="G172" s="613"/>
      <c r="H172" s="613"/>
      <c r="I172" s="783"/>
      <c r="J172" s="783"/>
      <c r="K172" s="785" t="s">
        <v>7</v>
      </c>
      <c r="L172" s="612"/>
      <c r="M172" s="785" t="s">
        <v>7</v>
      </c>
      <c r="N172" s="612"/>
      <c r="O172" s="786" t="s">
        <v>7</v>
      </c>
      <c r="P172" s="613"/>
      <c r="Q172" s="629"/>
      <c r="R172" s="629"/>
      <c r="S172" s="786" t="s">
        <v>7</v>
      </c>
      <c r="T172" s="613"/>
      <c r="U172" s="613"/>
      <c r="V172" s="613"/>
      <c r="W172" s="499" t="s">
        <v>7</v>
      </c>
      <c r="X172" s="276"/>
      <c r="Y172" s="30"/>
      <c r="Z172" s="30"/>
    </row>
    <row r="173" spans="1:26" ht="15.6" customHeight="1">
      <c r="A173" s="623"/>
      <c r="B173" s="623"/>
      <c r="C173" s="623"/>
      <c r="D173" s="786" t="s">
        <v>7</v>
      </c>
      <c r="E173" s="613"/>
      <c r="F173" s="613"/>
      <c r="G173" s="613"/>
      <c r="H173" s="613"/>
      <c r="I173" s="783"/>
      <c r="J173" s="783"/>
      <c r="K173" s="785" t="s">
        <v>7</v>
      </c>
      <c r="L173" s="612"/>
      <c r="M173" s="785" t="s">
        <v>7</v>
      </c>
      <c r="N173" s="612"/>
      <c r="O173" s="786" t="s">
        <v>7</v>
      </c>
      <c r="P173" s="613"/>
      <c r="Q173" s="629"/>
      <c r="R173" s="629"/>
      <c r="S173" s="786" t="s">
        <v>7</v>
      </c>
      <c r="T173" s="613"/>
      <c r="U173" s="613"/>
      <c r="V173" s="613"/>
      <c r="W173" s="487" t="s">
        <v>7</v>
      </c>
      <c r="X173" s="275"/>
      <c r="Y173" s="30"/>
      <c r="Z173" s="30"/>
    </row>
    <row r="174" spans="1:26" ht="15.6" customHeight="1">
      <c r="A174" s="347" t="s">
        <v>826</v>
      </c>
      <c r="B174" s="348"/>
      <c r="C174" s="348"/>
      <c r="D174" s="348"/>
      <c r="E174" s="348"/>
      <c r="F174" s="348"/>
      <c r="G174" s="348"/>
      <c r="H174" s="348"/>
      <c r="I174" s="348"/>
      <c r="J174" s="348"/>
      <c r="K174" s="348"/>
      <c r="L174" s="348"/>
      <c r="M174" s="348"/>
      <c r="N174" s="348"/>
      <c r="O174" s="348"/>
      <c r="P174" s="348"/>
      <c r="Q174" s="348"/>
      <c r="R174" s="348"/>
      <c r="S174" s="348"/>
      <c r="T174" s="348"/>
      <c r="U174" s="348"/>
      <c r="V174" s="348"/>
      <c r="W174" s="349"/>
      <c r="X174" s="350"/>
      <c r="Y174" s="30"/>
      <c r="Z174" s="30"/>
    </row>
    <row r="175" spans="1:26" ht="31.5" customHeight="1">
      <c r="A175" s="614" t="s">
        <v>97</v>
      </c>
      <c r="B175" s="620"/>
      <c r="C175" s="615"/>
      <c r="D175" s="614" t="s">
        <v>98</v>
      </c>
      <c r="E175" s="620"/>
      <c r="F175" s="615"/>
      <c r="G175" s="614" t="s">
        <v>99</v>
      </c>
      <c r="H175" s="615"/>
      <c r="I175" s="614" t="s">
        <v>100</v>
      </c>
      <c r="J175" s="615"/>
      <c r="K175" s="614" t="s">
        <v>101</v>
      </c>
      <c r="L175" s="615"/>
      <c r="M175" s="614" t="s">
        <v>102</v>
      </c>
      <c r="N175" s="615"/>
      <c r="O175" s="614" t="s">
        <v>103</v>
      </c>
      <c r="P175" s="615"/>
      <c r="Q175" s="614" t="s">
        <v>104</v>
      </c>
      <c r="R175" s="615"/>
      <c r="S175" s="782" t="s">
        <v>105</v>
      </c>
      <c r="T175" s="782"/>
      <c r="U175" s="782"/>
      <c r="V175" s="782"/>
      <c r="W175" s="491" t="s">
        <v>106</v>
      </c>
      <c r="X175" s="331"/>
      <c r="Y175" s="30"/>
      <c r="Z175" s="30"/>
    </row>
    <row r="176" spans="1:26" ht="15.6" customHeight="1">
      <c r="A176" s="623" t="str">
        <f>'P74X-X (4)'!A268</f>
        <v>T1</v>
      </c>
      <c r="B176" s="649" t="str">
        <f>'P74X-X (4)'!B268</f>
        <v>Core5</v>
      </c>
      <c r="C176" s="623"/>
      <c r="D176" s="613">
        <f>'P74X-X (4)'!D268</f>
        <v>2500</v>
      </c>
      <c r="E176" s="613"/>
      <c r="F176" s="624">
        <f>'P74X-X (4)'!F268</f>
        <v>1</v>
      </c>
      <c r="G176" s="613">
        <f>'CT-VT Burdens'!S19</f>
        <v>80</v>
      </c>
      <c r="H176" s="630">
        <f>'CT-VT Burdens'!S10</f>
        <v>2.5</v>
      </c>
      <c r="I176" s="783" t="str">
        <f>'P74X-X (4)'!I268</f>
        <v>PX-B</v>
      </c>
      <c r="J176" s="783"/>
      <c r="K176" s="612">
        <f>'P74X-X (4)'!K268</f>
        <v>5</v>
      </c>
      <c r="L176" s="612"/>
      <c r="M176" s="612">
        <f>'P74X-X (4)'!M268</f>
        <v>750</v>
      </c>
      <c r="N176" s="612"/>
      <c r="O176" s="613">
        <f>'P74X-X (4)'!O268</f>
        <v>60</v>
      </c>
      <c r="P176" s="613"/>
      <c r="Q176" s="629" t="str">
        <f>'P74X-X (4)'!Q268</f>
        <v>P743</v>
      </c>
      <c r="R176" s="629"/>
      <c r="S176" s="613" t="str">
        <f>'P74X-X (4)'!S268</f>
        <v>Suitably Dimentioned</v>
      </c>
      <c r="T176" s="613"/>
      <c r="U176" s="613"/>
      <c r="V176" s="613"/>
      <c r="W176" s="357">
        <f>'P74X-X (4)'!H55</f>
        <v>130.8373488</v>
      </c>
      <c r="X176" s="275"/>
      <c r="Y176" s="30"/>
      <c r="Z176" s="30"/>
    </row>
    <row r="177" spans="1:50" ht="18" customHeight="1">
      <c r="A177" s="623"/>
      <c r="B177" s="623"/>
      <c r="C177" s="623"/>
      <c r="D177" s="613" t="str">
        <f>'BBP FU1 - REB500'!D266</f>
        <v>-</v>
      </c>
      <c r="E177" s="613"/>
      <c r="F177" s="625"/>
      <c r="G177" s="613"/>
      <c r="H177" s="630"/>
      <c r="I177" s="783"/>
      <c r="J177" s="783"/>
      <c r="K177" s="612" t="str">
        <f>'BBP FU1 - REB500'!K266</f>
        <v>-</v>
      </c>
      <c r="L177" s="612"/>
      <c r="M177" s="612" t="str">
        <f>'BBP FU1 - REB500'!M266</f>
        <v>-</v>
      </c>
      <c r="N177" s="612"/>
      <c r="O177" s="613" t="str">
        <f>'BBP FU1 - REB500'!O266</f>
        <v>-</v>
      </c>
      <c r="P177" s="613"/>
      <c r="Q177" s="629"/>
      <c r="R177" s="629"/>
      <c r="S177" s="613" t="str">
        <f>'BBP FU1 - REB500'!S266</f>
        <v>-</v>
      </c>
      <c r="T177" s="613"/>
      <c r="U177" s="613"/>
      <c r="V177" s="613"/>
      <c r="W177" s="357" t="s">
        <v>7</v>
      </c>
      <c r="X177" s="275"/>
      <c r="Y177" s="30"/>
      <c r="Z177" s="30"/>
    </row>
    <row r="178" spans="1:50" ht="15.6" customHeight="1">
      <c r="A178" s="623"/>
      <c r="B178" s="623"/>
      <c r="C178" s="623"/>
      <c r="D178" s="613" t="str">
        <f>'BBP FU1 - REB500'!D267</f>
        <v>-</v>
      </c>
      <c r="E178" s="613"/>
      <c r="F178" s="626"/>
      <c r="G178" s="613"/>
      <c r="H178" s="630"/>
      <c r="I178" s="783"/>
      <c r="J178" s="783"/>
      <c r="K178" s="612" t="str">
        <f>'BBP FU1 - REB500'!K267</f>
        <v>-</v>
      </c>
      <c r="L178" s="612"/>
      <c r="M178" s="612" t="str">
        <f>'BBP FU1 - REB500'!M267</f>
        <v>-</v>
      </c>
      <c r="N178" s="612"/>
      <c r="O178" s="613" t="str">
        <f>'BBP FU1 - REB500'!O267</f>
        <v>-</v>
      </c>
      <c r="P178" s="613"/>
      <c r="Q178" s="629"/>
      <c r="R178" s="629"/>
      <c r="S178" s="613" t="str">
        <f>'BBP FU1 - REB500'!S267</f>
        <v>-</v>
      </c>
      <c r="T178" s="613"/>
      <c r="U178" s="613"/>
      <c r="V178" s="613"/>
      <c r="W178" s="275"/>
      <c r="X178" s="275"/>
      <c r="Y178" s="30"/>
      <c r="Z178" s="30"/>
    </row>
    <row r="179" spans="1:50" ht="15.6" customHeight="1">
      <c r="A179" s="347" t="s">
        <v>844</v>
      </c>
      <c r="B179" s="348"/>
      <c r="C179" s="348"/>
      <c r="D179" s="348"/>
      <c r="E179" s="348"/>
      <c r="F179" s="348"/>
      <c r="G179" s="348"/>
      <c r="H179" s="348"/>
      <c r="I179" s="348"/>
      <c r="J179" s="348"/>
      <c r="K179" s="348"/>
      <c r="L179" s="348"/>
      <c r="M179" s="348"/>
      <c r="N179" s="348"/>
      <c r="O179" s="348"/>
      <c r="P179" s="348"/>
      <c r="Q179" s="348"/>
      <c r="R179" s="348"/>
      <c r="S179" s="348"/>
      <c r="T179" s="348"/>
      <c r="U179" s="348"/>
      <c r="V179" s="348"/>
      <c r="W179" s="349"/>
      <c r="X179" s="350"/>
      <c r="Y179" s="332"/>
      <c r="Z179" s="145"/>
      <c r="AA179" s="145"/>
      <c r="AB179" s="333"/>
      <c r="AC179" s="333"/>
      <c r="AD179" s="333"/>
      <c r="AE179" s="333"/>
      <c r="AF179" s="510"/>
      <c r="AG179" s="334"/>
      <c r="AH179" s="334"/>
      <c r="AI179" s="281"/>
      <c r="AJ179" s="281"/>
      <c r="AK179" s="281"/>
      <c r="AL179" s="281"/>
      <c r="AM179" s="333"/>
      <c r="AN179" s="333"/>
      <c r="AO179" s="335"/>
      <c r="AP179" s="335"/>
      <c r="AQ179" s="333"/>
      <c r="AR179" s="333"/>
      <c r="AS179" s="333"/>
      <c r="AT179" s="333"/>
      <c r="AU179" s="333"/>
      <c r="AV179" s="336"/>
      <c r="AW179" s="30"/>
      <c r="AX179" s="30"/>
    </row>
    <row r="180" spans="1:50" ht="29.4" customHeight="1">
      <c r="A180" s="614" t="s">
        <v>97</v>
      </c>
      <c r="B180" s="620"/>
      <c r="C180" s="615"/>
      <c r="D180" s="614" t="s">
        <v>98</v>
      </c>
      <c r="E180" s="620"/>
      <c r="F180" s="615"/>
      <c r="G180" s="614" t="s">
        <v>99</v>
      </c>
      <c r="H180" s="615"/>
      <c r="I180" s="614" t="s">
        <v>100</v>
      </c>
      <c r="J180" s="615"/>
      <c r="K180" s="614" t="s">
        <v>101</v>
      </c>
      <c r="L180" s="615"/>
      <c r="M180" s="782" t="s">
        <v>112</v>
      </c>
      <c r="N180" s="782"/>
      <c r="O180" s="614" t="s">
        <v>103</v>
      </c>
      <c r="P180" s="615"/>
      <c r="Q180" s="614" t="s">
        <v>104</v>
      </c>
      <c r="R180" s="615"/>
      <c r="S180" s="782" t="s">
        <v>105</v>
      </c>
      <c r="T180" s="782"/>
      <c r="U180" s="782"/>
      <c r="V180" s="782"/>
      <c r="W180" s="331" t="s">
        <v>115</v>
      </c>
      <c r="X180" s="331"/>
      <c r="Y180" s="337"/>
      <c r="Z180" s="28"/>
      <c r="AA180" s="28"/>
      <c r="AB180" s="233"/>
      <c r="AC180" s="233"/>
      <c r="AD180" s="233"/>
      <c r="AE180" s="233"/>
      <c r="AF180" s="265"/>
      <c r="AG180" s="234"/>
      <c r="AH180" s="234"/>
      <c r="AI180" s="488"/>
      <c r="AJ180" s="488"/>
      <c r="AK180" s="488"/>
      <c r="AL180" s="488"/>
      <c r="AM180" s="233"/>
      <c r="AN180" s="233"/>
      <c r="AO180" s="492"/>
      <c r="AP180" s="492"/>
      <c r="AQ180" s="233"/>
      <c r="AR180" s="233"/>
      <c r="AS180" s="233"/>
      <c r="AT180" s="233"/>
      <c r="AU180" s="233"/>
      <c r="AV180" s="338"/>
      <c r="AW180" s="30"/>
      <c r="AX180" s="30"/>
    </row>
    <row r="181" spans="1:50" ht="15.6" customHeight="1">
      <c r="A181" s="623" t="str">
        <f>'CS1'!A144</f>
        <v>T1</v>
      </c>
      <c r="B181" s="649" t="str">
        <f>'CS1'!B144</f>
        <v>Core6</v>
      </c>
      <c r="C181" s="623"/>
      <c r="D181" s="613">
        <f>'CS1'!D144</f>
        <v>2000</v>
      </c>
      <c r="E181" s="613"/>
      <c r="F181" s="624">
        <f>'CS1'!F144</f>
        <v>1</v>
      </c>
      <c r="G181" s="613">
        <f>'CT-VT Burdens'!S19</f>
        <v>80</v>
      </c>
      <c r="H181" s="630">
        <f>'CT-VT Burdens'!S10</f>
        <v>2.5</v>
      </c>
      <c r="I181" s="783" t="str">
        <f>'CS1'!I144</f>
        <v>0.2S</v>
      </c>
      <c r="J181" s="783"/>
      <c r="K181" s="612">
        <f>'CS1'!K144</f>
        <v>5</v>
      </c>
      <c r="L181" s="612"/>
      <c r="M181" s="612">
        <f>'CS1'!M144</f>
        <v>10</v>
      </c>
      <c r="N181" s="612"/>
      <c r="O181" s="786" t="s">
        <v>7</v>
      </c>
      <c r="P181" s="613"/>
      <c r="Q181" s="629" t="str">
        <f>'CS1'!Q144</f>
        <v xml:space="preserve">XC-RACK   </v>
      </c>
      <c r="R181" s="629"/>
      <c r="S181" s="613" t="str">
        <f>'CS1'!S144</f>
        <v>Not suitable</v>
      </c>
      <c r="T181" s="613"/>
      <c r="U181" s="613"/>
      <c r="V181" s="613"/>
      <c r="W181" s="357">
        <f>'CS1'!J46</f>
        <v>23.256291915357565</v>
      </c>
      <c r="X181" s="275"/>
      <c r="Y181" s="337"/>
      <c r="Z181" s="28"/>
      <c r="AA181" s="28"/>
      <c r="AB181" s="233"/>
      <c r="AC181" s="233"/>
      <c r="AD181" s="233"/>
      <c r="AE181" s="233"/>
      <c r="AF181" s="265"/>
      <c r="AG181" s="234"/>
      <c r="AH181" s="234"/>
      <c r="AI181" s="488"/>
      <c r="AJ181" s="488"/>
      <c r="AK181" s="488"/>
      <c r="AL181" s="488"/>
      <c r="AM181" s="233"/>
      <c r="AN181" s="233"/>
      <c r="AO181" s="492"/>
      <c r="AP181" s="492"/>
      <c r="AQ181" s="233"/>
      <c r="AR181" s="233"/>
      <c r="AS181" s="233"/>
      <c r="AT181" s="233"/>
      <c r="AU181" s="233"/>
      <c r="AV181" s="338"/>
      <c r="AW181" s="30"/>
      <c r="AX181" s="30"/>
    </row>
    <row r="182" spans="1:50" ht="15.6" customHeight="1">
      <c r="A182" s="623"/>
      <c r="B182" s="623"/>
      <c r="C182" s="623"/>
      <c r="D182" s="786" t="s">
        <v>7</v>
      </c>
      <c r="E182" s="613"/>
      <c r="F182" s="625"/>
      <c r="G182" s="613"/>
      <c r="H182" s="630"/>
      <c r="I182" s="783"/>
      <c r="J182" s="783"/>
      <c r="K182" s="785" t="s">
        <v>7</v>
      </c>
      <c r="L182" s="612"/>
      <c r="M182" s="785" t="s">
        <v>7</v>
      </c>
      <c r="N182" s="612"/>
      <c r="O182" s="786" t="s">
        <v>7</v>
      </c>
      <c r="P182" s="613"/>
      <c r="Q182" s="629"/>
      <c r="R182" s="629"/>
      <c r="S182" s="786" t="s">
        <v>7</v>
      </c>
      <c r="T182" s="613"/>
      <c r="U182" s="613"/>
      <c r="V182" s="613"/>
      <c r="W182" s="357" t="s">
        <v>7</v>
      </c>
      <c r="X182" s="275"/>
      <c r="Y182" s="337"/>
      <c r="Z182" s="28"/>
      <c r="AA182" s="28"/>
      <c r="AB182" s="233"/>
      <c r="AC182" s="233"/>
      <c r="AD182" s="233"/>
      <c r="AE182" s="233"/>
      <c r="AF182" s="265"/>
      <c r="AG182" s="234"/>
      <c r="AH182" s="234"/>
      <c r="AI182" s="488"/>
      <c r="AJ182" s="488"/>
      <c r="AK182" s="488"/>
      <c r="AL182" s="488"/>
      <c r="AM182" s="233"/>
      <c r="AN182" s="233"/>
      <c r="AO182" s="492"/>
      <c r="AP182" s="492"/>
      <c r="AQ182" s="233"/>
      <c r="AR182" s="233"/>
      <c r="AS182" s="233"/>
      <c r="AT182" s="233"/>
      <c r="AU182" s="233"/>
      <c r="AV182" s="338"/>
      <c r="AW182" s="30"/>
      <c r="AX182" s="30"/>
    </row>
    <row r="183" spans="1:50" ht="15.6" customHeight="1">
      <c r="A183" s="804"/>
      <c r="B183" s="804"/>
      <c r="C183" s="804"/>
      <c r="D183" s="875" t="s">
        <v>7</v>
      </c>
      <c r="E183" s="624"/>
      <c r="F183" s="625"/>
      <c r="G183" s="624"/>
      <c r="H183" s="805"/>
      <c r="I183" s="631"/>
      <c r="J183" s="631"/>
      <c r="K183" s="794" t="s">
        <v>7</v>
      </c>
      <c r="L183" s="835"/>
      <c r="M183" s="794" t="s">
        <v>7</v>
      </c>
      <c r="N183" s="835"/>
      <c r="O183" s="875" t="s">
        <v>7</v>
      </c>
      <c r="P183" s="624"/>
      <c r="Q183" s="806"/>
      <c r="R183" s="806"/>
      <c r="S183" s="875" t="s">
        <v>7</v>
      </c>
      <c r="T183" s="624"/>
      <c r="U183" s="624"/>
      <c r="V183" s="624"/>
      <c r="W183" s="520" t="s">
        <v>7</v>
      </c>
      <c r="X183" s="481"/>
      <c r="Y183" s="337"/>
      <c r="Z183" s="28"/>
      <c r="AA183" s="28"/>
      <c r="AB183" s="233"/>
      <c r="AC183" s="233"/>
      <c r="AD183" s="233"/>
      <c r="AE183" s="233"/>
      <c r="AF183" s="265"/>
      <c r="AG183" s="234"/>
      <c r="AH183" s="234"/>
      <c r="AI183" s="488"/>
      <c r="AJ183" s="488"/>
      <c r="AK183" s="488"/>
      <c r="AL183" s="488"/>
      <c r="AM183" s="233"/>
      <c r="AN183" s="233"/>
      <c r="AO183" s="492"/>
      <c r="AP183" s="492"/>
      <c r="AQ183" s="233"/>
      <c r="AR183" s="233"/>
      <c r="AS183" s="233"/>
      <c r="AT183" s="233"/>
      <c r="AU183" s="233"/>
      <c r="AV183" s="338"/>
      <c r="AW183" s="30"/>
      <c r="AX183" s="30"/>
    </row>
    <row r="184" spans="1:50" ht="15.6" customHeight="1">
      <c r="A184" s="347" t="s">
        <v>845</v>
      </c>
      <c r="B184" s="348"/>
      <c r="C184" s="348"/>
      <c r="D184" s="348"/>
      <c r="E184" s="348"/>
      <c r="F184" s="348"/>
      <c r="G184" s="348"/>
      <c r="H184" s="348"/>
      <c r="I184" s="348"/>
      <c r="J184" s="348"/>
      <c r="K184" s="348"/>
      <c r="L184" s="348"/>
      <c r="M184" s="348"/>
      <c r="N184" s="348"/>
      <c r="O184" s="348"/>
      <c r="P184" s="348"/>
      <c r="Q184" s="348"/>
      <c r="R184" s="348"/>
      <c r="S184" s="348"/>
      <c r="T184" s="348"/>
      <c r="U184" s="348"/>
      <c r="V184" s="348"/>
      <c r="W184" s="349"/>
      <c r="X184" s="350"/>
      <c r="Y184" s="337"/>
      <c r="Z184" s="28"/>
      <c r="AA184" s="28"/>
      <c r="AB184" s="233"/>
      <c r="AC184" s="233"/>
      <c r="AD184" s="233"/>
      <c r="AE184" s="233"/>
      <c r="AF184" s="265"/>
      <c r="AG184" s="234"/>
      <c r="AH184" s="234"/>
      <c r="AI184" s="488"/>
      <c r="AJ184" s="488"/>
      <c r="AK184" s="488"/>
      <c r="AL184" s="488"/>
      <c r="AM184" s="233"/>
      <c r="AN184" s="233"/>
      <c r="AO184" s="492"/>
      <c r="AP184" s="492"/>
      <c r="AQ184" s="233"/>
      <c r="AR184" s="233"/>
      <c r="AS184" s="233"/>
      <c r="AT184" s="233"/>
      <c r="AU184" s="233"/>
      <c r="AV184" s="338"/>
      <c r="AW184" s="30"/>
      <c r="AX184" s="30"/>
    </row>
    <row r="185" spans="1:50" ht="31.5" customHeight="1">
      <c r="A185" s="614" t="s">
        <v>97</v>
      </c>
      <c r="B185" s="620"/>
      <c r="C185" s="615"/>
      <c r="D185" s="614" t="s">
        <v>98</v>
      </c>
      <c r="E185" s="620"/>
      <c r="F185" s="615"/>
      <c r="G185" s="614" t="s">
        <v>99</v>
      </c>
      <c r="H185" s="615"/>
      <c r="I185" s="614" t="s">
        <v>100</v>
      </c>
      <c r="J185" s="615"/>
      <c r="K185" s="614" t="s">
        <v>101</v>
      </c>
      <c r="L185" s="615"/>
      <c r="M185" s="782" t="s">
        <v>112</v>
      </c>
      <c r="N185" s="782"/>
      <c r="O185" s="614" t="s">
        <v>103</v>
      </c>
      <c r="P185" s="615"/>
      <c r="Q185" s="614" t="s">
        <v>104</v>
      </c>
      <c r="R185" s="615"/>
      <c r="S185" s="782" t="s">
        <v>105</v>
      </c>
      <c r="T185" s="782"/>
      <c r="U185" s="782"/>
      <c r="V185" s="782"/>
      <c r="W185" s="331" t="s">
        <v>115</v>
      </c>
      <c r="X185" s="331"/>
      <c r="Y185" s="337"/>
      <c r="Z185" s="28"/>
      <c r="AA185" s="28"/>
      <c r="AB185" s="233"/>
      <c r="AC185" s="233"/>
      <c r="AD185" s="233"/>
      <c r="AE185" s="233"/>
      <c r="AF185" s="265"/>
      <c r="AG185" s="234"/>
      <c r="AH185" s="234"/>
      <c r="AI185" s="488"/>
      <c r="AJ185" s="488"/>
      <c r="AK185" s="488"/>
      <c r="AL185" s="488"/>
      <c r="AM185" s="233"/>
      <c r="AN185" s="233"/>
      <c r="AO185" s="492"/>
      <c r="AP185" s="492"/>
      <c r="AQ185" s="233"/>
      <c r="AR185" s="233"/>
      <c r="AS185" s="233"/>
      <c r="AT185" s="233"/>
      <c r="AU185" s="233"/>
      <c r="AV185" s="338"/>
      <c r="AW185" s="30"/>
      <c r="AX185" s="30"/>
    </row>
    <row r="186" spans="1:50" ht="15.6" customHeight="1">
      <c r="A186" s="623" t="str">
        <f>'CS2'!A144</f>
        <v>T1</v>
      </c>
      <c r="B186" s="649" t="str">
        <f>'CS2'!B144</f>
        <v>Core7</v>
      </c>
      <c r="C186" s="623"/>
      <c r="D186" s="613">
        <f>'CS2'!D144</f>
        <v>2000</v>
      </c>
      <c r="E186" s="613"/>
      <c r="F186" s="624">
        <f>'CS2'!F144</f>
        <v>1</v>
      </c>
      <c r="G186" s="613">
        <f>'CT-VT Burdens'!S19</f>
        <v>80</v>
      </c>
      <c r="H186" s="630">
        <f>'CT-VT Burdens'!S10</f>
        <v>2.5</v>
      </c>
      <c r="I186" s="783" t="str">
        <f>'CS2'!I144</f>
        <v>0.2S</v>
      </c>
      <c r="J186" s="783"/>
      <c r="K186" s="612">
        <f>'CS2'!K144</f>
        <v>5</v>
      </c>
      <c r="L186" s="612"/>
      <c r="M186" s="612">
        <f>'CS2'!M144</f>
        <v>10</v>
      </c>
      <c r="N186" s="612"/>
      <c r="O186" s="786" t="s">
        <v>7</v>
      </c>
      <c r="P186" s="613"/>
      <c r="Q186" s="629" t="str">
        <f>'CS2'!Q144</f>
        <v xml:space="preserve">XC-RACK   </v>
      </c>
      <c r="R186" s="629"/>
      <c r="S186" s="613" t="str">
        <f>'CS2'!S144</f>
        <v>Not suitable</v>
      </c>
      <c r="T186" s="613"/>
      <c r="U186" s="613"/>
      <c r="V186" s="613"/>
      <c r="W186" s="357">
        <f>'CS2'!J46</f>
        <v>23.256291915357565</v>
      </c>
      <c r="X186" s="275"/>
      <c r="Y186" s="337"/>
      <c r="Z186" s="28"/>
      <c r="AA186" s="28"/>
      <c r="AB186" s="233"/>
      <c r="AC186" s="233"/>
      <c r="AD186" s="233"/>
      <c r="AE186" s="233"/>
      <c r="AF186" s="265"/>
      <c r="AG186" s="234"/>
      <c r="AH186" s="234"/>
      <c r="AI186" s="488"/>
      <c r="AJ186" s="488"/>
      <c r="AK186" s="488"/>
      <c r="AL186" s="488"/>
      <c r="AM186" s="233"/>
      <c r="AN186" s="233"/>
      <c r="AO186" s="492"/>
      <c r="AP186" s="492"/>
      <c r="AQ186" s="233"/>
      <c r="AR186" s="233"/>
      <c r="AS186" s="233"/>
      <c r="AT186" s="233"/>
      <c r="AU186" s="233"/>
      <c r="AV186" s="338"/>
      <c r="AW186" s="30"/>
      <c r="AX186" s="30"/>
    </row>
    <row r="187" spans="1:50" ht="15.6" customHeight="1">
      <c r="A187" s="623"/>
      <c r="B187" s="623"/>
      <c r="C187" s="623"/>
      <c r="D187" s="786" t="s">
        <v>7</v>
      </c>
      <c r="E187" s="613"/>
      <c r="F187" s="625"/>
      <c r="G187" s="613"/>
      <c r="H187" s="630"/>
      <c r="I187" s="783"/>
      <c r="J187" s="783"/>
      <c r="K187" s="785" t="s">
        <v>7</v>
      </c>
      <c r="L187" s="612"/>
      <c r="M187" s="785" t="s">
        <v>7</v>
      </c>
      <c r="N187" s="612"/>
      <c r="O187" s="786" t="s">
        <v>7</v>
      </c>
      <c r="P187" s="613"/>
      <c r="Q187" s="629"/>
      <c r="R187" s="629"/>
      <c r="S187" s="786" t="s">
        <v>7</v>
      </c>
      <c r="T187" s="613"/>
      <c r="U187" s="613"/>
      <c r="V187" s="613"/>
      <c r="W187" s="357" t="s">
        <v>7</v>
      </c>
      <c r="X187" s="275"/>
      <c r="Y187" s="337"/>
      <c r="Z187" s="28"/>
      <c r="AA187" s="28"/>
      <c r="AB187" s="233"/>
      <c r="AC187" s="233"/>
      <c r="AD187" s="233"/>
      <c r="AE187" s="233"/>
      <c r="AF187" s="265"/>
      <c r="AG187" s="234"/>
      <c r="AH187" s="234"/>
      <c r="AI187" s="488"/>
      <c r="AJ187" s="488"/>
      <c r="AK187" s="488"/>
      <c r="AL187" s="488"/>
      <c r="AM187" s="233"/>
      <c r="AN187" s="233"/>
      <c r="AO187" s="492"/>
      <c r="AP187" s="492"/>
      <c r="AQ187" s="233"/>
      <c r="AR187" s="233"/>
      <c r="AS187" s="233"/>
      <c r="AT187" s="233"/>
      <c r="AU187" s="233"/>
      <c r="AV187" s="338"/>
      <c r="AW187" s="30"/>
      <c r="AX187" s="30"/>
    </row>
    <row r="188" spans="1:50" ht="15.6" customHeight="1">
      <c r="A188" s="623"/>
      <c r="B188" s="623"/>
      <c r="C188" s="623"/>
      <c r="D188" s="786" t="s">
        <v>7</v>
      </c>
      <c r="E188" s="613"/>
      <c r="F188" s="626"/>
      <c r="G188" s="613"/>
      <c r="H188" s="630"/>
      <c r="I188" s="783"/>
      <c r="J188" s="783"/>
      <c r="K188" s="785" t="s">
        <v>7</v>
      </c>
      <c r="L188" s="612"/>
      <c r="M188" s="785" t="s">
        <v>7</v>
      </c>
      <c r="N188" s="612"/>
      <c r="O188" s="786" t="s">
        <v>7</v>
      </c>
      <c r="P188" s="613"/>
      <c r="Q188" s="629"/>
      <c r="R188" s="629"/>
      <c r="S188" s="786" t="s">
        <v>7</v>
      </c>
      <c r="T188" s="613"/>
      <c r="U188" s="613"/>
      <c r="V188" s="613"/>
      <c r="W188" s="487" t="s">
        <v>7</v>
      </c>
      <c r="X188" s="275"/>
      <c r="Y188" s="337"/>
      <c r="Z188" s="28"/>
      <c r="AA188" s="28"/>
      <c r="AB188" s="233"/>
      <c r="AC188" s="233"/>
      <c r="AD188" s="233"/>
      <c r="AE188" s="233"/>
      <c r="AF188" s="265"/>
      <c r="AG188" s="234"/>
      <c r="AH188" s="234"/>
      <c r="AI188" s="488"/>
      <c r="AJ188" s="488"/>
      <c r="AK188" s="488"/>
      <c r="AL188" s="488"/>
      <c r="AM188" s="233"/>
      <c r="AN188" s="233"/>
      <c r="AO188" s="492"/>
      <c r="AP188" s="492"/>
      <c r="AQ188" s="233"/>
      <c r="AR188" s="233"/>
      <c r="AS188" s="233"/>
      <c r="AT188" s="233"/>
      <c r="AU188" s="233"/>
      <c r="AV188" s="338"/>
      <c r="AW188" s="30"/>
      <c r="AX188" s="30"/>
    </row>
    <row r="189" spans="1:50" ht="15.6" customHeight="1">
      <c r="A189" s="28"/>
      <c r="B189" s="28"/>
      <c r="C189" s="28"/>
      <c r="D189" s="257"/>
      <c r="E189" s="233"/>
      <c r="F189" s="233"/>
      <c r="G189" s="233"/>
      <c r="H189" s="265"/>
      <c r="I189" s="234"/>
      <c r="J189" s="234"/>
      <c r="K189" s="493"/>
      <c r="L189" s="488"/>
      <c r="M189" s="493"/>
      <c r="N189" s="488"/>
      <c r="O189" s="257"/>
      <c r="P189" s="233"/>
      <c r="Q189" s="492"/>
      <c r="R189" s="492"/>
      <c r="S189" s="257"/>
      <c r="T189" s="233"/>
      <c r="U189" s="233"/>
      <c r="V189" s="233"/>
      <c r="W189" s="257"/>
      <c r="X189" s="233"/>
      <c r="Y189" s="28"/>
      <c r="Z189" s="28"/>
      <c r="AA189" s="28"/>
      <c r="AB189" s="233"/>
      <c r="AC189" s="233"/>
      <c r="AD189" s="233"/>
      <c r="AE189" s="233"/>
      <c r="AF189" s="265"/>
      <c r="AG189" s="234"/>
      <c r="AH189" s="234"/>
      <c r="AI189" s="488"/>
      <c r="AJ189" s="488"/>
      <c r="AK189" s="488"/>
      <c r="AL189" s="488"/>
      <c r="AM189" s="233"/>
      <c r="AN189" s="233"/>
      <c r="AO189" s="492"/>
      <c r="AP189" s="492"/>
      <c r="AQ189" s="233"/>
      <c r="AR189" s="233"/>
      <c r="AS189" s="233"/>
      <c r="AT189" s="233"/>
      <c r="AU189" s="233"/>
      <c r="AV189" s="233"/>
      <c r="AW189" s="30"/>
      <c r="AX189" s="30"/>
    </row>
    <row r="190" spans="1:50" ht="15.6" customHeight="1">
      <c r="A190" s="332"/>
      <c r="B190" s="145"/>
      <c r="C190" s="145"/>
      <c r="D190" s="508"/>
      <c r="E190" s="333"/>
      <c r="F190" s="333"/>
      <c r="G190" s="333"/>
      <c r="H190" s="510"/>
      <c r="I190" s="334"/>
      <c r="J190" s="334"/>
      <c r="K190" s="509"/>
      <c r="L190" s="281"/>
      <c r="M190" s="509"/>
      <c r="N190" s="281"/>
      <c r="O190" s="508"/>
      <c r="P190" s="333"/>
      <c r="Q190" s="335"/>
      <c r="R190" s="335"/>
      <c r="S190" s="508"/>
      <c r="T190" s="333"/>
      <c r="U190" s="333"/>
      <c r="V190" s="333"/>
      <c r="W190" s="508"/>
      <c r="X190" s="336"/>
      <c r="Y190" s="28"/>
      <c r="Z190" s="28"/>
      <c r="AA190" s="28"/>
      <c r="AB190" s="233"/>
      <c r="AC190" s="233"/>
      <c r="AD190" s="233"/>
      <c r="AE190" s="233"/>
      <c r="AF190" s="265"/>
      <c r="AG190" s="234"/>
      <c r="AH190" s="234"/>
      <c r="AI190" s="488"/>
      <c r="AJ190" s="488"/>
      <c r="AK190" s="488"/>
      <c r="AL190" s="488"/>
      <c r="AM190" s="233"/>
      <c r="AN190" s="233"/>
      <c r="AO190" s="492"/>
      <c r="AP190" s="492"/>
      <c r="AQ190" s="233"/>
      <c r="AR190" s="233"/>
      <c r="AS190" s="233"/>
      <c r="AT190" s="233"/>
      <c r="AU190" s="233"/>
      <c r="AV190" s="233"/>
      <c r="AW190" s="30"/>
      <c r="AX190" s="30"/>
    </row>
    <row r="191" spans="1:50" ht="18" customHeight="1">
      <c r="A191" s="273"/>
      <c r="B191" s="219"/>
      <c r="C191" s="607"/>
      <c r="D191" s="607"/>
      <c r="E191" s="607"/>
      <c r="F191" s="607"/>
      <c r="G191" s="870" t="s">
        <v>126</v>
      </c>
      <c r="H191" s="870"/>
      <c r="I191" s="870"/>
      <c r="J191" s="870"/>
      <c r="K191" s="870"/>
      <c r="L191" s="870"/>
      <c r="M191" s="870"/>
      <c r="N191" s="870"/>
      <c r="O191" s="870"/>
      <c r="P191" s="870"/>
      <c r="Q191" s="870"/>
      <c r="R191" s="870"/>
      <c r="S191" s="870"/>
      <c r="T191" s="607"/>
      <c r="U191" s="241"/>
      <c r="V191" s="241"/>
      <c r="W191" s="241"/>
      <c r="X191" s="220"/>
      <c r="Y191" s="30"/>
      <c r="Z191" s="30"/>
    </row>
    <row r="192" spans="1:50" ht="18" customHeight="1">
      <c r="A192" s="351" t="s">
        <v>936</v>
      </c>
      <c r="B192" s="352"/>
      <c r="C192" s="352"/>
      <c r="D192" s="352"/>
      <c r="E192" s="352"/>
      <c r="F192" s="352"/>
      <c r="G192" s="352"/>
      <c r="H192" s="352"/>
      <c r="I192" s="352"/>
      <c r="J192" s="352"/>
      <c r="K192" s="352"/>
      <c r="L192" s="352"/>
      <c r="M192" s="352"/>
      <c r="N192" s="352"/>
      <c r="O192" s="352"/>
      <c r="P192" s="352"/>
      <c r="Q192" s="352"/>
      <c r="R192" s="352"/>
      <c r="S192" s="352"/>
      <c r="T192" s="352"/>
      <c r="U192" s="352"/>
      <c r="V192" s="352"/>
      <c r="W192" s="353"/>
      <c r="X192" s="354"/>
      <c r="Y192" s="30"/>
      <c r="Z192" s="30"/>
    </row>
    <row r="193" spans="1:26" ht="28.8" customHeight="1">
      <c r="A193" s="660" t="s">
        <v>127</v>
      </c>
      <c r="B193" s="660"/>
      <c r="C193" s="660"/>
      <c r="D193" s="660"/>
      <c r="E193" s="660" t="s">
        <v>128</v>
      </c>
      <c r="F193" s="660"/>
      <c r="G193" s="660"/>
      <c r="H193" s="660"/>
      <c r="I193" s="660"/>
      <c r="J193" s="782" t="s">
        <v>129</v>
      </c>
      <c r="K193" s="782"/>
      <c r="L193" s="782" t="s">
        <v>100</v>
      </c>
      <c r="M193" s="782"/>
      <c r="N193" s="782" t="s">
        <v>112</v>
      </c>
      <c r="O193" s="782"/>
      <c r="P193" s="782"/>
      <c r="Q193" s="663" t="s">
        <v>130</v>
      </c>
      <c r="R193" s="868"/>
      <c r="S193" s="868"/>
      <c r="T193" s="868"/>
      <c r="U193" s="868"/>
      <c r="V193" s="869"/>
      <c r="W193" s="331" t="s">
        <v>131</v>
      </c>
      <c r="X193" s="268"/>
      <c r="Y193" s="30"/>
      <c r="Z193" s="30"/>
    </row>
    <row r="194" spans="1:26" ht="18" customHeight="1">
      <c r="A194" s="647" t="str">
        <f>'HVDC FEEDER'!A132</f>
        <v>T1</v>
      </c>
      <c r="B194" s="787" t="str">
        <f>'HVDC FEEDER'!C132</f>
        <v>Core1</v>
      </c>
      <c r="C194" s="791"/>
      <c r="D194" s="788"/>
      <c r="E194" s="355">
        <f>'HVDC FEEDER'!E132</f>
        <v>400</v>
      </c>
      <c r="F194" s="258" t="str">
        <f>'HVDC FEEDER'!F132</f>
        <v>/ √3</v>
      </c>
      <c r="G194" s="356" t="str">
        <f>'HVDC FEEDER'!G132</f>
        <v>/</v>
      </c>
      <c r="H194" s="255">
        <f>'HVDC FEEDER'!H132</f>
        <v>0.11</v>
      </c>
      <c r="I194" s="258" t="str">
        <f>'HVDC FEEDER'!I132</f>
        <v>/ √3</v>
      </c>
      <c r="J194" s="613">
        <f>'CT-VT Burdens'!S19</f>
        <v>80</v>
      </c>
      <c r="K194" s="803">
        <f>'CT-VT Burdens'!S10</f>
        <v>2.5</v>
      </c>
      <c r="L194" s="649" t="str">
        <f>'HVDC FEEDER'!L132</f>
        <v>0.5/3P</v>
      </c>
      <c r="M194" s="649"/>
      <c r="N194" s="649">
        <f>'HVDC FEEDER'!N132</f>
        <v>50</v>
      </c>
      <c r="O194" s="649"/>
      <c r="P194" s="649"/>
      <c r="Q194" s="797" t="str">
        <f>'HVDC FEEDER'!Q132</f>
        <v>Suitably Dimensioned</v>
      </c>
      <c r="R194" s="800"/>
      <c r="S194" s="800"/>
      <c r="T194" s="800"/>
      <c r="U194" s="800"/>
      <c r="V194" s="645"/>
      <c r="W194" s="357">
        <f>'HVDC FEEDER'!G38</f>
        <v>2.9515014500000003</v>
      </c>
      <c r="X194" s="221"/>
      <c r="Y194" s="30"/>
      <c r="Z194" s="30"/>
    </row>
    <row r="195" spans="1:26" ht="18" customHeight="1">
      <c r="A195" s="871"/>
      <c r="B195" s="787" t="str">
        <f>'HVDC FEEDER'!C133</f>
        <v>Core2</v>
      </c>
      <c r="C195" s="791"/>
      <c r="D195" s="788"/>
      <c r="E195" s="355">
        <f>'HVDC FEEDER'!E133</f>
        <v>400</v>
      </c>
      <c r="F195" s="258" t="str">
        <f>'HVDC FEEDER'!F133</f>
        <v>/ √3</v>
      </c>
      <c r="G195" s="356" t="str">
        <f>'HVDC FEEDER'!G133</f>
        <v>/</v>
      </c>
      <c r="H195" s="255">
        <f>'HVDC FEEDER'!H133</f>
        <v>0.11</v>
      </c>
      <c r="I195" s="258" t="str">
        <f>'HVDC FEEDER'!I133</f>
        <v>/ √3</v>
      </c>
      <c r="J195" s="613"/>
      <c r="K195" s="649"/>
      <c r="L195" s="649">
        <f>'HVDC FEEDER'!L133</f>
        <v>0.2</v>
      </c>
      <c r="M195" s="649"/>
      <c r="N195" s="649">
        <f>'HVDC FEEDER'!N133</f>
        <v>50</v>
      </c>
      <c r="O195" s="649"/>
      <c r="P195" s="649"/>
      <c r="Q195" s="797" t="str">
        <f>'HVDC FEEDER'!Q133</f>
        <v>Suitably Dimensioned</v>
      </c>
      <c r="R195" s="800"/>
      <c r="S195" s="800"/>
      <c r="T195" s="800"/>
      <c r="U195" s="800"/>
      <c r="V195" s="645"/>
      <c r="W195" s="357">
        <f>'HVDC FEEDER'!G80</f>
        <v>2.7115014500000001</v>
      </c>
      <c r="X195" s="221"/>
      <c r="Y195" s="30"/>
      <c r="Z195" s="30"/>
    </row>
    <row r="196" spans="1:26" ht="18" customHeight="1">
      <c r="A196" s="643"/>
      <c r="B196" s="787" t="str">
        <f>'HVDC FEEDER'!C134</f>
        <v>Core3</v>
      </c>
      <c r="C196" s="791"/>
      <c r="D196" s="788"/>
      <c r="E196" s="355">
        <f>'HVDC FEEDER'!E134</f>
        <v>400</v>
      </c>
      <c r="F196" s="258" t="str">
        <f>'HVDC FEEDER'!F134</f>
        <v>/ √3</v>
      </c>
      <c r="G196" s="356" t="str">
        <f>'HVDC FEEDER'!G134</f>
        <v>/</v>
      </c>
      <c r="H196" s="255">
        <f>'HVDC FEEDER'!H134</f>
        <v>0.11</v>
      </c>
      <c r="I196" s="258" t="str">
        <f>'HVDC FEEDER'!I134</f>
        <v>/ √3</v>
      </c>
      <c r="J196" s="613"/>
      <c r="K196" s="649"/>
      <c r="L196" s="649">
        <f>'HVDC FEEDER'!L134</f>
        <v>0.2</v>
      </c>
      <c r="M196" s="649"/>
      <c r="N196" s="649">
        <f>'HVDC FEEDER'!N134</f>
        <v>50</v>
      </c>
      <c r="O196" s="649"/>
      <c r="P196" s="649"/>
      <c r="Q196" s="797" t="str">
        <f>'HVDC FEEDER'!Q134</f>
        <v>Suitably Dimensioned</v>
      </c>
      <c r="R196" s="800"/>
      <c r="S196" s="800"/>
      <c r="T196" s="800"/>
      <c r="U196" s="800"/>
      <c r="V196" s="645"/>
      <c r="W196" s="357">
        <f>'HVDC FEEDER'!G117</f>
        <v>2.7115014500000001</v>
      </c>
      <c r="X196" s="221"/>
      <c r="Y196" s="30"/>
      <c r="Z196" s="30"/>
    </row>
    <row r="197" spans="1:26" ht="18" customHeight="1">
      <c r="A197" s="523"/>
      <c r="B197" s="202"/>
      <c r="C197" s="529"/>
      <c r="D197" s="529"/>
      <c r="E197" s="319"/>
      <c r="F197" s="319"/>
      <c r="G197" s="593"/>
      <c r="H197" s="320"/>
      <c r="I197" s="319"/>
      <c r="J197" s="346"/>
      <c r="K197" s="319"/>
      <c r="L197" s="319"/>
      <c r="M197" s="319"/>
      <c r="N197" s="319"/>
      <c r="O197" s="319"/>
      <c r="P197" s="319"/>
      <c r="Q197" s="319"/>
      <c r="R197" s="319"/>
      <c r="S197" s="319"/>
      <c r="T197" s="319"/>
      <c r="U197" s="319"/>
      <c r="V197" s="319"/>
      <c r="W197" s="320"/>
      <c r="X197" s="258"/>
      <c r="Y197" s="30"/>
      <c r="Z197" s="30"/>
    </row>
    <row r="198" spans="1:26" ht="18" customHeight="1">
      <c r="A198" s="351" t="s">
        <v>953</v>
      </c>
      <c r="B198" s="352"/>
      <c r="C198" s="352"/>
      <c r="D198" s="352"/>
      <c r="E198" s="352"/>
      <c r="F198" s="352"/>
      <c r="G198" s="352"/>
      <c r="H198" s="352"/>
      <c r="I198" s="352"/>
      <c r="J198" s="352"/>
      <c r="K198" s="352"/>
      <c r="L198" s="352"/>
      <c r="M198" s="352"/>
      <c r="N198" s="352"/>
      <c r="O198" s="352"/>
      <c r="P198" s="352"/>
      <c r="Q198" s="352"/>
      <c r="R198" s="352"/>
      <c r="S198" s="352"/>
      <c r="T198" s="352"/>
      <c r="U198" s="352"/>
      <c r="V198" s="352"/>
      <c r="W198" s="353"/>
      <c r="X198" s="354"/>
      <c r="Y198" s="30"/>
      <c r="Z198" s="30"/>
    </row>
    <row r="199" spans="1:26" ht="30" customHeight="1">
      <c r="A199" s="660" t="s">
        <v>127</v>
      </c>
      <c r="B199" s="660"/>
      <c r="C199" s="660"/>
      <c r="D199" s="660"/>
      <c r="E199" s="660" t="s">
        <v>128</v>
      </c>
      <c r="F199" s="660"/>
      <c r="G199" s="660"/>
      <c r="H199" s="660"/>
      <c r="I199" s="660"/>
      <c r="J199" s="782" t="s">
        <v>129</v>
      </c>
      <c r="K199" s="782"/>
      <c r="L199" s="782" t="s">
        <v>100</v>
      </c>
      <c r="M199" s="782"/>
      <c r="N199" s="782" t="s">
        <v>112</v>
      </c>
      <c r="O199" s="782"/>
      <c r="P199" s="782"/>
      <c r="Q199" s="663" t="s">
        <v>130</v>
      </c>
      <c r="R199" s="868"/>
      <c r="S199" s="868"/>
      <c r="T199" s="868"/>
      <c r="U199" s="868"/>
      <c r="V199" s="869"/>
      <c r="W199" s="331" t="s">
        <v>131</v>
      </c>
      <c r="X199" s="268"/>
      <c r="Y199" s="30"/>
      <c r="Z199" s="30"/>
    </row>
    <row r="200" spans="1:26" ht="18" customHeight="1">
      <c r="A200" s="647" t="str">
        <f>FEEDER!A132</f>
        <v>T1</v>
      </c>
      <c r="B200" s="791" t="str">
        <f>FEEDER!C132</f>
        <v>Core1</v>
      </c>
      <c r="C200" s="791"/>
      <c r="D200" s="788"/>
      <c r="E200" s="355">
        <f>FEEDER!E132</f>
        <v>400</v>
      </c>
      <c r="F200" s="258" t="str">
        <f>FEEDER!F132</f>
        <v>/ √3</v>
      </c>
      <c r="G200" s="356" t="str">
        <f>FEEDER!G132</f>
        <v>/</v>
      </c>
      <c r="H200" s="255">
        <f>FEEDER!H132</f>
        <v>0.11</v>
      </c>
      <c r="I200" s="258" t="str">
        <f>FEEDER!I132</f>
        <v>/ √3</v>
      </c>
      <c r="J200" s="872">
        <f>'CT-VT Burdens'!S19</f>
        <v>80</v>
      </c>
      <c r="K200" s="792">
        <f>'CT-VT Burdens'!S10</f>
        <v>2.5</v>
      </c>
      <c r="L200" s="649" t="str">
        <f>FEEDER!L132</f>
        <v>0.5/3P</v>
      </c>
      <c r="M200" s="649"/>
      <c r="N200" s="649">
        <f>FEEDER!N132</f>
        <v>50</v>
      </c>
      <c r="O200" s="649"/>
      <c r="P200" s="649"/>
      <c r="Q200" s="797" t="str">
        <f>FEEDER!Q132</f>
        <v>Suitably Dimensioned</v>
      </c>
      <c r="R200" s="800"/>
      <c r="S200" s="800"/>
      <c r="T200" s="800"/>
      <c r="U200" s="800"/>
      <c r="V200" s="645"/>
      <c r="W200" s="357">
        <f>FEEDER!G39</f>
        <v>2.9715014499999999</v>
      </c>
      <c r="X200" s="221"/>
      <c r="Y200" s="30"/>
      <c r="Z200" s="30"/>
    </row>
    <row r="201" spans="1:26" ht="18" customHeight="1">
      <c r="A201" s="871"/>
      <c r="B201" s="791" t="str">
        <f>FEEDER!C133</f>
        <v>Core2</v>
      </c>
      <c r="C201" s="791"/>
      <c r="D201" s="788"/>
      <c r="E201" s="355">
        <f>FEEDER!E133</f>
        <v>400</v>
      </c>
      <c r="F201" s="258" t="str">
        <f>FEEDER!F133</f>
        <v>/ √3</v>
      </c>
      <c r="G201" s="356" t="str">
        <f>FEEDER!G133</f>
        <v>/</v>
      </c>
      <c r="H201" s="255">
        <f>FEEDER!H133</f>
        <v>0.11</v>
      </c>
      <c r="I201" s="258" t="str">
        <f>FEEDER!I133</f>
        <v>/ √3</v>
      </c>
      <c r="J201" s="873"/>
      <c r="K201" s="637"/>
      <c r="L201" s="649" t="str">
        <f>FEEDER!L133</f>
        <v>0.2S</v>
      </c>
      <c r="M201" s="649"/>
      <c r="N201" s="649">
        <f>FEEDER!N133</f>
        <v>50</v>
      </c>
      <c r="O201" s="649"/>
      <c r="P201" s="649"/>
      <c r="Q201" s="797" t="str">
        <f>FEEDER!Q133</f>
        <v>Suitably Dimensioned</v>
      </c>
      <c r="R201" s="800"/>
      <c r="S201" s="800"/>
      <c r="T201" s="800"/>
      <c r="U201" s="800"/>
      <c r="V201" s="645"/>
      <c r="W201" s="357">
        <f>FEEDER!G80</f>
        <v>2.7115014500000001</v>
      </c>
      <c r="X201" s="221"/>
      <c r="Y201" s="30"/>
      <c r="Z201" s="30"/>
    </row>
    <row r="202" spans="1:26" ht="18" hidden="1" customHeight="1">
      <c r="A202" s="871"/>
      <c r="B202" s="197"/>
      <c r="C202" s="602" t="str">
        <f>FEEDER!C134</f>
        <v>Core3</v>
      </c>
      <c r="D202" s="603"/>
      <c r="E202" s="522">
        <f>FEEDER!E134</f>
        <v>400</v>
      </c>
      <c r="F202" s="324" t="str">
        <f>FEEDER!F134</f>
        <v>/ √3</v>
      </c>
      <c r="G202" s="549" t="str">
        <f>'[2]Line VT (2)'!G137</f>
        <v>/</v>
      </c>
      <c r="H202" s="550">
        <f>FEEDER!H134</f>
        <v>0.11</v>
      </c>
      <c r="I202" s="324" t="str">
        <f>FEEDER!I134</f>
        <v>/ √3</v>
      </c>
      <c r="J202" s="873"/>
      <c r="K202" s="637"/>
      <c r="L202" s="647" t="str">
        <f>FEEDER!L134</f>
        <v>0.2S</v>
      </c>
      <c r="M202" s="647"/>
      <c r="N202" s="649">
        <f>FEEDER!N134</f>
        <v>50</v>
      </c>
      <c r="O202" s="649"/>
      <c r="P202" s="649"/>
      <c r="Q202" s="824" t="str">
        <f>FEEDER!Q134</f>
        <v>Suitably Dimensioned</v>
      </c>
      <c r="R202" s="825"/>
      <c r="S202" s="825"/>
      <c r="T202" s="825"/>
      <c r="U202" s="825"/>
      <c r="V202" s="826"/>
      <c r="W202" s="587">
        <f>FEEDER!G117</f>
        <v>2.7115014500000001</v>
      </c>
      <c r="X202" s="525"/>
      <c r="Y202" s="30"/>
      <c r="Z202" s="30"/>
    </row>
    <row r="203" spans="1:26" ht="18" hidden="1" customHeight="1">
      <c r="A203" s="871"/>
      <c r="B203" s="551"/>
      <c r="C203" s="551"/>
      <c r="D203" s="551"/>
      <c r="E203" s="551"/>
      <c r="F203" s="551"/>
      <c r="G203" s="551"/>
      <c r="H203" s="551"/>
      <c r="I203" s="551"/>
      <c r="J203" s="873"/>
      <c r="K203" s="637"/>
      <c r="L203" s="551"/>
      <c r="M203" s="551"/>
      <c r="N203" s="551"/>
      <c r="O203" s="551"/>
      <c r="P203" s="551"/>
      <c r="Q203" s="551"/>
      <c r="R203" s="551"/>
      <c r="S203" s="551"/>
      <c r="T203" s="551"/>
      <c r="U203" s="551"/>
      <c r="V203" s="551"/>
      <c r="W203" s="552"/>
      <c r="X203" s="553"/>
      <c r="Y203" s="30"/>
      <c r="Z203" s="30"/>
    </row>
    <row r="204" spans="1:26" ht="18" hidden="1" customHeight="1">
      <c r="A204" s="871"/>
      <c r="B204" s="591"/>
      <c r="C204" s="598"/>
      <c r="D204" s="598"/>
      <c r="E204" s="660" t="s">
        <v>128</v>
      </c>
      <c r="F204" s="660"/>
      <c r="G204" s="660"/>
      <c r="H204" s="660"/>
      <c r="I204" s="660"/>
      <c r="J204" s="873"/>
      <c r="K204" s="637"/>
      <c r="L204" s="782" t="s">
        <v>100</v>
      </c>
      <c r="M204" s="782"/>
      <c r="N204" s="782" t="s">
        <v>112</v>
      </c>
      <c r="O204" s="782"/>
      <c r="P204" s="782"/>
      <c r="Q204" s="663" t="s">
        <v>130</v>
      </c>
      <c r="R204" s="868"/>
      <c r="S204" s="868"/>
      <c r="T204" s="868"/>
      <c r="U204" s="868"/>
      <c r="V204" s="869"/>
      <c r="W204" s="331" t="s">
        <v>131</v>
      </c>
      <c r="X204" s="268"/>
      <c r="Y204" s="30"/>
      <c r="Z204" s="30"/>
    </row>
    <row r="205" spans="1:26" ht="18" hidden="1" customHeight="1">
      <c r="A205" s="871"/>
      <c r="B205" s="599"/>
      <c r="C205" s="590" t="str">
        <f>SGT!C144</f>
        <v>Core1</v>
      </c>
      <c r="D205" s="592"/>
      <c r="E205" s="355">
        <f>SGT!E144</f>
        <v>400</v>
      </c>
      <c r="F205" s="258" t="str">
        <f>SGT!F144</f>
        <v>/ √3</v>
      </c>
      <c r="G205" s="356" t="str">
        <f>SGT!G144</f>
        <v>/</v>
      </c>
      <c r="H205" s="255">
        <f>SGT!H144</f>
        <v>0.11</v>
      </c>
      <c r="I205" s="258" t="str">
        <f>SGT!I144</f>
        <v>/ √3</v>
      </c>
      <c r="J205" s="873"/>
      <c r="K205" s="637"/>
      <c r="L205" s="649" t="str">
        <f>SGT!L144</f>
        <v>3P</v>
      </c>
      <c r="M205" s="649"/>
      <c r="N205" s="649">
        <f>SGT!N144</f>
        <v>50</v>
      </c>
      <c r="O205" s="649"/>
      <c r="P205" s="649"/>
      <c r="Q205" s="797" t="str">
        <f>SGT!Q144</f>
        <v>Suitably Dimensioned</v>
      </c>
      <c r="R205" s="800"/>
      <c r="S205" s="800"/>
      <c r="T205" s="800"/>
      <c r="U205" s="800"/>
      <c r="V205" s="645"/>
      <c r="W205" s="357">
        <f>SGT!G40</f>
        <v>2.9715014499999999</v>
      </c>
      <c r="X205" s="221"/>
      <c r="Y205" s="30"/>
      <c r="Z205" s="30"/>
    </row>
    <row r="206" spans="1:26" ht="18" hidden="1" customHeight="1">
      <c r="A206" s="871"/>
      <c r="B206" s="245"/>
      <c r="C206" s="600" t="str">
        <f>SGT!C145</f>
        <v>-</v>
      </c>
      <c r="D206" s="601"/>
      <c r="E206" s="355" t="str">
        <f>SGT!E145</f>
        <v>-</v>
      </c>
      <c r="F206" s="258">
        <f>SGT!F145</f>
        <v>0</v>
      </c>
      <c r="G206" s="356" t="str">
        <f>SGT!G145</f>
        <v>-</v>
      </c>
      <c r="H206" s="255" t="str">
        <f>SGT!H145</f>
        <v>-</v>
      </c>
      <c r="I206" s="258">
        <f>SGT!I145</f>
        <v>0</v>
      </c>
      <c r="J206" s="873"/>
      <c r="K206" s="637"/>
      <c r="L206" s="649" t="str">
        <f>SGT!L145</f>
        <v>-</v>
      </c>
      <c r="M206" s="649"/>
      <c r="N206" s="649" t="str">
        <f>SGT!N145</f>
        <v>-</v>
      </c>
      <c r="O206" s="649"/>
      <c r="P206" s="649"/>
      <c r="Q206" s="797" t="str">
        <f>SGT!Q145</f>
        <v>-</v>
      </c>
      <c r="R206" s="800"/>
      <c r="S206" s="800"/>
      <c r="T206" s="800"/>
      <c r="U206" s="800"/>
      <c r="V206" s="645"/>
      <c r="W206" s="357">
        <f>SGT!G83</f>
        <v>6.4615014500000001</v>
      </c>
      <c r="X206" s="221"/>
    </row>
    <row r="207" spans="1:26" ht="18" customHeight="1">
      <c r="A207" s="643"/>
      <c r="B207" s="791" t="str">
        <f>FEEDER!C134</f>
        <v>Core3</v>
      </c>
      <c r="C207" s="791"/>
      <c r="D207" s="788"/>
      <c r="E207" s="355">
        <f>FEEDER!E134</f>
        <v>400</v>
      </c>
      <c r="F207" s="258" t="str">
        <f>FEEDER!F134</f>
        <v>/ √3</v>
      </c>
      <c r="G207" s="356" t="str">
        <f>FEEDER!G134</f>
        <v>/</v>
      </c>
      <c r="H207" s="255">
        <f>FEEDER!H134</f>
        <v>0.11</v>
      </c>
      <c r="I207" s="258" t="str">
        <f>FEEDER!I134</f>
        <v>/ √3</v>
      </c>
      <c r="J207" s="874"/>
      <c r="K207" s="793"/>
      <c r="L207" s="649" t="str">
        <f>FEEDER!L134</f>
        <v>0.2S</v>
      </c>
      <c r="M207" s="649"/>
      <c r="N207" s="649">
        <f>FEEDER!N134</f>
        <v>50</v>
      </c>
      <c r="O207" s="649"/>
      <c r="P207" s="649"/>
      <c r="Q207" s="797" t="str">
        <f>FEEDER!Q134</f>
        <v>Suitably Dimensioned</v>
      </c>
      <c r="R207" s="800"/>
      <c r="S207" s="800"/>
      <c r="T207" s="800"/>
      <c r="U207" s="800"/>
      <c r="V207" s="645"/>
      <c r="W207" s="357">
        <f>FEEDER!G117</f>
        <v>2.7115014500000001</v>
      </c>
      <c r="X207" s="221"/>
    </row>
    <row r="208" spans="1:26">
      <c r="A208" s="521"/>
      <c r="B208" s="497"/>
      <c r="C208" s="529"/>
      <c r="D208" s="529"/>
      <c r="E208" s="319"/>
      <c r="F208" s="319"/>
      <c r="G208" s="593"/>
      <c r="H208" s="320"/>
      <c r="I208" s="319"/>
      <c r="J208" s="319"/>
      <c r="K208" s="319"/>
      <c r="L208" s="319"/>
      <c r="M208" s="319"/>
      <c r="N208" s="319"/>
      <c r="O208" s="319"/>
      <c r="P208" s="319"/>
      <c r="Q208" s="319"/>
      <c r="R208" s="319"/>
      <c r="S208" s="319"/>
      <c r="T208" s="319"/>
      <c r="U208" s="319"/>
      <c r="V208" s="319"/>
      <c r="W208" s="319"/>
      <c r="X208" s="258"/>
    </row>
    <row r="209" spans="1:26" ht="22.8" customHeight="1">
      <c r="A209" s="351" t="s">
        <v>949</v>
      </c>
      <c r="B209" s="352"/>
      <c r="C209" s="352"/>
      <c r="D209" s="352"/>
      <c r="E209" s="352"/>
      <c r="F209" s="352"/>
      <c r="G209" s="352"/>
      <c r="H209" s="352"/>
      <c r="I209" s="352"/>
      <c r="J209" s="352"/>
      <c r="K209" s="352"/>
      <c r="L209" s="352"/>
      <c r="M209" s="352"/>
      <c r="N209" s="352"/>
      <c r="O209" s="352"/>
      <c r="P209" s="352"/>
      <c r="Q209" s="352"/>
      <c r="R209" s="352"/>
      <c r="S209" s="352"/>
      <c r="T209" s="352"/>
      <c r="U209" s="352"/>
      <c r="V209" s="352"/>
      <c r="W209" s="353"/>
      <c r="X209" s="354"/>
      <c r="Y209" s="30"/>
      <c r="Z209" s="30" t="s">
        <v>133</v>
      </c>
    </row>
    <row r="210" spans="1:26" ht="30" customHeight="1">
      <c r="A210" s="660" t="s">
        <v>127</v>
      </c>
      <c r="B210" s="660"/>
      <c r="C210" s="660"/>
      <c r="D210" s="660"/>
      <c r="E210" s="660" t="s">
        <v>128</v>
      </c>
      <c r="F210" s="660"/>
      <c r="G210" s="660"/>
      <c r="H210" s="660"/>
      <c r="I210" s="660"/>
      <c r="J210" s="782" t="s">
        <v>129</v>
      </c>
      <c r="K210" s="782"/>
      <c r="L210" s="782" t="s">
        <v>100</v>
      </c>
      <c r="M210" s="782"/>
      <c r="N210" s="782" t="s">
        <v>112</v>
      </c>
      <c r="O210" s="782"/>
      <c r="P210" s="782"/>
      <c r="Q210" s="650" t="s">
        <v>130</v>
      </c>
      <c r="R210" s="801"/>
      <c r="S210" s="801"/>
      <c r="T210" s="801"/>
      <c r="U210" s="801"/>
      <c r="V210" s="651"/>
      <c r="W210" s="331" t="s">
        <v>131</v>
      </c>
      <c r="X210" s="268"/>
      <c r="Y210" s="30"/>
      <c r="Z210" s="30"/>
    </row>
    <row r="211" spans="1:26" ht="18" customHeight="1">
      <c r="A211" s="794" t="str">
        <f>SGT!A144</f>
        <v>T1</v>
      </c>
      <c r="B211" s="787" t="str">
        <f>SGT!C144</f>
        <v>Core1</v>
      </c>
      <c r="C211" s="791"/>
      <c r="D211" s="788"/>
      <c r="E211" s="355">
        <f>SGT!E144</f>
        <v>400</v>
      </c>
      <c r="F211" s="258" t="str">
        <f>SGT!F144</f>
        <v>/ √3</v>
      </c>
      <c r="G211" s="356" t="str">
        <f>SGT!G144</f>
        <v>/</v>
      </c>
      <c r="H211" s="255">
        <f>SGT!H144</f>
        <v>0.11</v>
      </c>
      <c r="I211" s="258" t="str">
        <f>SGT!I144</f>
        <v>/ √3</v>
      </c>
      <c r="J211" s="802">
        <f>'CT-VT Burdens'!S19</f>
        <v>80</v>
      </c>
      <c r="K211" s="803">
        <f>'CT-VT Burdens'!S10</f>
        <v>2.5</v>
      </c>
      <c r="L211" s="649" t="str">
        <f>SGT!L144</f>
        <v>3P</v>
      </c>
      <c r="M211" s="649"/>
      <c r="N211" s="649">
        <f>SGT!N144</f>
        <v>50</v>
      </c>
      <c r="O211" s="649"/>
      <c r="P211" s="649"/>
      <c r="Q211" s="797" t="str">
        <f>SGT!Q144</f>
        <v>Suitably Dimensioned</v>
      </c>
      <c r="R211" s="800"/>
      <c r="S211" s="800"/>
      <c r="T211" s="800"/>
      <c r="U211" s="800"/>
      <c r="V211" s="645"/>
      <c r="W211" s="357">
        <f>SGT!G40</f>
        <v>2.9715014499999999</v>
      </c>
      <c r="X211" s="221"/>
      <c r="Y211" s="30"/>
      <c r="Z211" s="30"/>
    </row>
    <row r="212" spans="1:26" ht="18" customHeight="1">
      <c r="A212" s="795"/>
      <c r="B212" s="787" t="str">
        <f>SGT!C145</f>
        <v>-</v>
      </c>
      <c r="C212" s="791"/>
      <c r="D212" s="788"/>
      <c r="E212" s="797" t="str">
        <f>SGT!E145</f>
        <v>-</v>
      </c>
      <c r="F212" s="645"/>
      <c r="G212" s="356" t="s">
        <v>7</v>
      </c>
      <c r="H212" s="798" t="s">
        <v>7</v>
      </c>
      <c r="I212" s="799"/>
      <c r="J212" s="649"/>
      <c r="K212" s="649"/>
      <c r="L212" s="649" t="s">
        <v>7</v>
      </c>
      <c r="M212" s="649"/>
      <c r="N212" s="649" t="s">
        <v>7</v>
      </c>
      <c r="O212" s="649"/>
      <c r="P212" s="649"/>
      <c r="Q212" s="797" t="s">
        <v>7</v>
      </c>
      <c r="R212" s="800"/>
      <c r="S212" s="800"/>
      <c r="T212" s="800"/>
      <c r="U212" s="800"/>
      <c r="V212" s="645"/>
      <c r="W212" s="357" t="s">
        <v>7</v>
      </c>
      <c r="X212" s="221"/>
      <c r="Y212" s="30"/>
      <c r="Z212" s="30"/>
    </row>
    <row r="213" spans="1:26" ht="18" customHeight="1">
      <c r="A213" s="796"/>
      <c r="B213" s="787" t="str">
        <f>SGT!C146</f>
        <v>-</v>
      </c>
      <c r="C213" s="791"/>
      <c r="D213" s="788"/>
      <c r="E213" s="797" t="s">
        <v>7</v>
      </c>
      <c r="F213" s="645"/>
      <c r="G213" s="356" t="s">
        <v>7</v>
      </c>
      <c r="H213" s="798" t="s">
        <v>7</v>
      </c>
      <c r="I213" s="799"/>
      <c r="J213" s="649"/>
      <c r="K213" s="649"/>
      <c r="L213" s="649" t="s">
        <v>7</v>
      </c>
      <c r="M213" s="649"/>
      <c r="N213" s="649" t="s">
        <v>7</v>
      </c>
      <c r="O213" s="649"/>
      <c r="P213" s="649"/>
      <c r="Q213" s="797" t="s">
        <v>7</v>
      </c>
      <c r="R213" s="800"/>
      <c r="S213" s="800"/>
      <c r="T213" s="800"/>
      <c r="U213" s="800"/>
      <c r="V213" s="645"/>
      <c r="W213" s="221" t="s">
        <v>7</v>
      </c>
      <c r="X213" s="221"/>
      <c r="Y213" s="30"/>
      <c r="Z213" s="30"/>
    </row>
    <row r="214" spans="1:26">
      <c r="A214" s="493"/>
      <c r="B214" s="493"/>
      <c r="C214" s="257"/>
      <c r="D214" s="257"/>
      <c r="E214" s="27"/>
      <c r="F214" s="27"/>
      <c r="G214" s="203"/>
      <c r="H214" s="223"/>
      <c r="I214" s="27"/>
      <c r="J214" s="27"/>
      <c r="K214" s="27"/>
      <c r="L214" s="27"/>
      <c r="M214" s="27"/>
      <c r="N214" s="27"/>
      <c r="O214" s="27"/>
      <c r="P214" s="27"/>
      <c r="Q214" s="27"/>
      <c r="R214" s="27"/>
      <c r="S214" s="27"/>
      <c r="T214" s="27"/>
      <c r="U214" s="27"/>
      <c r="V214" s="27"/>
      <c r="W214" s="27"/>
      <c r="X214" s="27"/>
    </row>
    <row r="215" spans="1:26" ht="26.4" customHeight="1">
      <c r="A215" s="493"/>
      <c r="B215" s="493"/>
      <c r="C215" s="257"/>
      <c r="D215" s="257"/>
      <c r="E215" s="27"/>
      <c r="F215" s="27"/>
      <c r="G215" s="203"/>
      <c r="H215" s="223"/>
      <c r="I215" s="27"/>
      <c r="J215" s="27"/>
      <c r="K215" s="27"/>
      <c r="L215" s="27"/>
      <c r="M215" s="27"/>
      <c r="N215" s="27"/>
      <c r="O215" s="27"/>
      <c r="P215" s="27"/>
      <c r="Q215" s="27"/>
      <c r="R215" s="27"/>
      <c r="S215" s="27"/>
      <c r="T215" s="27"/>
      <c r="U215" s="27"/>
      <c r="V215" s="27"/>
      <c r="W215" s="27"/>
      <c r="X215" s="27"/>
    </row>
    <row r="216" spans="1:26">
      <c r="A216" s="493"/>
      <c r="B216" s="493"/>
      <c r="C216" s="257"/>
      <c r="D216" s="257"/>
      <c r="E216" s="27"/>
      <c r="F216" s="27"/>
      <c r="G216" s="203"/>
      <c r="H216" s="223"/>
      <c r="I216" s="27"/>
      <c r="J216" s="27"/>
      <c r="K216" s="27"/>
      <c r="L216" s="27"/>
      <c r="M216" s="27"/>
      <c r="N216" s="27"/>
      <c r="O216" s="27"/>
      <c r="P216" s="27"/>
      <c r="Q216" s="27"/>
      <c r="R216" s="27"/>
      <c r="S216" s="27"/>
      <c r="T216" s="27"/>
      <c r="U216" s="27"/>
      <c r="V216" s="27"/>
      <c r="W216" s="27"/>
      <c r="X216" s="27"/>
    </row>
    <row r="217" spans="1:26">
      <c r="A217" s="493"/>
      <c r="B217" s="493"/>
      <c r="C217" s="257"/>
      <c r="D217" s="257"/>
      <c r="E217" s="27"/>
      <c r="F217" s="27"/>
      <c r="G217" s="203"/>
      <c r="H217" s="223"/>
      <c r="I217" s="27"/>
      <c r="J217" s="27"/>
      <c r="K217" s="27"/>
      <c r="L217" s="27"/>
      <c r="M217" s="27"/>
      <c r="N217" s="27"/>
      <c r="O217" s="27"/>
      <c r="P217" s="27"/>
      <c r="Q217" s="27"/>
      <c r="R217" s="27"/>
      <c r="S217" s="27"/>
      <c r="T217" s="27"/>
      <c r="U217" s="27"/>
      <c r="V217" s="27"/>
      <c r="W217" s="27"/>
      <c r="X217" s="27"/>
    </row>
    <row r="218" spans="1:26">
      <c r="A218" s="493"/>
      <c r="B218" s="493"/>
      <c r="C218" s="257"/>
      <c r="D218" s="257"/>
      <c r="E218" s="27"/>
      <c r="F218" s="27"/>
      <c r="G218" s="203"/>
      <c r="H218" s="223"/>
      <c r="I218" s="27"/>
      <c r="J218" s="27"/>
      <c r="K218" s="27"/>
      <c r="L218" s="27"/>
      <c r="M218" s="27"/>
      <c r="N218" s="27"/>
      <c r="O218" s="27"/>
      <c r="P218" s="27"/>
      <c r="Q218" s="27"/>
      <c r="R218" s="27"/>
      <c r="S218" s="27"/>
      <c r="T218" s="27"/>
      <c r="U218" s="27"/>
      <c r="V218" s="27"/>
      <c r="W218" s="27"/>
      <c r="X218" s="27"/>
    </row>
    <row r="219" spans="1:26">
      <c r="A219" s="493"/>
      <c r="B219" s="493"/>
      <c r="C219" s="257"/>
      <c r="D219" s="257"/>
      <c r="E219" s="27"/>
      <c r="F219" s="27"/>
      <c r="G219" s="203"/>
      <c r="H219" s="223"/>
      <c r="I219" s="27"/>
      <c r="J219" s="27"/>
      <c r="K219" s="27"/>
      <c r="L219" s="27"/>
      <c r="M219" s="27"/>
      <c r="N219" s="27"/>
      <c r="O219" s="27"/>
      <c r="P219" s="27"/>
      <c r="Q219" s="27"/>
      <c r="R219" s="27"/>
      <c r="S219" s="27"/>
      <c r="T219" s="27"/>
      <c r="U219" s="27"/>
      <c r="V219" s="27"/>
      <c r="W219" s="27"/>
      <c r="X219" s="27"/>
    </row>
    <row r="220" spans="1:26">
      <c r="A220" s="493"/>
      <c r="B220" s="493"/>
      <c r="C220" s="257"/>
      <c r="D220" s="257"/>
      <c r="E220" s="27"/>
      <c r="F220" s="27"/>
      <c r="G220" s="203"/>
      <c r="H220" s="223"/>
      <c r="I220" s="27"/>
      <c r="J220" s="27"/>
      <c r="K220" s="27"/>
      <c r="L220" s="27"/>
      <c r="M220" s="27"/>
      <c r="N220" s="27"/>
      <c r="O220" s="27"/>
      <c r="P220" s="27"/>
      <c r="Q220" s="27"/>
      <c r="R220" s="27"/>
      <c r="S220" s="27"/>
      <c r="T220" s="27"/>
      <c r="U220" s="27"/>
      <c r="V220" s="27"/>
      <c r="W220" s="27"/>
      <c r="X220" s="27"/>
    </row>
    <row r="221" spans="1:26">
      <c r="A221" s="493"/>
      <c r="B221" s="493"/>
      <c r="C221" s="257"/>
      <c r="D221" s="257"/>
      <c r="E221" s="27"/>
      <c r="F221" s="27"/>
      <c r="G221" s="203"/>
      <c r="H221" s="223"/>
      <c r="I221" s="27"/>
      <c r="J221" s="27"/>
      <c r="K221" s="27"/>
      <c r="L221" s="27"/>
      <c r="M221" s="27"/>
      <c r="N221" s="27"/>
      <c r="O221" s="27"/>
      <c r="P221" s="27"/>
      <c r="Q221" s="27"/>
      <c r="R221" s="27"/>
      <c r="S221" s="27"/>
      <c r="T221" s="27"/>
      <c r="U221" s="27"/>
      <c r="V221" s="27"/>
      <c r="W221" s="27"/>
      <c r="X221" s="27"/>
    </row>
    <row r="222" spans="1:26">
      <c r="A222" s="500"/>
      <c r="B222" s="493"/>
      <c r="C222" s="257"/>
      <c r="D222" s="257"/>
      <c r="E222" s="27"/>
      <c r="F222" s="27"/>
      <c r="G222" s="203"/>
      <c r="H222" s="223"/>
      <c r="I222" s="27"/>
      <c r="J222" s="27"/>
      <c r="K222" s="27"/>
      <c r="L222" s="27"/>
      <c r="M222" s="27"/>
      <c r="N222" s="27"/>
      <c r="O222" s="27"/>
      <c r="P222" s="27"/>
      <c r="Q222" s="27"/>
      <c r="R222" s="27"/>
      <c r="S222" s="27"/>
      <c r="T222" s="27"/>
      <c r="U222" s="27"/>
      <c r="V222" s="27"/>
      <c r="W222" s="27"/>
      <c r="X222" s="189"/>
    </row>
    <row r="223" spans="1:26" ht="26.4" customHeight="1">
      <c r="A223" s="500"/>
      <c r="B223" s="493"/>
      <c r="C223" s="257"/>
      <c r="D223" s="257"/>
      <c r="E223" s="27"/>
      <c r="F223" s="27"/>
      <c r="G223" s="203"/>
      <c r="H223" s="223"/>
      <c r="I223" s="27"/>
      <c r="J223" s="27"/>
      <c r="K223" s="27"/>
      <c r="L223" s="27"/>
      <c r="M223" s="27"/>
      <c r="N223" s="27"/>
      <c r="O223" s="27"/>
      <c r="P223" s="27"/>
      <c r="Q223" s="27"/>
      <c r="R223" s="27"/>
      <c r="S223" s="27"/>
      <c r="T223" s="27"/>
      <c r="U223" s="27"/>
      <c r="V223" s="27"/>
      <c r="W223" s="27"/>
      <c r="X223" s="189"/>
    </row>
    <row r="224" spans="1:26">
      <c r="A224" s="500"/>
      <c r="B224" s="493"/>
      <c r="C224" s="257"/>
      <c r="D224" s="257"/>
      <c r="E224" s="27"/>
      <c r="F224" s="27"/>
      <c r="G224" s="203"/>
      <c r="H224" s="223"/>
      <c r="I224" s="27"/>
      <c r="J224" s="27"/>
      <c r="K224" s="27"/>
      <c r="L224" s="27"/>
      <c r="M224" s="27"/>
      <c r="N224" s="27"/>
      <c r="O224" s="27"/>
      <c r="P224" s="27"/>
      <c r="Q224" s="27"/>
      <c r="R224" s="27"/>
      <c r="S224" s="27"/>
      <c r="T224" s="27"/>
      <c r="U224" s="27"/>
      <c r="V224" s="27"/>
      <c r="W224" s="27"/>
      <c r="X224" s="189"/>
    </row>
    <row r="225" spans="1:24">
      <c r="A225" s="500"/>
      <c r="B225" s="493"/>
      <c r="C225" s="257"/>
      <c r="D225" s="257"/>
      <c r="E225" s="27"/>
      <c r="F225" s="27"/>
      <c r="G225" s="203"/>
      <c r="H225" s="223"/>
      <c r="I225" s="27"/>
      <c r="J225" s="27"/>
      <c r="K225" s="27"/>
      <c r="L225" s="27"/>
      <c r="M225" s="27"/>
      <c r="N225" s="27"/>
      <c r="O225" s="27"/>
      <c r="P225" s="27"/>
      <c r="Q225" s="27"/>
      <c r="R225" s="27"/>
      <c r="S225" s="27"/>
      <c r="T225" s="27"/>
      <c r="U225" s="27"/>
      <c r="V225" s="27"/>
      <c r="W225" s="27"/>
      <c r="X225" s="189"/>
    </row>
    <row r="226" spans="1:24">
      <c r="A226" s="500"/>
      <c r="B226" s="493"/>
      <c r="C226" s="257"/>
      <c r="D226" s="257"/>
      <c r="E226" s="27"/>
      <c r="F226" s="27"/>
      <c r="G226" s="203"/>
      <c r="H226" s="223"/>
      <c r="I226" s="27"/>
      <c r="J226" s="27"/>
      <c r="K226" s="27"/>
      <c r="L226" s="27"/>
      <c r="M226" s="27"/>
      <c r="N226" s="27"/>
      <c r="O226" s="27"/>
      <c r="P226" s="27"/>
      <c r="Q226" s="27"/>
      <c r="R226" s="27"/>
      <c r="S226" s="27"/>
      <c r="T226" s="27"/>
      <c r="U226" s="27"/>
      <c r="V226" s="27"/>
      <c r="W226" s="27"/>
      <c r="X226" s="189"/>
    </row>
    <row r="227" spans="1:24">
      <c r="A227" s="500"/>
      <c r="B227" s="493"/>
      <c r="C227" s="257"/>
      <c r="D227" s="257"/>
      <c r="E227" s="27"/>
      <c r="F227" s="27"/>
      <c r="G227" s="203"/>
      <c r="H227" s="223"/>
      <c r="I227" s="27"/>
      <c r="J227" s="27"/>
      <c r="K227" s="27"/>
      <c r="L227" s="27"/>
      <c r="M227" s="27"/>
      <c r="N227" s="27"/>
      <c r="O227" s="27"/>
      <c r="P227" s="27"/>
      <c r="Q227" s="27"/>
      <c r="R227" s="27"/>
      <c r="S227" s="27"/>
      <c r="T227" s="27"/>
      <c r="U227" s="27"/>
      <c r="V227" s="27"/>
      <c r="W227" s="27"/>
      <c r="X227" s="189"/>
    </row>
    <row r="228" spans="1:24" ht="26.4" customHeight="1">
      <c r="A228" s="500"/>
      <c r="B228" s="493"/>
      <c r="C228" s="257"/>
      <c r="D228" s="257"/>
      <c r="E228" s="27"/>
      <c r="F228" s="27"/>
      <c r="G228" s="203"/>
      <c r="H228" s="223"/>
      <c r="I228" s="27"/>
      <c r="J228" s="27"/>
      <c r="K228" s="27"/>
      <c r="L228" s="27"/>
      <c r="M228" s="27"/>
      <c r="N228" s="27"/>
      <c r="O228" s="27"/>
      <c r="P228" s="27"/>
      <c r="Q228" s="27"/>
      <c r="R228" s="27"/>
      <c r="S228" s="27"/>
      <c r="T228" s="27"/>
      <c r="U228" s="27"/>
      <c r="V228" s="27"/>
      <c r="W228" s="27"/>
      <c r="X228" s="189"/>
    </row>
    <row r="229" spans="1:24" s="436" customFormat="1">
      <c r="A229" s="500"/>
      <c r="B229" s="493"/>
      <c r="C229" s="257"/>
      <c r="D229" s="257"/>
      <c r="E229" s="27"/>
      <c r="F229" s="27"/>
      <c r="G229" s="203"/>
      <c r="H229" s="223"/>
      <c r="I229" s="27"/>
      <c r="J229" s="27"/>
      <c r="K229" s="27"/>
      <c r="L229" s="27"/>
      <c r="M229" s="27"/>
      <c r="N229" s="27"/>
      <c r="O229" s="27"/>
      <c r="P229" s="27"/>
      <c r="Q229" s="27"/>
      <c r="R229" s="27"/>
      <c r="S229" s="27"/>
      <c r="T229" s="27"/>
      <c r="U229" s="27"/>
      <c r="V229" s="27"/>
      <c r="W229" s="27"/>
      <c r="X229" s="189"/>
    </row>
    <row r="230" spans="1:24">
      <c r="A230" s="585"/>
      <c r="B230" s="532"/>
      <c r="C230" s="529"/>
      <c r="D230" s="529"/>
      <c r="E230" s="319"/>
      <c r="F230" s="319"/>
      <c r="G230" s="593"/>
      <c r="H230" s="320"/>
      <c r="I230" s="319"/>
      <c r="J230" s="319"/>
      <c r="K230" s="319"/>
      <c r="L230" s="319"/>
      <c r="M230" s="319"/>
      <c r="N230" s="319"/>
      <c r="O230" s="319"/>
      <c r="P230" s="319"/>
      <c r="Q230" s="319"/>
      <c r="R230" s="319"/>
      <c r="S230" s="319"/>
      <c r="T230" s="319"/>
      <c r="U230" s="319"/>
      <c r="V230" s="319"/>
      <c r="W230" s="319"/>
      <c r="X230" s="221"/>
    </row>
    <row r="231" spans="1:24">
      <c r="A231" s="500"/>
      <c r="B231" s="493"/>
      <c r="C231" s="257"/>
      <c r="D231" s="257"/>
      <c r="E231" s="27"/>
      <c r="F231" s="27"/>
      <c r="G231" s="203"/>
      <c r="H231" s="223"/>
      <c r="I231" s="27"/>
      <c r="J231" s="27"/>
      <c r="K231" s="27"/>
      <c r="L231" s="27"/>
      <c r="M231" s="27"/>
      <c r="N231" s="27"/>
      <c r="O231" s="27"/>
      <c r="P231" s="27"/>
      <c r="Q231" s="27"/>
      <c r="R231" s="27"/>
      <c r="S231" s="27"/>
      <c r="T231" s="27"/>
      <c r="U231" s="27"/>
      <c r="V231" s="27"/>
      <c r="W231" s="27"/>
      <c r="X231" s="189"/>
    </row>
    <row r="232" spans="1:24">
      <c r="A232" s="500"/>
      <c r="B232" s="493"/>
      <c r="C232" s="257"/>
      <c r="D232" s="257"/>
      <c r="E232" s="27"/>
      <c r="F232" s="27"/>
      <c r="G232" s="203"/>
      <c r="H232" s="223"/>
      <c r="I232" s="27"/>
      <c r="J232" s="27"/>
      <c r="K232" s="27"/>
      <c r="L232" s="27"/>
      <c r="M232" s="27"/>
      <c r="N232" s="27"/>
      <c r="O232" s="27"/>
      <c r="P232" s="27"/>
      <c r="Q232" s="27"/>
      <c r="R232" s="27"/>
      <c r="S232" s="27"/>
      <c r="T232" s="27"/>
      <c r="U232" s="27"/>
      <c r="V232" s="27"/>
      <c r="W232" s="27"/>
      <c r="X232" s="189"/>
    </row>
    <row r="233" spans="1:24" ht="20.399999999999999" customHeight="1">
      <c r="A233" s="500"/>
      <c r="B233" s="493"/>
      <c r="C233" s="257"/>
      <c r="D233" s="257"/>
      <c r="E233" s="27"/>
      <c r="F233" s="27"/>
      <c r="G233" s="203"/>
      <c r="H233" s="223"/>
      <c r="I233" s="27"/>
      <c r="J233" s="27"/>
      <c r="K233" s="27"/>
      <c r="L233" s="27"/>
      <c r="M233" s="27"/>
      <c r="N233" s="27"/>
      <c r="O233" s="27"/>
      <c r="P233" s="27"/>
      <c r="Q233" s="27"/>
      <c r="R233" s="27"/>
      <c r="S233" s="27"/>
      <c r="T233" s="27"/>
      <c r="U233" s="27"/>
      <c r="V233" s="27"/>
      <c r="W233" s="27"/>
      <c r="X233" s="189"/>
    </row>
    <row r="234" spans="1:24">
      <c r="A234" s="358"/>
      <c r="B234" s="359"/>
      <c r="C234" s="359"/>
      <c r="D234" s="359"/>
      <c r="E234" s="359"/>
      <c r="F234" s="359"/>
      <c r="G234" s="359"/>
      <c r="H234" s="359"/>
      <c r="I234" s="359"/>
      <c r="J234" s="359"/>
      <c r="K234" s="359"/>
      <c r="L234" s="359"/>
      <c r="M234" s="359"/>
      <c r="N234" s="359"/>
      <c r="O234" s="359"/>
      <c r="P234" s="359"/>
      <c r="Q234" s="359"/>
      <c r="R234" s="359"/>
      <c r="S234" s="359"/>
      <c r="T234" s="359"/>
      <c r="U234" s="359"/>
      <c r="V234" s="359"/>
      <c r="W234" s="359"/>
      <c r="X234" s="360"/>
    </row>
    <row r="236" spans="1:24">
      <c r="A236" s="327" t="s">
        <v>132</v>
      </c>
      <c r="B236" s="328"/>
      <c r="C236" s="328"/>
      <c r="D236" s="328"/>
      <c r="E236" s="328"/>
      <c r="F236" s="328"/>
      <c r="G236" s="328"/>
      <c r="H236" s="328"/>
      <c r="I236" s="328"/>
      <c r="J236" s="328"/>
      <c r="K236" s="328"/>
      <c r="L236" s="328"/>
      <c r="M236" s="328"/>
      <c r="N236" s="328"/>
      <c r="O236" s="328"/>
      <c r="P236" s="328"/>
      <c r="Q236" s="328"/>
      <c r="R236" s="328"/>
      <c r="S236" s="328"/>
      <c r="T236" s="328"/>
      <c r="U236" s="328"/>
      <c r="V236" s="328"/>
      <c r="W236" s="329"/>
      <c r="X236" s="330"/>
    </row>
    <row r="237" spans="1:24" ht="26.4">
      <c r="A237" s="782" t="s">
        <v>97</v>
      </c>
      <c r="B237" s="782"/>
      <c r="C237" s="612"/>
      <c r="D237" s="782" t="s">
        <v>98</v>
      </c>
      <c r="E237" s="782"/>
      <c r="F237" s="782"/>
      <c r="G237" s="782" t="s">
        <v>99</v>
      </c>
      <c r="H237" s="782"/>
      <c r="I237" s="782" t="s">
        <v>100</v>
      </c>
      <c r="J237" s="782"/>
      <c r="K237" s="614" t="s">
        <v>101</v>
      </c>
      <c r="L237" s="615"/>
      <c r="M237" s="782" t="s">
        <v>112</v>
      </c>
      <c r="N237" s="782"/>
      <c r="O237" s="782"/>
      <c r="P237" s="782"/>
      <c r="Q237" s="614" t="s">
        <v>104</v>
      </c>
      <c r="R237" s="615"/>
      <c r="S237" s="614" t="s">
        <v>105</v>
      </c>
      <c r="T237" s="620"/>
      <c r="U237" s="620"/>
      <c r="V237" s="620"/>
      <c r="W237" s="331" t="s">
        <v>134</v>
      </c>
      <c r="X237" s="331" t="s">
        <v>106</v>
      </c>
    </row>
    <row r="238" spans="1:24" ht="26.4" customHeight="1">
      <c r="A238" s="623"/>
      <c r="B238" s="623"/>
      <c r="C238" s="623"/>
      <c r="D238" s="613"/>
      <c r="E238" s="613"/>
      <c r="F238" s="624"/>
      <c r="G238" s="613"/>
      <c r="H238" s="783"/>
      <c r="I238" s="819"/>
      <c r="J238" s="823"/>
      <c r="K238" s="612"/>
      <c r="L238" s="612"/>
      <c r="M238" s="612"/>
      <c r="N238" s="612"/>
      <c r="O238" s="613"/>
      <c r="P238" s="613"/>
      <c r="Q238" s="629"/>
      <c r="R238" s="629"/>
      <c r="S238" s="820"/>
      <c r="T238" s="821"/>
      <c r="U238" s="821"/>
      <c r="V238" s="822"/>
      <c r="W238" s="275"/>
      <c r="X238" s="276"/>
    </row>
    <row r="239" spans="1:24">
      <c r="A239" s="623"/>
      <c r="B239" s="623"/>
      <c r="C239" s="623"/>
      <c r="D239" s="613"/>
      <c r="E239" s="613"/>
      <c r="F239" s="625"/>
      <c r="G239" s="613"/>
      <c r="H239" s="613"/>
      <c r="I239" s="819"/>
      <c r="J239" s="823"/>
      <c r="K239" s="612"/>
      <c r="L239" s="612"/>
      <c r="M239" s="612"/>
      <c r="N239" s="612"/>
      <c r="O239" s="613"/>
      <c r="P239" s="613"/>
      <c r="Q239" s="629"/>
      <c r="R239" s="629"/>
      <c r="S239" s="820"/>
      <c r="T239" s="821"/>
      <c r="U239" s="821"/>
      <c r="V239" s="822"/>
      <c r="W239" s="275"/>
      <c r="X239" s="276"/>
    </row>
    <row r="240" spans="1:24">
      <c r="A240" s="623"/>
      <c r="B240" s="623"/>
      <c r="C240" s="623"/>
      <c r="D240" s="613"/>
      <c r="E240" s="613"/>
      <c r="F240" s="626"/>
      <c r="G240" s="613"/>
      <c r="H240" s="613"/>
      <c r="I240" s="819"/>
      <c r="J240" s="823"/>
      <c r="K240" s="612"/>
      <c r="L240" s="612"/>
      <c r="M240" s="612"/>
      <c r="N240" s="612"/>
      <c r="O240" s="613"/>
      <c r="P240" s="613"/>
      <c r="Q240" s="629"/>
      <c r="R240" s="629"/>
      <c r="S240" s="820"/>
      <c r="T240" s="821"/>
      <c r="U240" s="821"/>
      <c r="V240" s="822"/>
      <c r="W240" s="275"/>
      <c r="X240" s="275"/>
    </row>
  </sheetData>
  <mergeCells count="1144">
    <mergeCell ref="A186:A188"/>
    <mergeCell ref="A103:A115"/>
    <mergeCell ref="B103:C115"/>
    <mergeCell ref="I103:J115"/>
    <mergeCell ref="Q103:R115"/>
    <mergeCell ref="B186:C188"/>
    <mergeCell ref="D186:E186"/>
    <mergeCell ref="F186:F188"/>
    <mergeCell ref="G186:G188"/>
    <mergeCell ref="H186:H188"/>
    <mergeCell ref="I186:J188"/>
    <mergeCell ref="Q186:R188"/>
    <mergeCell ref="Q181:R183"/>
    <mergeCell ref="K183:L183"/>
    <mergeCell ref="M183:N183"/>
    <mergeCell ref="O183:P183"/>
    <mergeCell ref="K186:L186"/>
    <mergeCell ref="M186:N186"/>
    <mergeCell ref="O186:P186"/>
    <mergeCell ref="A180:C180"/>
    <mergeCell ref="D180:F180"/>
    <mergeCell ref="G180:H180"/>
    <mergeCell ref="I180:J180"/>
    <mergeCell ref="K180:L180"/>
    <mergeCell ref="M180:N180"/>
    <mergeCell ref="O180:P180"/>
    <mergeCell ref="Q180:R180"/>
    <mergeCell ref="M171:N171"/>
    <mergeCell ref="O171:P171"/>
    <mergeCell ref="B171:C173"/>
    <mergeCell ref="D173:E173"/>
    <mergeCell ref="F171:F173"/>
    <mergeCell ref="I185:J185"/>
    <mergeCell ref="Q185:R185"/>
    <mergeCell ref="M188:N188"/>
    <mergeCell ref="O188:P188"/>
    <mergeCell ref="S188:V188"/>
    <mergeCell ref="K181:L181"/>
    <mergeCell ref="M181:N181"/>
    <mergeCell ref="O181:P181"/>
    <mergeCell ref="S181:V181"/>
    <mergeCell ref="D182:E182"/>
    <mergeCell ref="K182:L182"/>
    <mergeCell ref="M182:N182"/>
    <mergeCell ref="O182:P182"/>
    <mergeCell ref="S182:V182"/>
    <mergeCell ref="D183:E183"/>
    <mergeCell ref="S183:V183"/>
    <mergeCell ref="K185:L185"/>
    <mergeCell ref="M185:N185"/>
    <mergeCell ref="O185:P185"/>
    <mergeCell ref="S185:V185"/>
    <mergeCell ref="D172:E172"/>
    <mergeCell ref="K172:L172"/>
    <mergeCell ref="M172:N172"/>
    <mergeCell ref="O172:P172"/>
    <mergeCell ref="S172:V172"/>
    <mergeCell ref="D171:E171"/>
    <mergeCell ref="K171:L171"/>
    <mergeCell ref="I80:J82"/>
    <mergeCell ref="S180:V180"/>
    <mergeCell ref="A181:A183"/>
    <mergeCell ref="B181:C183"/>
    <mergeCell ref="D181:E181"/>
    <mergeCell ref="F181:F183"/>
    <mergeCell ref="G181:G183"/>
    <mergeCell ref="H181:H183"/>
    <mergeCell ref="I181:J183"/>
    <mergeCell ref="G171:G173"/>
    <mergeCell ref="G176:G178"/>
    <mergeCell ref="H176:H178"/>
    <mergeCell ref="I176:J178"/>
    <mergeCell ref="K176:L176"/>
    <mergeCell ref="M176:N176"/>
    <mergeCell ref="O176:P176"/>
    <mergeCell ref="Q176:R178"/>
    <mergeCell ref="S176:V176"/>
    <mergeCell ref="D177:E177"/>
    <mergeCell ref="K177:L177"/>
    <mergeCell ref="F176:F178"/>
    <mergeCell ref="G161:G163"/>
    <mergeCell ref="H161:H163"/>
    <mergeCell ref="K161:L161"/>
    <mergeCell ref="Q166:R168"/>
    <mergeCell ref="E204:I204"/>
    <mergeCell ref="L204:M204"/>
    <mergeCell ref="N204:P204"/>
    <mergeCell ref="Q204:V204"/>
    <mergeCell ref="G191:S191"/>
    <mergeCell ref="A193:D193"/>
    <mergeCell ref="E193:I193"/>
    <mergeCell ref="J193:K193"/>
    <mergeCell ref="L193:M193"/>
    <mergeCell ref="N193:P193"/>
    <mergeCell ref="S186:V186"/>
    <mergeCell ref="D187:E187"/>
    <mergeCell ref="K187:L187"/>
    <mergeCell ref="M187:N187"/>
    <mergeCell ref="O187:P187"/>
    <mergeCell ref="S187:V187"/>
    <mergeCell ref="D188:E188"/>
    <mergeCell ref="K188:L188"/>
    <mergeCell ref="Q193:V193"/>
    <mergeCell ref="J199:K199"/>
    <mergeCell ref="L199:M199"/>
    <mergeCell ref="N199:P199"/>
    <mergeCell ref="Q199:V199"/>
    <mergeCell ref="A200:A207"/>
    <mergeCell ref="A194:A196"/>
    <mergeCell ref="B194:D194"/>
    <mergeCell ref="B195:D195"/>
    <mergeCell ref="B196:D196"/>
    <mergeCell ref="B200:D200"/>
    <mergeCell ref="B201:D201"/>
    <mergeCell ref="B207:D207"/>
    <mergeCell ref="J200:J207"/>
    <mergeCell ref="A185:C185"/>
    <mergeCell ref="D185:F185"/>
    <mergeCell ref="G185:H185"/>
    <mergeCell ref="H171:H173"/>
    <mergeCell ref="I171:J173"/>
    <mergeCell ref="A170:C170"/>
    <mergeCell ref="D170:F170"/>
    <mergeCell ref="G170:H170"/>
    <mergeCell ref="I170:J170"/>
    <mergeCell ref="K170:L170"/>
    <mergeCell ref="M170:N170"/>
    <mergeCell ref="O170:P170"/>
    <mergeCell ref="Q170:R170"/>
    <mergeCell ref="S170:V170"/>
    <mergeCell ref="K173:L173"/>
    <mergeCell ref="M173:N173"/>
    <mergeCell ref="O173:P173"/>
    <mergeCell ref="Q171:R173"/>
    <mergeCell ref="S173:V173"/>
    <mergeCell ref="A171:A173"/>
    <mergeCell ref="A175:C175"/>
    <mergeCell ref="D175:F175"/>
    <mergeCell ref="G175:H175"/>
    <mergeCell ref="I175:J175"/>
    <mergeCell ref="K175:L175"/>
    <mergeCell ref="M175:N175"/>
    <mergeCell ref="O175:P175"/>
    <mergeCell ref="Q175:R175"/>
    <mergeCell ref="S175:V175"/>
    <mergeCell ref="S177:V177"/>
    <mergeCell ref="S178:V178"/>
    <mergeCell ref="S171:V171"/>
    <mergeCell ref="S166:V166"/>
    <mergeCell ref="D167:E167"/>
    <mergeCell ref="K167:L167"/>
    <mergeCell ref="M167:N167"/>
    <mergeCell ref="O167:P167"/>
    <mergeCell ref="S167:V167"/>
    <mergeCell ref="D168:E168"/>
    <mergeCell ref="K168:L168"/>
    <mergeCell ref="M168:N168"/>
    <mergeCell ref="O168:P168"/>
    <mergeCell ref="S168:V168"/>
    <mergeCell ref="A166:A168"/>
    <mergeCell ref="B166:C168"/>
    <mergeCell ref="D166:E166"/>
    <mergeCell ref="F166:F168"/>
    <mergeCell ref="G166:G168"/>
    <mergeCell ref="H166:H168"/>
    <mergeCell ref="I166:J168"/>
    <mergeCell ref="K166:L166"/>
    <mergeCell ref="M166:N166"/>
    <mergeCell ref="F156:F158"/>
    <mergeCell ref="G156:G158"/>
    <mergeCell ref="H156:H158"/>
    <mergeCell ref="K156:L156"/>
    <mergeCell ref="I156:J158"/>
    <mergeCell ref="A165:C165"/>
    <mergeCell ref="D165:F165"/>
    <mergeCell ref="G165:H165"/>
    <mergeCell ref="I165:J165"/>
    <mergeCell ref="K165:L165"/>
    <mergeCell ref="M165:N165"/>
    <mergeCell ref="A161:A163"/>
    <mergeCell ref="B161:C163"/>
    <mergeCell ref="A156:A158"/>
    <mergeCell ref="B156:C158"/>
    <mergeCell ref="D156:E156"/>
    <mergeCell ref="O166:P166"/>
    <mergeCell ref="O165:P165"/>
    <mergeCell ref="Q165:R165"/>
    <mergeCell ref="S165:V165"/>
    <mergeCell ref="M161:N161"/>
    <mergeCell ref="O161:P161"/>
    <mergeCell ref="Q161:R163"/>
    <mergeCell ref="S161:V161"/>
    <mergeCell ref="D162:E162"/>
    <mergeCell ref="K162:L162"/>
    <mergeCell ref="M162:N162"/>
    <mergeCell ref="O162:P162"/>
    <mergeCell ref="S162:V162"/>
    <mergeCell ref="D163:E163"/>
    <mergeCell ref="K163:L163"/>
    <mergeCell ref="M163:N163"/>
    <mergeCell ref="O163:P163"/>
    <mergeCell ref="S163:V163"/>
    <mergeCell ref="D161:E161"/>
    <mergeCell ref="F161:F163"/>
    <mergeCell ref="I161:J163"/>
    <mergeCell ref="A117:C117"/>
    <mergeCell ref="D117:F117"/>
    <mergeCell ref="G117:H117"/>
    <mergeCell ref="Q122:R122"/>
    <mergeCell ref="S122:V122"/>
    <mergeCell ref="A123:A125"/>
    <mergeCell ref="B123:C125"/>
    <mergeCell ref="D123:E123"/>
    <mergeCell ref="W159:X159"/>
    <mergeCell ref="A160:C160"/>
    <mergeCell ref="D160:F160"/>
    <mergeCell ref="G160:H160"/>
    <mergeCell ref="I160:J160"/>
    <mergeCell ref="K160:L160"/>
    <mergeCell ref="M160:N160"/>
    <mergeCell ref="O160:P160"/>
    <mergeCell ref="Q160:R160"/>
    <mergeCell ref="S160:V160"/>
    <mergeCell ref="M156:N156"/>
    <mergeCell ref="O156:P156"/>
    <mergeCell ref="Q156:R158"/>
    <mergeCell ref="S156:V156"/>
    <mergeCell ref="D157:E157"/>
    <mergeCell ref="K157:L157"/>
    <mergeCell ref="M157:N157"/>
    <mergeCell ref="O157:P157"/>
    <mergeCell ref="S157:V157"/>
    <mergeCell ref="D158:E158"/>
    <mergeCell ref="K158:L158"/>
    <mergeCell ref="M158:N158"/>
    <mergeCell ref="O158:P158"/>
    <mergeCell ref="S158:V158"/>
    <mergeCell ref="S118:V118"/>
    <mergeCell ref="D119:E119"/>
    <mergeCell ref="K119:L119"/>
    <mergeCell ref="M119:N119"/>
    <mergeCell ref="O119:P119"/>
    <mergeCell ref="S119:V119"/>
    <mergeCell ref="W154:X154"/>
    <mergeCell ref="A155:C155"/>
    <mergeCell ref="D155:F155"/>
    <mergeCell ref="G155:H155"/>
    <mergeCell ref="I155:J155"/>
    <mergeCell ref="K155:L155"/>
    <mergeCell ref="M155:N155"/>
    <mergeCell ref="O155:P155"/>
    <mergeCell ref="Q155:R155"/>
    <mergeCell ref="S155:V155"/>
    <mergeCell ref="D118:E118"/>
    <mergeCell ref="K118:L118"/>
    <mergeCell ref="M118:N118"/>
    <mergeCell ref="O118:P118"/>
    <mergeCell ref="A122:C122"/>
    <mergeCell ref="D122:F122"/>
    <mergeCell ref="G122:H122"/>
    <mergeCell ref="I122:J122"/>
    <mergeCell ref="K122:L122"/>
    <mergeCell ref="M122:N122"/>
    <mergeCell ref="O122:P122"/>
    <mergeCell ref="S135:V135"/>
    <mergeCell ref="A127:C127"/>
    <mergeCell ref="D127:F127"/>
    <mergeCell ref="G127:H127"/>
    <mergeCell ref="I127:J127"/>
    <mergeCell ref="S107:V107"/>
    <mergeCell ref="K108:L108"/>
    <mergeCell ref="I117:J117"/>
    <mergeCell ref="K117:L117"/>
    <mergeCell ref="M117:N117"/>
    <mergeCell ref="O117:P117"/>
    <mergeCell ref="Q117:R117"/>
    <mergeCell ref="K112:L112"/>
    <mergeCell ref="M112:N112"/>
    <mergeCell ref="O112:P112"/>
    <mergeCell ref="S117:V117"/>
    <mergeCell ref="O113:P113"/>
    <mergeCell ref="S113:V113"/>
    <mergeCell ref="K114:L114"/>
    <mergeCell ref="M114:N114"/>
    <mergeCell ref="O114:P114"/>
    <mergeCell ref="S114:V114"/>
    <mergeCell ref="K115:L115"/>
    <mergeCell ref="M115:N115"/>
    <mergeCell ref="O115:P115"/>
    <mergeCell ref="S115:V115"/>
    <mergeCell ref="S112:V112"/>
    <mergeCell ref="K113:L113"/>
    <mergeCell ref="M113:N113"/>
    <mergeCell ref="K103:L103"/>
    <mergeCell ref="M103:N103"/>
    <mergeCell ref="O103:P103"/>
    <mergeCell ref="S103:V103"/>
    <mergeCell ref="K104:L104"/>
    <mergeCell ref="M104:N104"/>
    <mergeCell ref="O104:P104"/>
    <mergeCell ref="S104:V104"/>
    <mergeCell ref="K105:L105"/>
    <mergeCell ref="M105:N105"/>
    <mergeCell ref="O105:P105"/>
    <mergeCell ref="S105:V105"/>
    <mergeCell ref="W101:X101"/>
    <mergeCell ref="G103:G115"/>
    <mergeCell ref="D103:E115"/>
    <mergeCell ref="F103:F115"/>
    <mergeCell ref="H103:H115"/>
    <mergeCell ref="M108:N108"/>
    <mergeCell ref="O108:P108"/>
    <mergeCell ref="S108:V108"/>
    <mergeCell ref="K109:L109"/>
    <mergeCell ref="M109:N109"/>
    <mergeCell ref="O109:P109"/>
    <mergeCell ref="S109:V109"/>
    <mergeCell ref="K110:L110"/>
    <mergeCell ref="M110:N110"/>
    <mergeCell ref="O110:P110"/>
    <mergeCell ref="S110:V110"/>
    <mergeCell ref="W106:X106"/>
    <mergeCell ref="K107:L107"/>
    <mergeCell ref="M107:N107"/>
    <mergeCell ref="O107:P107"/>
    <mergeCell ref="A102:C102"/>
    <mergeCell ref="D102:F102"/>
    <mergeCell ref="G102:H102"/>
    <mergeCell ref="I102:J102"/>
    <mergeCell ref="K102:L102"/>
    <mergeCell ref="M102:N102"/>
    <mergeCell ref="O102:P102"/>
    <mergeCell ref="Q102:R102"/>
    <mergeCell ref="S102:V102"/>
    <mergeCell ref="W4:X4"/>
    <mergeCell ref="A5:B5"/>
    <mergeCell ref="D5:F5"/>
    <mergeCell ref="H5:S5"/>
    <mergeCell ref="T5:V5"/>
    <mergeCell ref="W5:X5"/>
    <mergeCell ref="A1:G4"/>
    <mergeCell ref="H1:S2"/>
    <mergeCell ref="T1:V1"/>
    <mergeCell ref="W1:X1"/>
    <mergeCell ref="T2:V2"/>
    <mergeCell ref="W2:X2"/>
    <mergeCell ref="H3:S4"/>
    <mergeCell ref="T3:V3"/>
    <mergeCell ref="W3:X3"/>
    <mergeCell ref="T4:V4"/>
    <mergeCell ref="G11:G13"/>
    <mergeCell ref="H11:H13"/>
    <mergeCell ref="D12:E12"/>
    <mergeCell ref="D13:E13"/>
    <mergeCell ref="H7:S7"/>
    <mergeCell ref="A10:C10"/>
    <mergeCell ref="D10:F10"/>
    <mergeCell ref="G10:H10"/>
    <mergeCell ref="I10:J10"/>
    <mergeCell ref="K10:L10"/>
    <mergeCell ref="M10:N10"/>
    <mergeCell ref="O10:P10"/>
    <mergeCell ref="Q10:R10"/>
    <mergeCell ref="S10:V10"/>
    <mergeCell ref="K13:L13"/>
    <mergeCell ref="M13:N13"/>
    <mergeCell ref="O13:P13"/>
    <mergeCell ref="S13:V13"/>
    <mergeCell ref="A15:C15"/>
    <mergeCell ref="D15:F15"/>
    <mergeCell ref="G15:H15"/>
    <mergeCell ref="I15:J15"/>
    <mergeCell ref="K15:L15"/>
    <mergeCell ref="M15:N15"/>
    <mergeCell ref="I11:J13"/>
    <mergeCell ref="K11:L11"/>
    <mergeCell ref="M11:N11"/>
    <mergeCell ref="O11:P11"/>
    <mergeCell ref="Q11:R13"/>
    <mergeCell ref="S11:V11"/>
    <mergeCell ref="K12:L12"/>
    <mergeCell ref="M12:N12"/>
    <mergeCell ref="O12:P12"/>
    <mergeCell ref="S12:V12"/>
    <mergeCell ref="A11:A13"/>
    <mergeCell ref="B11:C13"/>
    <mergeCell ref="D11:E11"/>
    <mergeCell ref="F11:F13"/>
    <mergeCell ref="O15:P15"/>
    <mergeCell ref="Q15:R15"/>
    <mergeCell ref="S15:V15"/>
    <mergeCell ref="A16:A18"/>
    <mergeCell ref="B16:C18"/>
    <mergeCell ref="D16:E16"/>
    <mergeCell ref="F16:F18"/>
    <mergeCell ref="G16:G18"/>
    <mergeCell ref="H16:H18"/>
    <mergeCell ref="I16:J18"/>
    <mergeCell ref="K16:L16"/>
    <mergeCell ref="M16:N16"/>
    <mergeCell ref="O16:P16"/>
    <mergeCell ref="Q16:R18"/>
    <mergeCell ref="S16:V16"/>
    <mergeCell ref="D17:E17"/>
    <mergeCell ref="K17:L17"/>
    <mergeCell ref="M17:N17"/>
    <mergeCell ref="O17:P17"/>
    <mergeCell ref="S17:V17"/>
    <mergeCell ref="D18:E18"/>
    <mergeCell ref="K18:L18"/>
    <mergeCell ref="M18:N18"/>
    <mergeCell ref="O18:P18"/>
    <mergeCell ref="S18:V18"/>
    <mergeCell ref="A20:C20"/>
    <mergeCell ref="D20:F20"/>
    <mergeCell ref="G20:H20"/>
    <mergeCell ref="I20:J20"/>
    <mergeCell ref="K20:L20"/>
    <mergeCell ref="M20:N20"/>
    <mergeCell ref="O20:P20"/>
    <mergeCell ref="Q20:R20"/>
    <mergeCell ref="S20:V20"/>
    <mergeCell ref="A21:A23"/>
    <mergeCell ref="B21:C23"/>
    <mergeCell ref="D21:E21"/>
    <mergeCell ref="F21:F23"/>
    <mergeCell ref="G21:G23"/>
    <mergeCell ref="H21:H23"/>
    <mergeCell ref="D22:E22"/>
    <mergeCell ref="K22:L22"/>
    <mergeCell ref="M22:N22"/>
    <mergeCell ref="O22:P22"/>
    <mergeCell ref="S22:V22"/>
    <mergeCell ref="D23:E23"/>
    <mergeCell ref="K23:L23"/>
    <mergeCell ref="M23:N23"/>
    <mergeCell ref="O23:P23"/>
    <mergeCell ref="S23:V23"/>
    <mergeCell ref="I21:J23"/>
    <mergeCell ref="K21:L21"/>
    <mergeCell ref="M21:N21"/>
    <mergeCell ref="O21:P21"/>
    <mergeCell ref="Q21:R23"/>
    <mergeCell ref="S21:V21"/>
    <mergeCell ref="O25:P25"/>
    <mergeCell ref="Q25:R25"/>
    <mergeCell ref="S25:V25"/>
    <mergeCell ref="A26:A28"/>
    <mergeCell ref="B26:C28"/>
    <mergeCell ref="D26:E26"/>
    <mergeCell ref="F26:F28"/>
    <mergeCell ref="G26:G28"/>
    <mergeCell ref="H26:H28"/>
    <mergeCell ref="I26:J28"/>
    <mergeCell ref="A25:C25"/>
    <mergeCell ref="D25:F25"/>
    <mergeCell ref="G25:H25"/>
    <mergeCell ref="I25:J25"/>
    <mergeCell ref="K25:L25"/>
    <mergeCell ref="M25:N25"/>
    <mergeCell ref="K26:L26"/>
    <mergeCell ref="M26:N26"/>
    <mergeCell ref="O26:P26"/>
    <mergeCell ref="Q26:R28"/>
    <mergeCell ref="S26:V26"/>
    <mergeCell ref="D27:E27"/>
    <mergeCell ref="K27:L27"/>
    <mergeCell ref="M27:N27"/>
    <mergeCell ref="O27:P27"/>
    <mergeCell ref="S27:V27"/>
    <mergeCell ref="D28:E28"/>
    <mergeCell ref="K28:L28"/>
    <mergeCell ref="M28:N28"/>
    <mergeCell ref="O28:P28"/>
    <mergeCell ref="S28:V28"/>
    <mergeCell ref="A34:C34"/>
    <mergeCell ref="D34:F34"/>
    <mergeCell ref="G34:H34"/>
    <mergeCell ref="I34:J34"/>
    <mergeCell ref="K34:L34"/>
    <mergeCell ref="M34:N34"/>
    <mergeCell ref="O34:P34"/>
    <mergeCell ref="Q34:R34"/>
    <mergeCell ref="S34:V34"/>
    <mergeCell ref="A35:A37"/>
    <mergeCell ref="B35:C37"/>
    <mergeCell ref="D35:E35"/>
    <mergeCell ref="F35:F37"/>
    <mergeCell ref="G35:G37"/>
    <mergeCell ref="H35:H37"/>
    <mergeCell ref="G38:G40"/>
    <mergeCell ref="H38:H40"/>
    <mergeCell ref="D39:E39"/>
    <mergeCell ref="D40:E40"/>
    <mergeCell ref="D36:E36"/>
    <mergeCell ref="K36:L36"/>
    <mergeCell ref="M36:N36"/>
    <mergeCell ref="O36:P36"/>
    <mergeCell ref="S36:V36"/>
    <mergeCell ref="D37:E37"/>
    <mergeCell ref="K37:L37"/>
    <mergeCell ref="M37:N37"/>
    <mergeCell ref="O37:P37"/>
    <mergeCell ref="S37:V37"/>
    <mergeCell ref="I35:J37"/>
    <mergeCell ref="K35:L35"/>
    <mergeCell ref="M35:N35"/>
    <mergeCell ref="O35:P35"/>
    <mergeCell ref="Q35:R37"/>
    <mergeCell ref="S35:V35"/>
    <mergeCell ref="K40:L40"/>
    <mergeCell ref="M40:N40"/>
    <mergeCell ref="O40:P40"/>
    <mergeCell ref="S40:V40"/>
    <mergeCell ref="A41:A43"/>
    <mergeCell ref="B41:C43"/>
    <mergeCell ref="D41:E41"/>
    <mergeCell ref="F41:F43"/>
    <mergeCell ref="G41:G43"/>
    <mergeCell ref="H41:H43"/>
    <mergeCell ref="I38:J40"/>
    <mergeCell ref="K38:L38"/>
    <mergeCell ref="M38:N38"/>
    <mergeCell ref="O38:P38"/>
    <mergeCell ref="Q38:R40"/>
    <mergeCell ref="S38:V38"/>
    <mergeCell ref="K39:L39"/>
    <mergeCell ref="M39:N39"/>
    <mergeCell ref="O39:P39"/>
    <mergeCell ref="S39:V39"/>
    <mergeCell ref="A38:A40"/>
    <mergeCell ref="B38:C40"/>
    <mergeCell ref="D38:E38"/>
    <mergeCell ref="F38:F40"/>
    <mergeCell ref="D42:E42"/>
    <mergeCell ref="K42:L42"/>
    <mergeCell ref="M42:N42"/>
    <mergeCell ref="O42:P42"/>
    <mergeCell ref="S42:V42"/>
    <mergeCell ref="D43:E43"/>
    <mergeCell ref="K43:L43"/>
    <mergeCell ref="M43:N43"/>
    <mergeCell ref="O43:P43"/>
    <mergeCell ref="S43:V43"/>
    <mergeCell ref="I41:J43"/>
    <mergeCell ref="K41:L41"/>
    <mergeCell ref="M41:N41"/>
    <mergeCell ref="O41:P41"/>
    <mergeCell ref="Q41:R43"/>
    <mergeCell ref="S41:V41"/>
    <mergeCell ref="G46:G48"/>
    <mergeCell ref="H46:H48"/>
    <mergeCell ref="D47:E47"/>
    <mergeCell ref="D48:E48"/>
    <mergeCell ref="W44:X44"/>
    <mergeCell ref="A45:C45"/>
    <mergeCell ref="D45:F45"/>
    <mergeCell ref="G45:H45"/>
    <mergeCell ref="I45:J45"/>
    <mergeCell ref="K45:L45"/>
    <mergeCell ref="M45:N45"/>
    <mergeCell ref="O45:P45"/>
    <mergeCell ref="Q45:R45"/>
    <mergeCell ref="S45:V45"/>
    <mergeCell ref="K48:L48"/>
    <mergeCell ref="M48:N48"/>
    <mergeCell ref="O48:P48"/>
    <mergeCell ref="S48:V48"/>
    <mergeCell ref="K53:L53"/>
    <mergeCell ref="M53:N53"/>
    <mergeCell ref="O53:P53"/>
    <mergeCell ref="S53:V53"/>
    <mergeCell ref="W49:X49"/>
    <mergeCell ref="A50:C50"/>
    <mergeCell ref="D50:F50"/>
    <mergeCell ref="G50:H50"/>
    <mergeCell ref="I50:J50"/>
    <mergeCell ref="K50:L50"/>
    <mergeCell ref="I46:J48"/>
    <mergeCell ref="K46:L46"/>
    <mergeCell ref="M46:N46"/>
    <mergeCell ref="O46:P46"/>
    <mergeCell ref="Q46:R48"/>
    <mergeCell ref="S46:V46"/>
    <mergeCell ref="K47:L47"/>
    <mergeCell ref="M47:N47"/>
    <mergeCell ref="O47:P47"/>
    <mergeCell ref="S47:V47"/>
    <mergeCell ref="A46:A48"/>
    <mergeCell ref="B46:C48"/>
    <mergeCell ref="D46:E46"/>
    <mergeCell ref="F46:F48"/>
    <mergeCell ref="M50:N50"/>
    <mergeCell ref="O50:P50"/>
    <mergeCell ref="Q50:R50"/>
    <mergeCell ref="S50:V50"/>
    <mergeCell ref="O58:P58"/>
    <mergeCell ref="S58:V58"/>
    <mergeCell ref="D59:E59"/>
    <mergeCell ref="K59:L59"/>
    <mergeCell ref="M59:N59"/>
    <mergeCell ref="O59:P59"/>
    <mergeCell ref="S59:V59"/>
    <mergeCell ref="I57:J59"/>
    <mergeCell ref="K57:L57"/>
    <mergeCell ref="M57:N57"/>
    <mergeCell ref="O57:P57"/>
    <mergeCell ref="Q57:R59"/>
    <mergeCell ref="S57:V57"/>
    <mergeCell ref="A51:A53"/>
    <mergeCell ref="B51:C53"/>
    <mergeCell ref="D51:E51"/>
    <mergeCell ref="F51:F53"/>
    <mergeCell ref="G51:G53"/>
    <mergeCell ref="H51:H53"/>
    <mergeCell ref="S51:V51"/>
    <mergeCell ref="D52:E52"/>
    <mergeCell ref="K52:L52"/>
    <mergeCell ref="M52:N52"/>
    <mergeCell ref="O52:P52"/>
    <mergeCell ref="S52:V52"/>
    <mergeCell ref="I51:I53"/>
    <mergeCell ref="J51:J53"/>
    <mergeCell ref="K51:L51"/>
    <mergeCell ref="M51:N51"/>
    <mergeCell ref="O51:P51"/>
    <mergeCell ref="Q51:R53"/>
    <mergeCell ref="D53:E53"/>
    <mergeCell ref="W60:X60"/>
    <mergeCell ref="A61:C61"/>
    <mergeCell ref="D61:F61"/>
    <mergeCell ref="G61:H61"/>
    <mergeCell ref="I61:J61"/>
    <mergeCell ref="K61:L61"/>
    <mergeCell ref="M61:N61"/>
    <mergeCell ref="O61:P61"/>
    <mergeCell ref="Q61:R61"/>
    <mergeCell ref="S61:V61"/>
    <mergeCell ref="K64:L64"/>
    <mergeCell ref="M64:N64"/>
    <mergeCell ref="O64:P64"/>
    <mergeCell ref="S64:V64"/>
    <mergeCell ref="A56:C56"/>
    <mergeCell ref="D56:F56"/>
    <mergeCell ref="G56:H56"/>
    <mergeCell ref="I56:J56"/>
    <mergeCell ref="K56:L56"/>
    <mergeCell ref="M56:N56"/>
    <mergeCell ref="O56:P56"/>
    <mergeCell ref="Q56:R56"/>
    <mergeCell ref="S56:V56"/>
    <mergeCell ref="A57:A59"/>
    <mergeCell ref="B57:C59"/>
    <mergeCell ref="D57:E57"/>
    <mergeCell ref="F57:F59"/>
    <mergeCell ref="G57:G59"/>
    <mergeCell ref="H57:H59"/>
    <mergeCell ref="D58:E58"/>
    <mergeCell ref="K58:L58"/>
    <mergeCell ref="M58:N58"/>
    <mergeCell ref="A66:C66"/>
    <mergeCell ref="D66:F66"/>
    <mergeCell ref="G66:H66"/>
    <mergeCell ref="I66:J66"/>
    <mergeCell ref="K66:L66"/>
    <mergeCell ref="M66:N66"/>
    <mergeCell ref="I62:J64"/>
    <mergeCell ref="K62:L62"/>
    <mergeCell ref="M62:N62"/>
    <mergeCell ref="O62:P62"/>
    <mergeCell ref="Q62:R64"/>
    <mergeCell ref="S62:V62"/>
    <mergeCell ref="K63:L63"/>
    <mergeCell ref="M63:N63"/>
    <mergeCell ref="O63:P63"/>
    <mergeCell ref="S63:V63"/>
    <mergeCell ref="A62:A64"/>
    <mergeCell ref="B62:C64"/>
    <mergeCell ref="D62:E62"/>
    <mergeCell ref="F62:F64"/>
    <mergeCell ref="O66:P66"/>
    <mergeCell ref="Q66:R66"/>
    <mergeCell ref="S66:V66"/>
    <mergeCell ref="G62:G64"/>
    <mergeCell ref="H62:H64"/>
    <mergeCell ref="D63:E63"/>
    <mergeCell ref="D64:E64"/>
    <mergeCell ref="A75:A77"/>
    <mergeCell ref="B75:C77"/>
    <mergeCell ref="A67:A69"/>
    <mergeCell ref="B67:C69"/>
    <mergeCell ref="D67:E67"/>
    <mergeCell ref="F67:F69"/>
    <mergeCell ref="G67:G69"/>
    <mergeCell ref="H67:H69"/>
    <mergeCell ref="K67:L67"/>
    <mergeCell ref="M67:N67"/>
    <mergeCell ref="O67:P67"/>
    <mergeCell ref="Q67:R69"/>
    <mergeCell ref="S67:V67"/>
    <mergeCell ref="D68:E68"/>
    <mergeCell ref="K68:L68"/>
    <mergeCell ref="M68:N68"/>
    <mergeCell ref="O68:P68"/>
    <mergeCell ref="S68:V68"/>
    <mergeCell ref="D69:E69"/>
    <mergeCell ref="K69:L69"/>
    <mergeCell ref="M69:N69"/>
    <mergeCell ref="O69:P69"/>
    <mergeCell ref="S69:V69"/>
    <mergeCell ref="I67:J69"/>
    <mergeCell ref="I75:J77"/>
    <mergeCell ref="S81:V81"/>
    <mergeCell ref="D82:E82"/>
    <mergeCell ref="K82:L82"/>
    <mergeCell ref="W73:X73"/>
    <mergeCell ref="A74:C74"/>
    <mergeCell ref="D74:F74"/>
    <mergeCell ref="G74:H74"/>
    <mergeCell ref="I74:J74"/>
    <mergeCell ref="K74:L74"/>
    <mergeCell ref="M74:N74"/>
    <mergeCell ref="O74:P74"/>
    <mergeCell ref="Q74:R74"/>
    <mergeCell ref="S74:V74"/>
    <mergeCell ref="S75:V75"/>
    <mergeCell ref="D76:E76"/>
    <mergeCell ref="K76:L76"/>
    <mergeCell ref="M76:N76"/>
    <mergeCell ref="O76:P76"/>
    <mergeCell ref="S76:V76"/>
    <mergeCell ref="K75:L75"/>
    <mergeCell ref="M75:N75"/>
    <mergeCell ref="O75:P75"/>
    <mergeCell ref="Q75:R77"/>
    <mergeCell ref="K77:L77"/>
    <mergeCell ref="M77:N77"/>
    <mergeCell ref="O77:P77"/>
    <mergeCell ref="D75:E75"/>
    <mergeCell ref="F75:F77"/>
    <mergeCell ref="G75:G77"/>
    <mergeCell ref="H75:H77"/>
    <mergeCell ref="D77:E77"/>
    <mergeCell ref="S77:V77"/>
    <mergeCell ref="O86:P86"/>
    <mergeCell ref="S86:V86"/>
    <mergeCell ref="D87:E87"/>
    <mergeCell ref="K87:L87"/>
    <mergeCell ref="M87:N87"/>
    <mergeCell ref="W78:X78"/>
    <mergeCell ref="A79:C79"/>
    <mergeCell ref="D79:F79"/>
    <mergeCell ref="G79:H79"/>
    <mergeCell ref="I79:J79"/>
    <mergeCell ref="K79:L79"/>
    <mergeCell ref="M79:N79"/>
    <mergeCell ref="O79:P79"/>
    <mergeCell ref="Q79:R79"/>
    <mergeCell ref="O87:P87"/>
    <mergeCell ref="S87:V87"/>
    <mergeCell ref="S79:V79"/>
    <mergeCell ref="A80:A82"/>
    <mergeCell ref="B80:C82"/>
    <mergeCell ref="D80:E80"/>
    <mergeCell ref="F80:F82"/>
    <mergeCell ref="G80:G82"/>
    <mergeCell ref="H80:H82"/>
    <mergeCell ref="K80:L80"/>
    <mergeCell ref="M80:N80"/>
    <mergeCell ref="O80:P80"/>
    <mergeCell ref="Q80:R82"/>
    <mergeCell ref="S80:V80"/>
    <mergeCell ref="D81:E81"/>
    <mergeCell ref="K81:L81"/>
    <mergeCell ref="M81:N81"/>
    <mergeCell ref="O81:P81"/>
    <mergeCell ref="Q89:R89"/>
    <mergeCell ref="S89:V89"/>
    <mergeCell ref="D90:E90"/>
    <mergeCell ref="M82:N82"/>
    <mergeCell ref="O82:P82"/>
    <mergeCell ref="S82:V82"/>
    <mergeCell ref="A84:C84"/>
    <mergeCell ref="D84:F84"/>
    <mergeCell ref="G84:H84"/>
    <mergeCell ref="I84:J84"/>
    <mergeCell ref="K84:L84"/>
    <mergeCell ref="M84:N84"/>
    <mergeCell ref="O84:P84"/>
    <mergeCell ref="Q84:R84"/>
    <mergeCell ref="S84:V84"/>
    <mergeCell ref="A85:A87"/>
    <mergeCell ref="B85:C87"/>
    <mergeCell ref="D85:E85"/>
    <mergeCell ref="F85:F87"/>
    <mergeCell ref="G85:G87"/>
    <mergeCell ref="H85:H87"/>
    <mergeCell ref="I85:J87"/>
    <mergeCell ref="K85:L85"/>
    <mergeCell ref="A90:A92"/>
    <mergeCell ref="B90:C92"/>
    <mergeCell ref="M85:N85"/>
    <mergeCell ref="O85:P85"/>
    <mergeCell ref="Q85:R87"/>
    <mergeCell ref="S85:V85"/>
    <mergeCell ref="D86:E86"/>
    <mergeCell ref="K86:L86"/>
    <mergeCell ref="M86:N86"/>
    <mergeCell ref="L202:M202"/>
    <mergeCell ref="N202:P202"/>
    <mergeCell ref="Q202:V202"/>
    <mergeCell ref="K90:L90"/>
    <mergeCell ref="M90:N90"/>
    <mergeCell ref="O90:P90"/>
    <mergeCell ref="S90:V90"/>
    <mergeCell ref="D91:E91"/>
    <mergeCell ref="K91:L91"/>
    <mergeCell ref="M91:N91"/>
    <mergeCell ref="O91:P91"/>
    <mergeCell ref="S91:V91"/>
    <mergeCell ref="A118:A120"/>
    <mergeCell ref="B118:C120"/>
    <mergeCell ref="D120:E120"/>
    <mergeCell ref="F118:F120"/>
    <mergeCell ref="G118:G120"/>
    <mergeCell ref="H118:H120"/>
    <mergeCell ref="I118:J120"/>
    <mergeCell ref="K120:L120"/>
    <mergeCell ref="M120:N120"/>
    <mergeCell ref="O120:P120"/>
    <mergeCell ref="S120:V120"/>
    <mergeCell ref="Q118:R120"/>
    <mergeCell ref="K92:L92"/>
    <mergeCell ref="M92:N92"/>
    <mergeCell ref="O92:P92"/>
    <mergeCell ref="Q90:R92"/>
    <mergeCell ref="S92:V92"/>
    <mergeCell ref="H90:H92"/>
    <mergeCell ref="S94:V94"/>
    <mergeCell ref="Q94:R94"/>
    <mergeCell ref="I123:J125"/>
    <mergeCell ref="K123:L123"/>
    <mergeCell ref="M123:N123"/>
    <mergeCell ref="S239:V239"/>
    <mergeCell ref="D240:E240"/>
    <mergeCell ref="K240:L240"/>
    <mergeCell ref="M240:N240"/>
    <mergeCell ref="O240:P240"/>
    <mergeCell ref="S240:V240"/>
    <mergeCell ref="J238:J240"/>
    <mergeCell ref="K238:L238"/>
    <mergeCell ref="M238:N238"/>
    <mergeCell ref="O238:P238"/>
    <mergeCell ref="Q238:R240"/>
    <mergeCell ref="S238:V238"/>
    <mergeCell ref="L200:M200"/>
    <mergeCell ref="N200:P200"/>
    <mergeCell ref="Q194:V194"/>
    <mergeCell ref="L195:M195"/>
    <mergeCell ref="N195:P195"/>
    <mergeCell ref="Q195:V195"/>
    <mergeCell ref="L196:M196"/>
    <mergeCell ref="N196:P196"/>
    <mergeCell ref="Q196:V196"/>
    <mergeCell ref="J194:J196"/>
    <mergeCell ref="K194:K196"/>
    <mergeCell ref="L194:M194"/>
    <mergeCell ref="N194:P194"/>
    <mergeCell ref="Q200:V200"/>
    <mergeCell ref="L201:M201"/>
    <mergeCell ref="N201:P201"/>
    <mergeCell ref="Q201:V201"/>
    <mergeCell ref="D94:F94"/>
    <mergeCell ref="G94:H94"/>
    <mergeCell ref="I94:J94"/>
    <mergeCell ref="S124:V124"/>
    <mergeCell ref="D125:E125"/>
    <mergeCell ref="K125:L125"/>
    <mergeCell ref="M125:N125"/>
    <mergeCell ref="O125:P125"/>
    <mergeCell ref="S125:V125"/>
    <mergeCell ref="O237:P237"/>
    <mergeCell ref="Q237:R237"/>
    <mergeCell ref="S237:V237"/>
    <mergeCell ref="A238:A240"/>
    <mergeCell ref="B238:C240"/>
    <mergeCell ref="D238:E238"/>
    <mergeCell ref="F238:F240"/>
    <mergeCell ref="G238:G240"/>
    <mergeCell ref="H238:H240"/>
    <mergeCell ref="I238:I240"/>
    <mergeCell ref="A237:C237"/>
    <mergeCell ref="D237:F237"/>
    <mergeCell ref="G237:H237"/>
    <mergeCell ref="I237:J237"/>
    <mergeCell ref="K237:L237"/>
    <mergeCell ref="M237:N237"/>
    <mergeCell ref="D239:E239"/>
    <mergeCell ref="K239:L239"/>
    <mergeCell ref="M239:N239"/>
    <mergeCell ref="O239:P239"/>
    <mergeCell ref="F123:F125"/>
    <mergeCell ref="G123:G125"/>
    <mergeCell ref="H123:H125"/>
    <mergeCell ref="L213:M213"/>
    <mergeCell ref="N213:P213"/>
    <mergeCell ref="Q213:V213"/>
    <mergeCell ref="O123:P123"/>
    <mergeCell ref="A89:C89"/>
    <mergeCell ref="D89:F89"/>
    <mergeCell ref="D92:E92"/>
    <mergeCell ref="F90:F92"/>
    <mergeCell ref="G90:G92"/>
    <mergeCell ref="A176:A178"/>
    <mergeCell ref="B176:C178"/>
    <mergeCell ref="D176:E176"/>
    <mergeCell ref="M177:N177"/>
    <mergeCell ref="O177:P177"/>
    <mergeCell ref="D178:E178"/>
    <mergeCell ref="K178:L178"/>
    <mergeCell ref="M178:N178"/>
    <mergeCell ref="O178:P178"/>
    <mergeCell ref="G89:H89"/>
    <mergeCell ref="I89:J89"/>
    <mergeCell ref="K89:L89"/>
    <mergeCell ref="M89:N89"/>
    <mergeCell ref="O89:P89"/>
    <mergeCell ref="D124:E124"/>
    <mergeCell ref="K124:L124"/>
    <mergeCell ref="M124:N124"/>
    <mergeCell ref="O124:P124"/>
    <mergeCell ref="I90:J92"/>
    <mergeCell ref="K94:L94"/>
    <mergeCell ref="M94:N94"/>
    <mergeCell ref="O94:P94"/>
    <mergeCell ref="A94:C94"/>
    <mergeCell ref="Q123:R125"/>
    <mergeCell ref="S123:V123"/>
    <mergeCell ref="A199:D199"/>
    <mergeCell ref="E199:I199"/>
    <mergeCell ref="A95:A97"/>
    <mergeCell ref="B95:C97"/>
    <mergeCell ref="D95:E95"/>
    <mergeCell ref="F95:F97"/>
    <mergeCell ref="G95:G97"/>
    <mergeCell ref="H95:H97"/>
    <mergeCell ref="I95:J97"/>
    <mergeCell ref="K95:L95"/>
    <mergeCell ref="M95:N95"/>
    <mergeCell ref="O95:P95"/>
    <mergeCell ref="Q95:R97"/>
    <mergeCell ref="S95:V95"/>
    <mergeCell ref="D96:E96"/>
    <mergeCell ref="K96:L96"/>
    <mergeCell ref="M96:N96"/>
    <mergeCell ref="O96:P96"/>
    <mergeCell ref="S96:V96"/>
    <mergeCell ref="D97:E97"/>
    <mergeCell ref="K97:L97"/>
    <mergeCell ref="M97:N97"/>
    <mergeCell ref="O97:P97"/>
    <mergeCell ref="S97:V97"/>
    <mergeCell ref="K127:L127"/>
    <mergeCell ref="M127:N127"/>
    <mergeCell ref="O127:P127"/>
    <mergeCell ref="Q127:R127"/>
    <mergeCell ref="S127:V127"/>
    <mergeCell ref="A128:A130"/>
    <mergeCell ref="B128:C130"/>
    <mergeCell ref="D128:E128"/>
    <mergeCell ref="F128:F130"/>
    <mergeCell ref="G128:G130"/>
    <mergeCell ref="H128:H130"/>
    <mergeCell ref="I128:J130"/>
    <mergeCell ref="K128:L128"/>
    <mergeCell ref="M128:N128"/>
    <mergeCell ref="O128:P128"/>
    <mergeCell ref="Q128:R130"/>
    <mergeCell ref="S128:V128"/>
    <mergeCell ref="D129:E129"/>
    <mergeCell ref="K129:L129"/>
    <mergeCell ref="M129:N129"/>
    <mergeCell ref="O129:P129"/>
    <mergeCell ref="S129:V129"/>
    <mergeCell ref="D130:E130"/>
    <mergeCell ref="K130:L130"/>
    <mergeCell ref="M130:N130"/>
    <mergeCell ref="O130:P130"/>
    <mergeCell ref="S130:V130"/>
    <mergeCell ref="A132:C132"/>
    <mergeCell ref="D132:F132"/>
    <mergeCell ref="G132:H132"/>
    <mergeCell ref="I132:J132"/>
    <mergeCell ref="K132:L132"/>
    <mergeCell ref="M132:N132"/>
    <mergeCell ref="O132:P132"/>
    <mergeCell ref="Q132:R132"/>
    <mergeCell ref="S132:V132"/>
    <mergeCell ref="A133:A135"/>
    <mergeCell ref="B133:C135"/>
    <mergeCell ref="D133:E133"/>
    <mergeCell ref="F133:F135"/>
    <mergeCell ref="G133:G135"/>
    <mergeCell ref="H133:H135"/>
    <mergeCell ref="I133:J135"/>
    <mergeCell ref="K133:L133"/>
    <mergeCell ref="M133:N133"/>
    <mergeCell ref="O133:P133"/>
    <mergeCell ref="Q133:R135"/>
    <mergeCell ref="S133:V133"/>
    <mergeCell ref="D134:E134"/>
    <mergeCell ref="K134:L134"/>
    <mergeCell ref="M134:N134"/>
    <mergeCell ref="O134:P134"/>
    <mergeCell ref="S134:V134"/>
    <mergeCell ref="D135:E135"/>
    <mergeCell ref="K135:L135"/>
    <mergeCell ref="M135:N135"/>
    <mergeCell ref="O135:P135"/>
    <mergeCell ref="A137:C137"/>
    <mergeCell ref="D137:F137"/>
    <mergeCell ref="G137:H137"/>
    <mergeCell ref="I137:J137"/>
    <mergeCell ref="K137:L137"/>
    <mergeCell ref="M137:N137"/>
    <mergeCell ref="O137:P137"/>
    <mergeCell ref="Q137:R137"/>
    <mergeCell ref="S137:V137"/>
    <mergeCell ref="A138:A140"/>
    <mergeCell ref="B138:C140"/>
    <mergeCell ref="D138:E138"/>
    <mergeCell ref="F138:F140"/>
    <mergeCell ref="G138:G140"/>
    <mergeCell ref="H138:H140"/>
    <mergeCell ref="I138:J140"/>
    <mergeCell ref="K138:L138"/>
    <mergeCell ref="M138:N138"/>
    <mergeCell ref="O138:P138"/>
    <mergeCell ref="Q138:R140"/>
    <mergeCell ref="S138:V138"/>
    <mergeCell ref="D139:E139"/>
    <mergeCell ref="K139:L139"/>
    <mergeCell ref="M139:N139"/>
    <mergeCell ref="O139:P139"/>
    <mergeCell ref="S139:V139"/>
    <mergeCell ref="D140:E140"/>
    <mergeCell ref="K140:L140"/>
    <mergeCell ref="M140:N140"/>
    <mergeCell ref="O140:P140"/>
    <mergeCell ref="S140:V140"/>
    <mergeCell ref="A142:C142"/>
    <mergeCell ref="D142:F142"/>
    <mergeCell ref="G142:H142"/>
    <mergeCell ref="I142:J142"/>
    <mergeCell ref="K142:L142"/>
    <mergeCell ref="M142:N142"/>
    <mergeCell ref="O142:P142"/>
    <mergeCell ref="Q142:R142"/>
    <mergeCell ref="S142:V142"/>
    <mergeCell ref="A143:A145"/>
    <mergeCell ref="B143:C145"/>
    <mergeCell ref="D143:E143"/>
    <mergeCell ref="F143:F145"/>
    <mergeCell ref="G143:G145"/>
    <mergeCell ref="H143:H145"/>
    <mergeCell ref="I143:J145"/>
    <mergeCell ref="K143:L143"/>
    <mergeCell ref="M143:N143"/>
    <mergeCell ref="O143:P143"/>
    <mergeCell ref="Q143:R145"/>
    <mergeCell ref="S143:V143"/>
    <mergeCell ref="D144:E144"/>
    <mergeCell ref="K144:L144"/>
    <mergeCell ref="M144:N144"/>
    <mergeCell ref="O144:P144"/>
    <mergeCell ref="S144:V144"/>
    <mergeCell ref="D145:E145"/>
    <mergeCell ref="K145:L145"/>
    <mergeCell ref="M145:N145"/>
    <mergeCell ref="O145:P145"/>
    <mergeCell ref="S145:V145"/>
    <mergeCell ref="K200:K207"/>
    <mergeCell ref="A211:A213"/>
    <mergeCell ref="B211:D211"/>
    <mergeCell ref="B212:D212"/>
    <mergeCell ref="B213:D213"/>
    <mergeCell ref="E212:F212"/>
    <mergeCell ref="E213:F213"/>
    <mergeCell ref="H212:I212"/>
    <mergeCell ref="H213:I213"/>
    <mergeCell ref="L205:M205"/>
    <mergeCell ref="N205:P205"/>
    <mergeCell ref="Q205:V205"/>
    <mergeCell ref="L206:M206"/>
    <mergeCell ref="N206:P206"/>
    <mergeCell ref="Q206:V206"/>
    <mergeCell ref="L207:M207"/>
    <mergeCell ref="N207:P207"/>
    <mergeCell ref="Q207:V207"/>
    <mergeCell ref="A210:D210"/>
    <mergeCell ref="E210:I210"/>
    <mergeCell ref="J210:K210"/>
    <mergeCell ref="L210:M210"/>
    <mergeCell ref="N210:P210"/>
    <mergeCell ref="Q210:V210"/>
    <mergeCell ref="J211:J213"/>
    <mergeCell ref="K211:K213"/>
    <mergeCell ref="L211:M211"/>
    <mergeCell ref="N211:P211"/>
    <mergeCell ref="Q211:V211"/>
    <mergeCell ref="L212:M212"/>
    <mergeCell ref="N212:P212"/>
    <mergeCell ref="Q212:V212"/>
    <mergeCell ref="A147:C147"/>
    <mergeCell ref="D147:F147"/>
    <mergeCell ref="G147:H147"/>
    <mergeCell ref="I147:J147"/>
    <mergeCell ref="K147:L147"/>
    <mergeCell ref="M147:N147"/>
    <mergeCell ref="O147:P147"/>
    <mergeCell ref="Q147:R147"/>
    <mergeCell ref="S147:V147"/>
    <mergeCell ref="A148:A150"/>
    <mergeCell ref="B148:C150"/>
    <mergeCell ref="D148:E148"/>
    <mergeCell ref="F148:F150"/>
    <mergeCell ref="G148:G150"/>
    <mergeCell ref="H148:H150"/>
    <mergeCell ref="I148:J150"/>
    <mergeCell ref="K148:L148"/>
    <mergeCell ref="M148:N148"/>
    <mergeCell ref="O148:P148"/>
    <mergeCell ref="Q148:R150"/>
    <mergeCell ref="S148:V148"/>
    <mergeCell ref="D149:E149"/>
    <mergeCell ref="K149:L149"/>
    <mergeCell ref="M149:N149"/>
    <mergeCell ref="O149:P149"/>
    <mergeCell ref="S149:V149"/>
    <mergeCell ref="D150:E150"/>
    <mergeCell ref="K150:L150"/>
    <mergeCell ref="M150:N150"/>
    <mergeCell ref="O150:P150"/>
    <mergeCell ref="S150:V150"/>
  </mergeCells>
  <printOptions horizontalCentered="1"/>
  <pageMargins left="0.511811023622047" right="0.511811023622047" top="0.511811023622047" bottom="0.511811023622047" header="0" footer="0"/>
  <pageSetup paperSize="9" scale="85" fitToHeight="0" orientation="landscape" r:id="rId1"/>
  <headerFooter alignWithMargins="0"/>
  <rowBreaks count="6" manualBreakCount="6">
    <brk id="70" max="23" man="1"/>
    <brk id="98" max="23" man="1"/>
    <brk id="135" max="23" man="1"/>
    <brk id="151" max="23" man="1"/>
    <brk id="178" max="23" man="1"/>
    <brk id="189" max="23" man="1"/>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E5394-769F-465C-9855-7E49F6BD5EB6}">
  <sheetPr>
    <tabColor theme="3" tint="0.59999389629810485"/>
  </sheetPr>
  <dimension ref="A1:Y44"/>
  <sheetViews>
    <sheetView view="pageBreakPreview"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478"/>
      <c r="B2" s="4"/>
      <c r="C2" s="4"/>
      <c r="D2" s="4"/>
      <c r="E2" s="4"/>
      <c r="F2" s="4"/>
      <c r="G2" s="4"/>
      <c r="H2" s="4"/>
      <c r="I2" s="4"/>
      <c r="J2" s="4"/>
      <c r="K2" s="4"/>
      <c r="L2" s="4"/>
      <c r="M2" s="4"/>
      <c r="N2" s="4"/>
      <c r="O2" s="4"/>
      <c r="P2" s="4"/>
      <c r="Q2" s="4"/>
      <c r="R2" s="4"/>
      <c r="S2" s="4"/>
      <c r="T2" s="4"/>
      <c r="U2" s="4"/>
      <c r="V2" s="71"/>
      <c r="W2" s="4"/>
      <c r="X2" s="4"/>
    </row>
    <row r="3" spans="1:24" ht="18" customHeight="1">
      <c r="A3" s="69"/>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D22" s="27"/>
      <c r="E22" s="879" t="s">
        <v>939</v>
      </c>
      <c r="F22" s="879"/>
      <c r="G22" s="879"/>
      <c r="H22" s="879"/>
      <c r="I22" s="879"/>
      <c r="J22" s="879"/>
      <c r="K22" s="879"/>
      <c r="L22" s="879"/>
      <c r="M22" s="879"/>
      <c r="N22" s="879"/>
      <c r="O22" s="879"/>
      <c r="P22" s="879"/>
      <c r="Q22" s="879"/>
      <c r="R22" s="879"/>
      <c r="S22" s="27"/>
      <c r="T22" s="27"/>
      <c r="U22" s="27"/>
      <c r="V22" s="189"/>
      <c r="W22" s="27"/>
      <c r="X22" s="27"/>
    </row>
    <row r="23" spans="1:24" ht="18" customHeight="1">
      <c r="A23" s="69"/>
      <c r="B23" s="27"/>
      <c r="C23" s="27"/>
      <c r="D23" s="27"/>
      <c r="E23" s="879"/>
      <c r="F23" s="879"/>
      <c r="G23" s="879"/>
      <c r="H23" s="879"/>
      <c r="I23" s="879"/>
      <c r="J23" s="879"/>
      <c r="K23" s="879"/>
      <c r="L23" s="879"/>
      <c r="M23" s="879"/>
      <c r="N23" s="879"/>
      <c r="O23" s="879"/>
      <c r="P23" s="879"/>
      <c r="Q23" s="879"/>
      <c r="R23" s="879"/>
      <c r="S23" s="27"/>
      <c r="T23" s="27"/>
      <c r="U23" s="27"/>
      <c r="V23" s="189"/>
      <c r="W23" s="27"/>
      <c r="X23" s="27"/>
    </row>
    <row r="24" spans="1:24" ht="18" customHeight="1">
      <c r="A24" s="69"/>
      <c r="C24" s="190"/>
      <c r="D24" s="190"/>
      <c r="E24" s="879"/>
      <c r="F24" s="879"/>
      <c r="G24" s="879"/>
      <c r="H24" s="879"/>
      <c r="I24" s="879"/>
      <c r="J24" s="879"/>
      <c r="K24" s="879"/>
      <c r="L24" s="879"/>
      <c r="M24" s="879"/>
      <c r="N24" s="879"/>
      <c r="O24" s="879"/>
      <c r="P24" s="879"/>
      <c r="Q24" s="879"/>
      <c r="R24" s="879"/>
      <c r="S24" s="4"/>
      <c r="T24" s="4"/>
      <c r="U24" s="4"/>
      <c r="V24" s="71"/>
      <c r="W24" s="4"/>
      <c r="X24" s="4"/>
    </row>
    <row r="25" spans="1:24" ht="18" customHeight="1">
      <c r="A25" s="69"/>
      <c r="B25" s="26"/>
      <c r="C25" s="4"/>
      <c r="D25" s="73"/>
      <c r="E25" s="879"/>
      <c r="F25" s="879"/>
      <c r="G25" s="879"/>
      <c r="H25" s="879"/>
      <c r="I25" s="879"/>
      <c r="J25" s="879"/>
      <c r="K25" s="879"/>
      <c r="L25" s="879"/>
      <c r="M25" s="879"/>
      <c r="N25" s="879"/>
      <c r="O25" s="879"/>
      <c r="P25" s="879"/>
      <c r="Q25" s="879"/>
      <c r="R25" s="879"/>
      <c r="S25" s="4"/>
      <c r="T25" s="4"/>
      <c r="U25" s="4"/>
      <c r="V25" s="71"/>
      <c r="W25" s="4"/>
      <c r="X25" s="4"/>
    </row>
    <row r="26" spans="1:24" ht="18" customHeight="1">
      <c r="A26" s="69"/>
      <c r="O26" s="4"/>
      <c r="P26" s="4"/>
      <c r="Q26" s="4"/>
      <c r="R26" s="4"/>
      <c r="S26" s="4"/>
      <c r="T26" s="4"/>
      <c r="U26" s="4"/>
      <c r="V26" s="71"/>
      <c r="W26" s="4"/>
      <c r="X26" s="4"/>
    </row>
    <row r="27" spans="1:24" ht="18" customHeight="1">
      <c r="A27" s="69"/>
      <c r="B27" s="191"/>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4"/>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44953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74F86-7C31-49C8-9679-9F41521FD422}">
  <sheetPr codeName="Sheet7">
    <tabColor rgb="FF99CCFF"/>
  </sheetPr>
  <dimension ref="A1:AC157"/>
  <sheetViews>
    <sheetView view="pageBreakPreview" zoomScaleNormal="100" zoomScaleSheetLayoutView="100" workbookViewId="0">
      <selection activeCell="S20" sqref="S20:T20"/>
    </sheetView>
  </sheetViews>
  <sheetFormatPr defaultColWidth="9.109375" defaultRowHeight="13.2"/>
  <cols>
    <col min="1" max="21" width="4.33203125" customWidth="1"/>
    <col min="22" max="22" width="3.6640625" customWidth="1"/>
    <col min="23" max="27" width="4.33203125" customWidth="1"/>
    <col min="28" max="28" width="8.109375" customWidth="1"/>
    <col min="29" max="29" width="7.33203125" customWidth="1"/>
    <col min="30" max="30" width="4.33203125" customWidth="1"/>
    <col min="257" max="277" width="4.33203125" customWidth="1"/>
    <col min="278" max="278" width="3.6640625" customWidth="1"/>
    <col min="279" max="283" width="4.33203125" customWidth="1"/>
    <col min="284" max="284" width="8.109375" customWidth="1"/>
    <col min="285" max="285" width="7.33203125" customWidth="1"/>
    <col min="286" max="286" width="4.33203125" customWidth="1"/>
    <col min="513" max="533" width="4.33203125" customWidth="1"/>
    <col min="534" max="534" width="3.6640625" customWidth="1"/>
    <col min="535" max="539" width="4.33203125" customWidth="1"/>
    <col min="540" max="540" width="8.109375" customWidth="1"/>
    <col min="541" max="541" width="7.33203125" customWidth="1"/>
    <col min="542" max="542" width="4.33203125" customWidth="1"/>
    <col min="769" max="789" width="4.33203125" customWidth="1"/>
    <col min="790" max="790" width="3.6640625" customWidth="1"/>
    <col min="791" max="795" width="4.33203125" customWidth="1"/>
    <col min="796" max="796" width="8.109375" customWidth="1"/>
    <col min="797" max="797" width="7.33203125" customWidth="1"/>
    <col min="798" max="798" width="4.33203125" customWidth="1"/>
    <col min="1025" max="1045" width="4.33203125" customWidth="1"/>
    <col min="1046" max="1046" width="3.6640625" customWidth="1"/>
    <col min="1047" max="1051" width="4.33203125" customWidth="1"/>
    <col min="1052" max="1052" width="8.109375" customWidth="1"/>
    <col min="1053" max="1053" width="7.33203125" customWidth="1"/>
    <col min="1054" max="1054" width="4.33203125" customWidth="1"/>
    <col min="1281" max="1301" width="4.33203125" customWidth="1"/>
    <col min="1302" max="1302" width="3.6640625" customWidth="1"/>
    <col min="1303" max="1307" width="4.33203125" customWidth="1"/>
    <col min="1308" max="1308" width="8.109375" customWidth="1"/>
    <col min="1309" max="1309" width="7.33203125" customWidth="1"/>
    <col min="1310" max="1310" width="4.33203125" customWidth="1"/>
    <col min="1537" max="1557" width="4.33203125" customWidth="1"/>
    <col min="1558" max="1558" width="3.6640625" customWidth="1"/>
    <col min="1559" max="1563" width="4.33203125" customWidth="1"/>
    <col min="1564" max="1564" width="8.109375" customWidth="1"/>
    <col min="1565" max="1565" width="7.33203125" customWidth="1"/>
    <col min="1566" max="1566" width="4.33203125" customWidth="1"/>
    <col min="1793" max="1813" width="4.33203125" customWidth="1"/>
    <col min="1814" max="1814" width="3.6640625" customWidth="1"/>
    <col min="1815" max="1819" width="4.33203125" customWidth="1"/>
    <col min="1820" max="1820" width="8.109375" customWidth="1"/>
    <col min="1821" max="1821" width="7.33203125" customWidth="1"/>
    <col min="1822" max="1822" width="4.33203125" customWidth="1"/>
    <col min="2049" max="2069" width="4.33203125" customWidth="1"/>
    <col min="2070" max="2070" width="3.6640625" customWidth="1"/>
    <col min="2071" max="2075" width="4.33203125" customWidth="1"/>
    <col min="2076" max="2076" width="8.109375" customWidth="1"/>
    <col min="2077" max="2077" width="7.33203125" customWidth="1"/>
    <col min="2078" max="2078" width="4.33203125" customWidth="1"/>
    <col min="2305" max="2325" width="4.33203125" customWidth="1"/>
    <col min="2326" max="2326" width="3.6640625" customWidth="1"/>
    <col min="2327" max="2331" width="4.33203125" customWidth="1"/>
    <col min="2332" max="2332" width="8.109375" customWidth="1"/>
    <col min="2333" max="2333" width="7.33203125" customWidth="1"/>
    <col min="2334" max="2334" width="4.33203125" customWidth="1"/>
    <col min="2561" max="2581" width="4.33203125" customWidth="1"/>
    <col min="2582" max="2582" width="3.6640625" customWidth="1"/>
    <col min="2583" max="2587" width="4.33203125" customWidth="1"/>
    <col min="2588" max="2588" width="8.109375" customWidth="1"/>
    <col min="2589" max="2589" width="7.33203125" customWidth="1"/>
    <col min="2590" max="2590" width="4.33203125" customWidth="1"/>
    <col min="2817" max="2837" width="4.33203125" customWidth="1"/>
    <col min="2838" max="2838" width="3.6640625" customWidth="1"/>
    <col min="2839" max="2843" width="4.33203125" customWidth="1"/>
    <col min="2844" max="2844" width="8.109375" customWidth="1"/>
    <col min="2845" max="2845" width="7.33203125" customWidth="1"/>
    <col min="2846" max="2846" width="4.33203125" customWidth="1"/>
    <col min="3073" max="3093" width="4.33203125" customWidth="1"/>
    <col min="3094" max="3094" width="3.6640625" customWidth="1"/>
    <col min="3095" max="3099" width="4.33203125" customWidth="1"/>
    <col min="3100" max="3100" width="8.109375" customWidth="1"/>
    <col min="3101" max="3101" width="7.33203125" customWidth="1"/>
    <col min="3102" max="3102" width="4.33203125" customWidth="1"/>
    <col min="3329" max="3349" width="4.33203125" customWidth="1"/>
    <col min="3350" max="3350" width="3.6640625" customWidth="1"/>
    <col min="3351" max="3355" width="4.33203125" customWidth="1"/>
    <col min="3356" max="3356" width="8.109375" customWidth="1"/>
    <col min="3357" max="3357" width="7.33203125" customWidth="1"/>
    <col min="3358" max="3358" width="4.33203125" customWidth="1"/>
    <col min="3585" max="3605" width="4.33203125" customWidth="1"/>
    <col min="3606" max="3606" width="3.6640625" customWidth="1"/>
    <col min="3607" max="3611" width="4.33203125" customWidth="1"/>
    <col min="3612" max="3612" width="8.109375" customWidth="1"/>
    <col min="3613" max="3613" width="7.33203125" customWidth="1"/>
    <col min="3614" max="3614" width="4.33203125" customWidth="1"/>
    <col min="3841" max="3861" width="4.33203125" customWidth="1"/>
    <col min="3862" max="3862" width="3.6640625" customWidth="1"/>
    <col min="3863" max="3867" width="4.33203125" customWidth="1"/>
    <col min="3868" max="3868" width="8.109375" customWidth="1"/>
    <col min="3869" max="3869" width="7.33203125" customWidth="1"/>
    <col min="3870" max="3870" width="4.33203125" customWidth="1"/>
    <col min="4097" max="4117" width="4.33203125" customWidth="1"/>
    <col min="4118" max="4118" width="3.6640625" customWidth="1"/>
    <col min="4119" max="4123" width="4.33203125" customWidth="1"/>
    <col min="4124" max="4124" width="8.109375" customWidth="1"/>
    <col min="4125" max="4125" width="7.33203125" customWidth="1"/>
    <col min="4126" max="4126" width="4.33203125" customWidth="1"/>
    <col min="4353" max="4373" width="4.33203125" customWidth="1"/>
    <col min="4374" max="4374" width="3.6640625" customWidth="1"/>
    <col min="4375" max="4379" width="4.33203125" customWidth="1"/>
    <col min="4380" max="4380" width="8.109375" customWidth="1"/>
    <col min="4381" max="4381" width="7.33203125" customWidth="1"/>
    <col min="4382" max="4382" width="4.33203125" customWidth="1"/>
    <col min="4609" max="4629" width="4.33203125" customWidth="1"/>
    <col min="4630" max="4630" width="3.6640625" customWidth="1"/>
    <col min="4631" max="4635" width="4.33203125" customWidth="1"/>
    <col min="4636" max="4636" width="8.109375" customWidth="1"/>
    <col min="4637" max="4637" width="7.33203125" customWidth="1"/>
    <col min="4638" max="4638" width="4.33203125" customWidth="1"/>
    <col min="4865" max="4885" width="4.33203125" customWidth="1"/>
    <col min="4886" max="4886" width="3.6640625" customWidth="1"/>
    <col min="4887" max="4891" width="4.33203125" customWidth="1"/>
    <col min="4892" max="4892" width="8.109375" customWidth="1"/>
    <col min="4893" max="4893" width="7.33203125" customWidth="1"/>
    <col min="4894" max="4894" width="4.33203125" customWidth="1"/>
    <col min="5121" max="5141" width="4.33203125" customWidth="1"/>
    <col min="5142" max="5142" width="3.6640625" customWidth="1"/>
    <col min="5143" max="5147" width="4.33203125" customWidth="1"/>
    <col min="5148" max="5148" width="8.109375" customWidth="1"/>
    <col min="5149" max="5149" width="7.33203125" customWidth="1"/>
    <col min="5150" max="5150" width="4.33203125" customWidth="1"/>
    <col min="5377" max="5397" width="4.33203125" customWidth="1"/>
    <col min="5398" max="5398" width="3.6640625" customWidth="1"/>
    <col min="5399" max="5403" width="4.33203125" customWidth="1"/>
    <col min="5404" max="5404" width="8.109375" customWidth="1"/>
    <col min="5405" max="5405" width="7.33203125" customWidth="1"/>
    <col min="5406" max="5406" width="4.33203125" customWidth="1"/>
    <col min="5633" max="5653" width="4.33203125" customWidth="1"/>
    <col min="5654" max="5654" width="3.6640625" customWidth="1"/>
    <col min="5655" max="5659" width="4.33203125" customWidth="1"/>
    <col min="5660" max="5660" width="8.109375" customWidth="1"/>
    <col min="5661" max="5661" width="7.33203125" customWidth="1"/>
    <col min="5662" max="5662" width="4.33203125" customWidth="1"/>
    <col min="5889" max="5909" width="4.33203125" customWidth="1"/>
    <col min="5910" max="5910" width="3.6640625" customWidth="1"/>
    <col min="5911" max="5915" width="4.33203125" customWidth="1"/>
    <col min="5916" max="5916" width="8.109375" customWidth="1"/>
    <col min="5917" max="5917" width="7.33203125" customWidth="1"/>
    <col min="5918" max="5918" width="4.33203125" customWidth="1"/>
    <col min="6145" max="6165" width="4.33203125" customWidth="1"/>
    <col min="6166" max="6166" width="3.6640625" customWidth="1"/>
    <col min="6167" max="6171" width="4.33203125" customWidth="1"/>
    <col min="6172" max="6172" width="8.109375" customWidth="1"/>
    <col min="6173" max="6173" width="7.33203125" customWidth="1"/>
    <col min="6174" max="6174" width="4.33203125" customWidth="1"/>
    <col min="6401" max="6421" width="4.33203125" customWidth="1"/>
    <col min="6422" max="6422" width="3.6640625" customWidth="1"/>
    <col min="6423" max="6427" width="4.33203125" customWidth="1"/>
    <col min="6428" max="6428" width="8.109375" customWidth="1"/>
    <col min="6429" max="6429" width="7.33203125" customWidth="1"/>
    <col min="6430" max="6430" width="4.33203125" customWidth="1"/>
    <col min="6657" max="6677" width="4.33203125" customWidth="1"/>
    <col min="6678" max="6678" width="3.6640625" customWidth="1"/>
    <col min="6679" max="6683" width="4.33203125" customWidth="1"/>
    <col min="6684" max="6684" width="8.109375" customWidth="1"/>
    <col min="6685" max="6685" width="7.33203125" customWidth="1"/>
    <col min="6686" max="6686" width="4.33203125" customWidth="1"/>
    <col min="6913" max="6933" width="4.33203125" customWidth="1"/>
    <col min="6934" max="6934" width="3.6640625" customWidth="1"/>
    <col min="6935" max="6939" width="4.33203125" customWidth="1"/>
    <col min="6940" max="6940" width="8.109375" customWidth="1"/>
    <col min="6941" max="6941" width="7.33203125" customWidth="1"/>
    <col min="6942" max="6942" width="4.33203125" customWidth="1"/>
    <col min="7169" max="7189" width="4.33203125" customWidth="1"/>
    <col min="7190" max="7190" width="3.6640625" customWidth="1"/>
    <col min="7191" max="7195" width="4.33203125" customWidth="1"/>
    <col min="7196" max="7196" width="8.109375" customWidth="1"/>
    <col min="7197" max="7197" width="7.33203125" customWidth="1"/>
    <col min="7198" max="7198" width="4.33203125" customWidth="1"/>
    <col min="7425" max="7445" width="4.33203125" customWidth="1"/>
    <col min="7446" max="7446" width="3.6640625" customWidth="1"/>
    <col min="7447" max="7451" width="4.33203125" customWidth="1"/>
    <col min="7452" max="7452" width="8.109375" customWidth="1"/>
    <col min="7453" max="7453" width="7.33203125" customWidth="1"/>
    <col min="7454" max="7454" width="4.33203125" customWidth="1"/>
    <col min="7681" max="7701" width="4.33203125" customWidth="1"/>
    <col min="7702" max="7702" width="3.6640625" customWidth="1"/>
    <col min="7703" max="7707" width="4.33203125" customWidth="1"/>
    <col min="7708" max="7708" width="8.109375" customWidth="1"/>
    <col min="7709" max="7709" width="7.33203125" customWidth="1"/>
    <col min="7710" max="7710" width="4.33203125" customWidth="1"/>
    <col min="7937" max="7957" width="4.33203125" customWidth="1"/>
    <col min="7958" max="7958" width="3.6640625" customWidth="1"/>
    <col min="7959" max="7963" width="4.33203125" customWidth="1"/>
    <col min="7964" max="7964" width="8.109375" customWidth="1"/>
    <col min="7965" max="7965" width="7.33203125" customWidth="1"/>
    <col min="7966" max="7966" width="4.33203125" customWidth="1"/>
    <col min="8193" max="8213" width="4.33203125" customWidth="1"/>
    <col min="8214" max="8214" width="3.6640625" customWidth="1"/>
    <col min="8215" max="8219" width="4.33203125" customWidth="1"/>
    <col min="8220" max="8220" width="8.109375" customWidth="1"/>
    <col min="8221" max="8221" width="7.33203125" customWidth="1"/>
    <col min="8222" max="8222" width="4.33203125" customWidth="1"/>
    <col min="8449" max="8469" width="4.33203125" customWidth="1"/>
    <col min="8470" max="8470" width="3.6640625" customWidth="1"/>
    <col min="8471" max="8475" width="4.33203125" customWidth="1"/>
    <col min="8476" max="8476" width="8.109375" customWidth="1"/>
    <col min="8477" max="8477" width="7.33203125" customWidth="1"/>
    <col min="8478" max="8478" width="4.33203125" customWidth="1"/>
    <col min="8705" max="8725" width="4.33203125" customWidth="1"/>
    <col min="8726" max="8726" width="3.6640625" customWidth="1"/>
    <col min="8727" max="8731" width="4.33203125" customWidth="1"/>
    <col min="8732" max="8732" width="8.109375" customWidth="1"/>
    <col min="8733" max="8733" width="7.33203125" customWidth="1"/>
    <col min="8734" max="8734" width="4.33203125" customWidth="1"/>
    <col min="8961" max="8981" width="4.33203125" customWidth="1"/>
    <col min="8982" max="8982" width="3.6640625" customWidth="1"/>
    <col min="8983" max="8987" width="4.33203125" customWidth="1"/>
    <col min="8988" max="8988" width="8.109375" customWidth="1"/>
    <col min="8989" max="8989" width="7.33203125" customWidth="1"/>
    <col min="8990" max="8990" width="4.33203125" customWidth="1"/>
    <col min="9217" max="9237" width="4.33203125" customWidth="1"/>
    <col min="9238" max="9238" width="3.6640625" customWidth="1"/>
    <col min="9239" max="9243" width="4.33203125" customWidth="1"/>
    <col min="9244" max="9244" width="8.109375" customWidth="1"/>
    <col min="9245" max="9245" width="7.33203125" customWidth="1"/>
    <col min="9246" max="9246" width="4.33203125" customWidth="1"/>
    <col min="9473" max="9493" width="4.33203125" customWidth="1"/>
    <col min="9494" max="9494" width="3.6640625" customWidth="1"/>
    <col min="9495" max="9499" width="4.33203125" customWidth="1"/>
    <col min="9500" max="9500" width="8.109375" customWidth="1"/>
    <col min="9501" max="9501" width="7.33203125" customWidth="1"/>
    <col min="9502" max="9502" width="4.33203125" customWidth="1"/>
    <col min="9729" max="9749" width="4.33203125" customWidth="1"/>
    <col min="9750" max="9750" width="3.6640625" customWidth="1"/>
    <col min="9751" max="9755" width="4.33203125" customWidth="1"/>
    <col min="9756" max="9756" width="8.109375" customWidth="1"/>
    <col min="9757" max="9757" width="7.33203125" customWidth="1"/>
    <col min="9758" max="9758" width="4.33203125" customWidth="1"/>
    <col min="9985" max="10005" width="4.33203125" customWidth="1"/>
    <col min="10006" max="10006" width="3.6640625" customWidth="1"/>
    <col min="10007" max="10011" width="4.33203125" customWidth="1"/>
    <col min="10012" max="10012" width="8.109375" customWidth="1"/>
    <col min="10013" max="10013" width="7.33203125" customWidth="1"/>
    <col min="10014" max="10014" width="4.33203125" customWidth="1"/>
    <col min="10241" max="10261" width="4.33203125" customWidth="1"/>
    <col min="10262" max="10262" width="3.6640625" customWidth="1"/>
    <col min="10263" max="10267" width="4.33203125" customWidth="1"/>
    <col min="10268" max="10268" width="8.109375" customWidth="1"/>
    <col min="10269" max="10269" width="7.33203125" customWidth="1"/>
    <col min="10270" max="10270" width="4.33203125" customWidth="1"/>
    <col min="10497" max="10517" width="4.33203125" customWidth="1"/>
    <col min="10518" max="10518" width="3.6640625" customWidth="1"/>
    <col min="10519" max="10523" width="4.33203125" customWidth="1"/>
    <col min="10524" max="10524" width="8.109375" customWidth="1"/>
    <col min="10525" max="10525" width="7.33203125" customWidth="1"/>
    <col min="10526" max="10526" width="4.33203125" customWidth="1"/>
    <col min="10753" max="10773" width="4.33203125" customWidth="1"/>
    <col min="10774" max="10774" width="3.6640625" customWidth="1"/>
    <col min="10775" max="10779" width="4.33203125" customWidth="1"/>
    <col min="10780" max="10780" width="8.109375" customWidth="1"/>
    <col min="10781" max="10781" width="7.33203125" customWidth="1"/>
    <col min="10782" max="10782" width="4.33203125" customWidth="1"/>
    <col min="11009" max="11029" width="4.33203125" customWidth="1"/>
    <col min="11030" max="11030" width="3.6640625" customWidth="1"/>
    <col min="11031" max="11035" width="4.33203125" customWidth="1"/>
    <col min="11036" max="11036" width="8.109375" customWidth="1"/>
    <col min="11037" max="11037" width="7.33203125" customWidth="1"/>
    <col min="11038" max="11038" width="4.33203125" customWidth="1"/>
    <col min="11265" max="11285" width="4.33203125" customWidth="1"/>
    <col min="11286" max="11286" width="3.6640625" customWidth="1"/>
    <col min="11287" max="11291" width="4.33203125" customWidth="1"/>
    <col min="11292" max="11292" width="8.109375" customWidth="1"/>
    <col min="11293" max="11293" width="7.33203125" customWidth="1"/>
    <col min="11294" max="11294" width="4.33203125" customWidth="1"/>
    <col min="11521" max="11541" width="4.33203125" customWidth="1"/>
    <col min="11542" max="11542" width="3.6640625" customWidth="1"/>
    <col min="11543" max="11547" width="4.33203125" customWidth="1"/>
    <col min="11548" max="11548" width="8.109375" customWidth="1"/>
    <col min="11549" max="11549" width="7.33203125" customWidth="1"/>
    <col min="11550" max="11550" width="4.33203125" customWidth="1"/>
    <col min="11777" max="11797" width="4.33203125" customWidth="1"/>
    <col min="11798" max="11798" width="3.6640625" customWidth="1"/>
    <col min="11799" max="11803" width="4.33203125" customWidth="1"/>
    <col min="11804" max="11804" width="8.109375" customWidth="1"/>
    <col min="11805" max="11805" width="7.33203125" customWidth="1"/>
    <col min="11806" max="11806" width="4.33203125" customWidth="1"/>
    <col min="12033" max="12053" width="4.33203125" customWidth="1"/>
    <col min="12054" max="12054" width="3.6640625" customWidth="1"/>
    <col min="12055" max="12059" width="4.33203125" customWidth="1"/>
    <col min="12060" max="12060" width="8.109375" customWidth="1"/>
    <col min="12061" max="12061" width="7.33203125" customWidth="1"/>
    <col min="12062" max="12062" width="4.33203125" customWidth="1"/>
    <col min="12289" max="12309" width="4.33203125" customWidth="1"/>
    <col min="12310" max="12310" width="3.6640625" customWidth="1"/>
    <col min="12311" max="12315" width="4.33203125" customWidth="1"/>
    <col min="12316" max="12316" width="8.109375" customWidth="1"/>
    <col min="12317" max="12317" width="7.33203125" customWidth="1"/>
    <col min="12318" max="12318" width="4.33203125" customWidth="1"/>
    <col min="12545" max="12565" width="4.33203125" customWidth="1"/>
    <col min="12566" max="12566" width="3.6640625" customWidth="1"/>
    <col min="12567" max="12571" width="4.33203125" customWidth="1"/>
    <col min="12572" max="12572" width="8.109375" customWidth="1"/>
    <col min="12573" max="12573" width="7.33203125" customWidth="1"/>
    <col min="12574" max="12574" width="4.33203125" customWidth="1"/>
    <col min="12801" max="12821" width="4.33203125" customWidth="1"/>
    <col min="12822" max="12822" width="3.6640625" customWidth="1"/>
    <col min="12823" max="12827" width="4.33203125" customWidth="1"/>
    <col min="12828" max="12828" width="8.109375" customWidth="1"/>
    <col min="12829" max="12829" width="7.33203125" customWidth="1"/>
    <col min="12830" max="12830" width="4.33203125" customWidth="1"/>
    <col min="13057" max="13077" width="4.33203125" customWidth="1"/>
    <col min="13078" max="13078" width="3.6640625" customWidth="1"/>
    <col min="13079" max="13083" width="4.33203125" customWidth="1"/>
    <col min="13084" max="13084" width="8.109375" customWidth="1"/>
    <col min="13085" max="13085" width="7.33203125" customWidth="1"/>
    <col min="13086" max="13086" width="4.33203125" customWidth="1"/>
    <col min="13313" max="13333" width="4.33203125" customWidth="1"/>
    <col min="13334" max="13334" width="3.6640625" customWidth="1"/>
    <col min="13335" max="13339" width="4.33203125" customWidth="1"/>
    <col min="13340" max="13340" width="8.109375" customWidth="1"/>
    <col min="13341" max="13341" width="7.33203125" customWidth="1"/>
    <col min="13342" max="13342" width="4.33203125" customWidth="1"/>
    <col min="13569" max="13589" width="4.33203125" customWidth="1"/>
    <col min="13590" max="13590" width="3.6640625" customWidth="1"/>
    <col min="13591" max="13595" width="4.33203125" customWidth="1"/>
    <col min="13596" max="13596" width="8.109375" customWidth="1"/>
    <col min="13597" max="13597" width="7.33203125" customWidth="1"/>
    <col min="13598" max="13598" width="4.33203125" customWidth="1"/>
    <col min="13825" max="13845" width="4.33203125" customWidth="1"/>
    <col min="13846" max="13846" width="3.6640625" customWidth="1"/>
    <col min="13847" max="13851" width="4.33203125" customWidth="1"/>
    <col min="13852" max="13852" width="8.109375" customWidth="1"/>
    <col min="13853" max="13853" width="7.33203125" customWidth="1"/>
    <col min="13854" max="13854" width="4.33203125" customWidth="1"/>
    <col min="14081" max="14101" width="4.33203125" customWidth="1"/>
    <col min="14102" max="14102" width="3.6640625" customWidth="1"/>
    <col min="14103" max="14107" width="4.33203125" customWidth="1"/>
    <col min="14108" max="14108" width="8.109375" customWidth="1"/>
    <col min="14109" max="14109" width="7.33203125" customWidth="1"/>
    <col min="14110" max="14110" width="4.33203125" customWidth="1"/>
    <col min="14337" max="14357" width="4.33203125" customWidth="1"/>
    <col min="14358" max="14358" width="3.6640625" customWidth="1"/>
    <col min="14359" max="14363" width="4.33203125" customWidth="1"/>
    <col min="14364" max="14364" width="8.109375" customWidth="1"/>
    <col min="14365" max="14365" width="7.33203125" customWidth="1"/>
    <col min="14366" max="14366" width="4.33203125" customWidth="1"/>
    <col min="14593" max="14613" width="4.33203125" customWidth="1"/>
    <col min="14614" max="14614" width="3.6640625" customWidth="1"/>
    <col min="14615" max="14619" width="4.33203125" customWidth="1"/>
    <col min="14620" max="14620" width="8.109375" customWidth="1"/>
    <col min="14621" max="14621" width="7.33203125" customWidth="1"/>
    <col min="14622" max="14622" width="4.33203125" customWidth="1"/>
    <col min="14849" max="14869" width="4.33203125" customWidth="1"/>
    <col min="14870" max="14870" width="3.6640625" customWidth="1"/>
    <col min="14871" max="14875" width="4.33203125" customWidth="1"/>
    <col min="14876" max="14876" width="8.109375" customWidth="1"/>
    <col min="14877" max="14877" width="7.33203125" customWidth="1"/>
    <col min="14878" max="14878" width="4.33203125" customWidth="1"/>
    <col min="15105" max="15125" width="4.33203125" customWidth="1"/>
    <col min="15126" max="15126" width="3.6640625" customWidth="1"/>
    <col min="15127" max="15131" width="4.33203125" customWidth="1"/>
    <col min="15132" max="15132" width="8.109375" customWidth="1"/>
    <col min="15133" max="15133" width="7.33203125" customWidth="1"/>
    <col min="15134" max="15134" width="4.33203125" customWidth="1"/>
    <col min="15361" max="15381" width="4.33203125" customWidth="1"/>
    <col min="15382" max="15382" width="3.6640625" customWidth="1"/>
    <col min="15383" max="15387" width="4.33203125" customWidth="1"/>
    <col min="15388" max="15388" width="8.109375" customWidth="1"/>
    <col min="15389" max="15389" width="7.33203125" customWidth="1"/>
    <col min="15390" max="15390" width="4.33203125" customWidth="1"/>
    <col min="15617" max="15637" width="4.33203125" customWidth="1"/>
    <col min="15638" max="15638" width="3.6640625" customWidth="1"/>
    <col min="15639" max="15643" width="4.33203125" customWidth="1"/>
    <col min="15644" max="15644" width="8.109375" customWidth="1"/>
    <col min="15645" max="15645" width="7.33203125" customWidth="1"/>
    <col min="15646" max="15646" width="4.33203125" customWidth="1"/>
    <col min="15873" max="15893" width="4.33203125" customWidth="1"/>
    <col min="15894" max="15894" width="3.6640625" customWidth="1"/>
    <col min="15895" max="15899" width="4.33203125" customWidth="1"/>
    <col min="15900" max="15900" width="8.109375" customWidth="1"/>
    <col min="15901" max="15901" width="7.33203125" customWidth="1"/>
    <col min="15902" max="15902" width="4.33203125" customWidth="1"/>
    <col min="16129" max="16149" width="4.33203125" customWidth="1"/>
    <col min="16150" max="16150" width="3.6640625" customWidth="1"/>
    <col min="16151" max="16155" width="4.33203125" customWidth="1"/>
    <col min="16156" max="16156" width="8.109375" customWidth="1"/>
    <col min="16157" max="16157" width="7.33203125" customWidth="1"/>
    <col min="16158" max="16158" width="4.33203125" customWidth="1"/>
  </cols>
  <sheetData>
    <row r="1" spans="1:26" ht="18" customHeight="1">
      <c r="A1" s="717"/>
      <c r="B1" s="718"/>
      <c r="C1" s="718"/>
      <c r="D1" s="718"/>
      <c r="E1" s="718"/>
      <c r="F1" s="718"/>
      <c r="G1" s="719"/>
      <c r="H1" s="726"/>
      <c r="I1" s="727"/>
      <c r="J1" s="727"/>
      <c r="K1" s="727"/>
      <c r="L1" s="727"/>
      <c r="M1" s="727"/>
      <c r="N1" s="728"/>
      <c r="O1" s="702"/>
      <c r="P1" s="703"/>
      <c r="Q1" s="704"/>
      <c r="R1" s="774"/>
      <c r="S1" s="775"/>
      <c r="T1" s="775"/>
      <c r="U1" s="775"/>
      <c r="V1" s="776"/>
      <c r="W1" s="7"/>
      <c r="X1" s="7"/>
    </row>
    <row r="2" spans="1:26" ht="18" customHeight="1">
      <c r="A2" s="720"/>
      <c r="B2" s="721"/>
      <c r="C2" s="721"/>
      <c r="D2" s="721"/>
      <c r="E2" s="721"/>
      <c r="F2" s="721"/>
      <c r="G2" s="722"/>
      <c r="H2" s="900" t="s">
        <v>987</v>
      </c>
      <c r="I2" s="901"/>
      <c r="J2" s="901"/>
      <c r="K2" s="901"/>
      <c r="L2" s="901"/>
      <c r="M2" s="901"/>
      <c r="N2" s="902"/>
      <c r="O2" s="702"/>
      <c r="P2" s="703"/>
      <c r="Q2" s="704"/>
      <c r="R2" s="777"/>
      <c r="S2" s="775"/>
      <c r="T2" s="775"/>
      <c r="U2" s="775"/>
      <c r="V2" s="776"/>
      <c r="W2" s="7"/>
      <c r="X2" s="7"/>
    </row>
    <row r="3" spans="1:26" ht="20.399999999999999" customHeight="1">
      <c r="A3" s="720"/>
      <c r="B3" s="721"/>
      <c r="C3" s="721"/>
      <c r="D3" s="721"/>
      <c r="E3" s="721"/>
      <c r="F3" s="721"/>
      <c r="G3" s="722"/>
      <c r="H3" s="900"/>
      <c r="I3" s="901"/>
      <c r="J3" s="901"/>
      <c r="K3" s="901"/>
      <c r="L3" s="901"/>
      <c r="M3" s="901"/>
      <c r="N3" s="902"/>
      <c r="O3" s="702"/>
      <c r="P3" s="703"/>
      <c r="Q3" s="704"/>
      <c r="R3" s="708"/>
      <c r="S3" s="710"/>
      <c r="T3" s="710"/>
      <c r="U3" s="710"/>
      <c r="V3" s="709"/>
      <c r="W3" s="7"/>
      <c r="X3" s="7"/>
    </row>
    <row r="4" spans="1:26" ht="18" customHeight="1">
      <c r="A4" s="723"/>
      <c r="B4" s="724"/>
      <c r="C4" s="724"/>
      <c r="D4" s="724"/>
      <c r="E4" s="724"/>
      <c r="F4" s="724"/>
      <c r="G4" s="725"/>
      <c r="H4" s="738"/>
      <c r="I4" s="739"/>
      <c r="J4" s="739"/>
      <c r="K4" s="739"/>
      <c r="L4" s="739"/>
      <c r="M4" s="739"/>
      <c r="N4" s="740"/>
      <c r="O4" s="702"/>
      <c r="P4" s="703"/>
      <c r="Q4" s="704"/>
      <c r="R4" s="774"/>
      <c r="S4" s="775"/>
      <c r="T4" s="775"/>
      <c r="U4" s="775"/>
      <c r="V4" s="776"/>
      <c r="W4" s="7"/>
      <c r="X4" s="7"/>
    </row>
    <row r="5" spans="1:26" ht="18" customHeight="1">
      <c r="A5" s="708"/>
      <c r="B5" s="709"/>
      <c r="C5" s="25"/>
      <c r="D5" s="708"/>
      <c r="E5" s="710"/>
      <c r="F5" s="709"/>
      <c r="G5" s="25"/>
      <c r="H5" s="711"/>
      <c r="I5" s="712"/>
      <c r="J5" s="712"/>
      <c r="K5" s="712"/>
      <c r="L5" s="712"/>
      <c r="M5" s="712"/>
      <c r="N5" s="713"/>
      <c r="O5" s="714"/>
      <c r="P5" s="715"/>
      <c r="Q5" s="716"/>
      <c r="R5" s="774"/>
      <c r="S5" s="775"/>
      <c r="T5" s="775"/>
      <c r="U5" s="775"/>
      <c r="V5" s="776"/>
      <c r="W5" s="7"/>
      <c r="X5" s="7"/>
    </row>
    <row r="6" spans="1:26" s="7" customFormat="1" ht="18" customHeight="1">
      <c r="A6" s="109"/>
      <c r="B6" s="110"/>
      <c r="C6" s="111"/>
      <c r="D6" s="111"/>
      <c r="E6" s="111"/>
      <c r="F6" s="111"/>
      <c r="G6" s="111"/>
      <c r="H6" s="111"/>
      <c r="I6" s="111"/>
      <c r="J6" s="111"/>
      <c r="K6" s="111"/>
      <c r="L6" s="111"/>
      <c r="M6" s="111"/>
      <c r="N6" s="111"/>
      <c r="O6" s="111"/>
      <c r="P6" s="111"/>
      <c r="Q6" s="111"/>
      <c r="R6" s="111"/>
      <c r="V6" s="112"/>
      <c r="W6" s="113"/>
    </row>
    <row r="7" spans="1:26" s="7" customFormat="1" ht="18" customHeight="1">
      <c r="A7" s="114"/>
      <c r="B7" s="115"/>
      <c r="V7" s="112"/>
      <c r="W7" s="113"/>
    </row>
    <row r="8" spans="1:26" s="7" customFormat="1" ht="18" customHeight="1">
      <c r="A8" s="116"/>
      <c r="B8" s="117" t="s">
        <v>135</v>
      </c>
      <c r="J8" s="118"/>
      <c r="V8" s="112"/>
      <c r="W8" s="113"/>
    </row>
    <row r="9" spans="1:26" s="7" customFormat="1" ht="18" customHeight="1">
      <c r="A9" s="119"/>
      <c r="B9" s="18" t="s">
        <v>136</v>
      </c>
      <c r="V9" s="112"/>
    </row>
    <row r="10" spans="1:26" s="7" customFormat="1" ht="18" customHeight="1">
      <c r="A10" s="114"/>
      <c r="C10" s="14" t="s">
        <v>137</v>
      </c>
      <c r="Q10" s="120" t="s">
        <v>9</v>
      </c>
      <c r="R10" s="121" t="s">
        <v>138</v>
      </c>
      <c r="S10" s="890">
        <v>2.5</v>
      </c>
      <c r="T10" s="891"/>
      <c r="U10" s="47" t="s">
        <v>139</v>
      </c>
      <c r="V10" s="112" t="s">
        <v>140</v>
      </c>
    </row>
    <row r="11" spans="1:26" s="7" customFormat="1" ht="18" customHeight="1">
      <c r="A11" s="114"/>
      <c r="C11" s="14" t="s">
        <v>141</v>
      </c>
      <c r="Q11" s="120" t="s">
        <v>142</v>
      </c>
      <c r="R11" s="123" t="s">
        <v>138</v>
      </c>
      <c r="S11" s="892">
        <v>7.41</v>
      </c>
      <c r="T11" s="893"/>
      <c r="U11" s="47" t="s">
        <v>143</v>
      </c>
      <c r="V11" s="112"/>
      <c r="X11" s="7">
        <v>7.41</v>
      </c>
    </row>
    <row r="12" spans="1:26" s="7" customFormat="1" ht="18" customHeight="1">
      <c r="A12" s="114"/>
      <c r="C12" s="14" t="s">
        <v>144</v>
      </c>
      <c r="G12" s="124"/>
      <c r="H12" s="124"/>
      <c r="I12" s="7" t="s">
        <v>145</v>
      </c>
      <c r="Q12" s="120" t="s">
        <v>146</v>
      </c>
      <c r="R12" s="121" t="s">
        <v>138</v>
      </c>
      <c r="S12" s="894">
        <v>3.9300000000000003E-3</v>
      </c>
      <c r="T12" s="894"/>
      <c r="U12" s="47" t="s">
        <v>147</v>
      </c>
      <c r="V12" s="112"/>
    </row>
    <row r="13" spans="1:26" s="7" customFormat="1" ht="18" customHeight="1">
      <c r="A13" s="96"/>
      <c r="Q13" s="120"/>
      <c r="R13" s="121"/>
      <c r="S13" s="28"/>
      <c r="T13" s="28"/>
      <c r="U13" s="47"/>
      <c r="V13" s="112"/>
    </row>
    <row r="14" spans="1:26" s="7" customFormat="1" ht="18" customHeight="1">
      <c r="A14" s="119"/>
      <c r="B14" s="18" t="s">
        <v>148</v>
      </c>
      <c r="H14" s="18" t="s">
        <v>149</v>
      </c>
      <c r="Q14" s="120"/>
      <c r="R14" s="121"/>
      <c r="S14" s="28"/>
      <c r="T14" s="28"/>
      <c r="U14" s="47"/>
      <c r="V14" s="112"/>
    </row>
    <row r="15" spans="1:26" s="7" customFormat="1" ht="18" customHeight="1">
      <c r="A15" s="114"/>
      <c r="C15" s="14" t="s">
        <v>150</v>
      </c>
      <c r="Q15" s="120"/>
      <c r="R15" s="121" t="s">
        <v>138</v>
      </c>
      <c r="S15" s="623">
        <f>S11*(1+S12*(75-20))</f>
        <v>9.0116715000000003</v>
      </c>
      <c r="T15" s="623"/>
      <c r="U15" s="47" t="s">
        <v>143</v>
      </c>
      <c r="V15" s="112"/>
      <c r="X15" s="7">
        <f>S11*(1+S12*(75-20))</f>
        <v>9.0116715000000003</v>
      </c>
      <c r="Z15" s="7">
        <v>5.61</v>
      </c>
    </row>
    <row r="16" spans="1:26" s="7" customFormat="1" ht="18" customHeight="1">
      <c r="A16" s="114"/>
      <c r="C16" s="14" t="s">
        <v>151</v>
      </c>
      <c r="Q16" s="120" t="s">
        <v>152</v>
      </c>
      <c r="R16" s="121" t="s">
        <v>138</v>
      </c>
      <c r="S16" s="623">
        <f>S15/1000</f>
        <v>9.0116715000000003E-3</v>
      </c>
      <c r="T16" s="623"/>
      <c r="U16" s="47" t="s">
        <v>153</v>
      </c>
      <c r="V16" s="112"/>
    </row>
    <row r="17" spans="1:26" s="7" customFormat="1" ht="18" customHeight="1">
      <c r="A17" s="114"/>
      <c r="C17" s="14" t="s">
        <v>154</v>
      </c>
      <c r="Q17" s="120" t="s">
        <v>155</v>
      </c>
      <c r="R17" s="121" t="s">
        <v>138</v>
      </c>
      <c r="S17" s="894">
        <v>1</v>
      </c>
      <c r="T17" s="895"/>
      <c r="U17" s="47" t="s">
        <v>9</v>
      </c>
      <c r="V17" s="112"/>
    </row>
    <row r="18" spans="1:26" s="7" customFormat="1" ht="18" customHeight="1">
      <c r="A18" s="114"/>
      <c r="C18" s="14" t="s">
        <v>156</v>
      </c>
      <c r="Q18" s="120" t="s">
        <v>157</v>
      </c>
      <c r="R18" s="121" t="s">
        <v>138</v>
      </c>
      <c r="S18" s="894">
        <v>1</v>
      </c>
      <c r="T18" s="895"/>
      <c r="U18" s="47" t="s">
        <v>9</v>
      </c>
      <c r="V18" s="112"/>
    </row>
    <row r="19" spans="1:26" s="7" customFormat="1" ht="18" customHeight="1">
      <c r="A19" s="114"/>
      <c r="C19" s="14" t="s">
        <v>158</v>
      </c>
      <c r="J19" s="126"/>
      <c r="K19" s="126"/>
      <c r="Q19" s="120" t="s">
        <v>159</v>
      </c>
      <c r="R19" s="121" t="s">
        <v>138</v>
      </c>
      <c r="S19" s="894">
        <v>80</v>
      </c>
      <c r="T19" s="895"/>
      <c r="U19" s="47" t="s">
        <v>160</v>
      </c>
      <c r="V19" s="112" t="s">
        <v>140</v>
      </c>
    </row>
    <row r="20" spans="1:26" s="7" customFormat="1" ht="18" customHeight="1">
      <c r="A20" s="114"/>
      <c r="C20" s="14" t="s">
        <v>161</v>
      </c>
      <c r="Q20" s="120" t="s">
        <v>162</v>
      </c>
      <c r="R20" s="121" t="s">
        <v>138</v>
      </c>
      <c r="S20" s="897">
        <f>S16*S19</f>
        <v>0.72093372</v>
      </c>
      <c r="T20" s="897"/>
      <c r="U20" s="47" t="s">
        <v>163</v>
      </c>
      <c r="V20" s="112"/>
    </row>
    <row r="21" spans="1:26" s="7" customFormat="1" ht="18" customHeight="1">
      <c r="A21" s="114"/>
      <c r="C21" s="14" t="s">
        <v>164</v>
      </c>
      <c r="Q21" s="120" t="s">
        <v>165</v>
      </c>
      <c r="R21" s="121" t="s">
        <v>138</v>
      </c>
      <c r="S21" s="897">
        <f>2*S16*S19</f>
        <v>1.44186744</v>
      </c>
      <c r="T21" s="897"/>
      <c r="U21" s="47" t="s">
        <v>163</v>
      </c>
      <c r="V21" s="112"/>
      <c r="X21" s="7">
        <f>2*S16*S19</f>
        <v>1.44186744</v>
      </c>
      <c r="Z21" s="7">
        <f>2*S16*S19</f>
        <v>1.44186744</v>
      </c>
    </row>
    <row r="22" spans="1:26" s="7" customFormat="1" ht="18" customHeight="1">
      <c r="A22" s="114"/>
      <c r="C22" s="14" t="s">
        <v>166</v>
      </c>
      <c r="Q22" s="120" t="s">
        <v>167</v>
      </c>
      <c r="R22" s="121" t="s">
        <v>138</v>
      </c>
      <c r="S22" s="897">
        <f>S17*S17*S21</f>
        <v>1.44186744</v>
      </c>
      <c r="T22" s="897"/>
      <c r="U22" s="47" t="s">
        <v>168</v>
      </c>
      <c r="V22" s="112"/>
      <c r="X22" s="7">
        <f>S17*S17*S21</f>
        <v>1.44186744</v>
      </c>
    </row>
    <row r="23" spans="1:26" s="128" customFormat="1" ht="18" customHeight="1">
      <c r="A23" s="127"/>
      <c r="C23" s="129"/>
      <c r="Q23" s="130"/>
      <c r="R23" s="131"/>
      <c r="S23" s="132"/>
      <c r="T23" s="132"/>
      <c r="U23" s="133"/>
      <c r="V23" s="134"/>
    </row>
    <row r="24" spans="1:26" s="128" customFormat="1" ht="18" hidden="1" customHeight="1">
      <c r="A24" s="127"/>
      <c r="C24" s="896" t="s">
        <v>78</v>
      </c>
      <c r="D24" s="896"/>
      <c r="E24" s="896"/>
      <c r="F24" s="896"/>
      <c r="G24" s="896"/>
      <c r="H24" s="896"/>
      <c r="I24" s="896"/>
      <c r="J24" s="896"/>
      <c r="K24" s="896"/>
      <c r="L24" s="896"/>
      <c r="M24" s="896"/>
      <c r="N24" s="896"/>
      <c r="O24" s="896"/>
      <c r="Q24" s="130"/>
      <c r="R24" s="131"/>
      <c r="S24" s="798">
        <f>S16*165</f>
        <v>1.4869257975000001</v>
      </c>
      <c r="T24" s="799"/>
      <c r="U24" s="308" t="s">
        <v>168</v>
      </c>
      <c r="V24" s="134"/>
    </row>
    <row r="25" spans="1:26" s="7" customFormat="1" ht="18" hidden="1" customHeight="1">
      <c r="A25" s="96"/>
      <c r="C25" s="896"/>
      <c r="D25" s="896"/>
      <c r="E25" s="896"/>
      <c r="F25" s="896"/>
      <c r="G25" s="896"/>
      <c r="H25" s="896"/>
      <c r="I25" s="896"/>
      <c r="J25" s="896"/>
      <c r="K25" s="896"/>
      <c r="L25" s="896"/>
      <c r="M25" s="896"/>
      <c r="N25" s="896"/>
      <c r="O25" s="896"/>
      <c r="Q25" s="135"/>
      <c r="S25" s="28"/>
      <c r="T25" s="28"/>
      <c r="U25" s="47"/>
      <c r="V25" s="112"/>
    </row>
    <row r="26" spans="1:26" s="7" customFormat="1" ht="18" customHeight="1">
      <c r="A26" s="116"/>
      <c r="B26" s="117" t="s">
        <v>169</v>
      </c>
      <c r="M26" s="124"/>
      <c r="N26" s="121"/>
      <c r="Q26" s="135"/>
      <c r="S26" s="28"/>
      <c r="T26" s="28"/>
      <c r="U26" s="47"/>
      <c r="V26" s="112"/>
    </row>
    <row r="27" spans="1:26" s="7" customFormat="1" ht="18" customHeight="1">
      <c r="A27" s="119"/>
      <c r="B27" s="18" t="s">
        <v>136</v>
      </c>
      <c r="C27" s="14"/>
      <c r="D27" s="14"/>
      <c r="E27" s="14"/>
      <c r="F27" s="14"/>
      <c r="G27" s="14"/>
      <c r="H27" s="14"/>
      <c r="I27" s="14"/>
      <c r="J27" s="14"/>
      <c r="K27" s="14"/>
      <c r="L27" s="14"/>
      <c r="M27" s="14"/>
      <c r="N27" s="14"/>
      <c r="O27" s="14"/>
      <c r="P27" s="14"/>
      <c r="Q27" s="14"/>
      <c r="R27" s="14"/>
      <c r="S27" s="14"/>
      <c r="T27" s="14"/>
      <c r="U27" s="14"/>
      <c r="V27" s="112"/>
    </row>
    <row r="28" spans="1:26" s="7" customFormat="1" ht="18" customHeight="1">
      <c r="A28" s="114"/>
      <c r="C28" s="14" t="s">
        <v>137</v>
      </c>
      <c r="D28" s="14"/>
      <c r="E28" s="14"/>
      <c r="F28" s="14"/>
      <c r="G28" s="14"/>
      <c r="H28" s="14"/>
      <c r="I28" s="14"/>
      <c r="J28" s="14"/>
      <c r="K28" s="14"/>
      <c r="L28" s="14"/>
      <c r="M28" s="14"/>
      <c r="N28" s="14"/>
      <c r="O28" s="14"/>
      <c r="P28" s="14"/>
      <c r="Q28" s="120" t="s">
        <v>9</v>
      </c>
      <c r="R28" s="28" t="s">
        <v>138</v>
      </c>
      <c r="S28" s="890">
        <v>2.5</v>
      </c>
      <c r="T28" s="891"/>
      <c r="U28" s="47" t="s">
        <v>139</v>
      </c>
      <c r="V28" s="112" t="s">
        <v>140</v>
      </c>
    </row>
    <row r="29" spans="1:26" s="7" customFormat="1" ht="18" customHeight="1">
      <c r="A29" s="114"/>
      <c r="C29" s="14" t="s">
        <v>141</v>
      </c>
      <c r="D29" s="14"/>
      <c r="E29" s="14"/>
      <c r="F29" s="14"/>
      <c r="G29" s="14"/>
      <c r="H29" s="14"/>
      <c r="I29" s="14"/>
      <c r="J29" s="14"/>
      <c r="K29" s="14"/>
      <c r="L29" s="14"/>
      <c r="M29" s="14"/>
      <c r="N29" s="14"/>
      <c r="O29" s="14"/>
      <c r="P29" s="14"/>
      <c r="Q29" s="120" t="s">
        <v>142</v>
      </c>
      <c r="R29" s="102" t="s">
        <v>138</v>
      </c>
      <c r="S29" s="892">
        <v>7.41</v>
      </c>
      <c r="T29" s="893"/>
      <c r="U29" s="47" t="s">
        <v>143</v>
      </c>
      <c r="V29" s="112"/>
    </row>
    <row r="30" spans="1:26" s="7" customFormat="1" ht="18" customHeight="1">
      <c r="A30" s="114"/>
      <c r="C30" s="14" t="s">
        <v>144</v>
      </c>
      <c r="D30" s="14"/>
      <c r="E30" s="14"/>
      <c r="F30" s="14"/>
      <c r="G30" s="120"/>
      <c r="H30" s="120"/>
      <c r="I30" s="14" t="s">
        <v>145</v>
      </c>
      <c r="J30" s="14"/>
      <c r="K30" s="14"/>
      <c r="L30" s="14"/>
      <c r="M30" s="14"/>
      <c r="N30" s="14"/>
      <c r="O30" s="14"/>
      <c r="P30" s="14"/>
      <c r="Q30" s="120" t="s">
        <v>146</v>
      </c>
      <c r="R30" s="28" t="s">
        <v>138</v>
      </c>
      <c r="S30" s="894">
        <v>3.9300000000000003E-3</v>
      </c>
      <c r="T30" s="894"/>
      <c r="U30" s="47" t="s">
        <v>147</v>
      </c>
      <c r="V30" s="112"/>
    </row>
    <row r="31" spans="1:26" s="7" customFormat="1" ht="18" customHeight="1">
      <c r="A31" s="96"/>
      <c r="B31" s="14"/>
      <c r="C31" s="14"/>
      <c r="D31" s="14"/>
      <c r="E31" s="14"/>
      <c r="F31" s="14"/>
      <c r="G31" s="14"/>
      <c r="H31" s="14"/>
      <c r="I31" s="14"/>
      <c r="J31" s="14"/>
      <c r="K31" s="14"/>
      <c r="L31" s="14"/>
      <c r="M31" s="14"/>
      <c r="N31" s="14"/>
      <c r="O31" s="14"/>
      <c r="P31" s="14"/>
      <c r="Q31" s="120"/>
      <c r="R31" s="28"/>
      <c r="S31" s="28"/>
      <c r="T31" s="28"/>
      <c r="U31" s="47"/>
      <c r="V31" s="112"/>
    </row>
    <row r="32" spans="1:26" s="7" customFormat="1" ht="18" customHeight="1">
      <c r="A32" s="119"/>
      <c r="B32" s="18" t="s">
        <v>148</v>
      </c>
      <c r="C32" s="14"/>
      <c r="D32" s="14"/>
      <c r="E32" s="14"/>
      <c r="F32" s="14"/>
      <c r="G32" s="14"/>
      <c r="I32" s="18" t="s">
        <v>149</v>
      </c>
      <c r="J32" s="14"/>
      <c r="K32" s="14"/>
      <c r="L32" s="14"/>
      <c r="M32" s="14"/>
      <c r="N32" s="14"/>
      <c r="O32" s="14"/>
      <c r="P32" s="14"/>
      <c r="Q32" s="120"/>
      <c r="R32" s="28"/>
      <c r="S32" s="28"/>
      <c r="T32" s="28"/>
      <c r="U32" s="47"/>
      <c r="V32" s="112"/>
    </row>
    <row r="33" spans="1:28" s="7" customFormat="1" ht="18" customHeight="1">
      <c r="A33" s="114"/>
      <c r="C33" s="14" t="s">
        <v>170</v>
      </c>
      <c r="D33" s="14"/>
      <c r="E33" s="14"/>
      <c r="F33" s="14"/>
      <c r="G33" s="14"/>
      <c r="H33" s="14"/>
      <c r="I33" s="14"/>
      <c r="J33" s="14"/>
      <c r="K33" s="14"/>
      <c r="L33" s="14"/>
      <c r="M33" s="14"/>
      <c r="N33" s="14"/>
      <c r="O33" s="14"/>
      <c r="P33" s="14"/>
      <c r="Q33" s="120"/>
      <c r="R33" s="28" t="s">
        <v>138</v>
      </c>
      <c r="S33" s="623">
        <f>S29*(1+S30*(75-20))</f>
        <v>9.0116715000000003</v>
      </c>
      <c r="T33" s="623"/>
      <c r="U33" s="47" t="s">
        <v>143</v>
      </c>
      <c r="V33" s="112"/>
    </row>
    <row r="34" spans="1:28" s="7" customFormat="1" ht="18" customHeight="1">
      <c r="A34" s="114"/>
      <c r="C34" s="14" t="s">
        <v>171</v>
      </c>
      <c r="D34" s="14"/>
      <c r="E34" s="14"/>
      <c r="F34" s="14"/>
      <c r="G34" s="14"/>
      <c r="H34" s="14"/>
      <c r="I34" s="14"/>
      <c r="J34" s="14"/>
      <c r="K34" s="14"/>
      <c r="L34" s="14"/>
      <c r="M34" s="14"/>
      <c r="N34" s="14"/>
      <c r="O34" s="14"/>
      <c r="P34" s="14"/>
      <c r="Q34" s="120" t="s">
        <v>152</v>
      </c>
      <c r="R34" s="28" t="s">
        <v>138</v>
      </c>
      <c r="S34" s="623">
        <f>S33/1000</f>
        <v>9.0116715000000003E-3</v>
      </c>
      <c r="T34" s="623"/>
      <c r="U34" s="47" t="s">
        <v>153</v>
      </c>
      <c r="V34" s="112"/>
    </row>
    <row r="35" spans="1:28" s="7" customFormat="1" ht="18" customHeight="1">
      <c r="A35" s="114"/>
      <c r="C35" s="14" t="s">
        <v>172</v>
      </c>
      <c r="D35" s="14"/>
      <c r="E35" s="14"/>
      <c r="F35" s="14"/>
      <c r="G35" s="14"/>
      <c r="H35" s="14"/>
      <c r="I35" s="14"/>
      <c r="J35" s="14"/>
      <c r="K35" s="14"/>
      <c r="L35" s="14"/>
      <c r="M35" s="14"/>
      <c r="N35" s="14"/>
      <c r="O35" s="14"/>
      <c r="P35" s="14"/>
      <c r="Q35" s="120" t="s">
        <v>173</v>
      </c>
      <c r="R35" s="28" t="s">
        <v>138</v>
      </c>
      <c r="S35" s="894" t="s">
        <v>937</v>
      </c>
      <c r="T35" s="895"/>
      <c r="U35" s="47" t="s">
        <v>174</v>
      </c>
      <c r="V35" s="112"/>
    </row>
    <row r="36" spans="1:28" s="7" customFormat="1" ht="18" customHeight="1">
      <c r="A36" s="114"/>
      <c r="C36" s="14" t="s">
        <v>175</v>
      </c>
      <c r="D36" s="14"/>
      <c r="E36" s="14"/>
      <c r="F36" s="14"/>
      <c r="G36" s="14"/>
      <c r="H36" s="14"/>
      <c r="I36" s="14"/>
      <c r="J36" s="14"/>
      <c r="K36" s="14"/>
      <c r="L36" s="14"/>
      <c r="M36" s="14"/>
      <c r="N36" s="14"/>
      <c r="O36" s="14"/>
      <c r="P36" s="14"/>
      <c r="Q36" s="120" t="s">
        <v>176</v>
      </c>
      <c r="R36" s="28" t="s">
        <v>138</v>
      </c>
      <c r="S36" s="894" t="s">
        <v>177</v>
      </c>
      <c r="T36" s="895"/>
      <c r="U36" s="47" t="s">
        <v>174</v>
      </c>
      <c r="V36" s="112"/>
    </row>
    <row r="37" spans="1:28" s="7" customFormat="1" ht="18" customHeight="1">
      <c r="A37" s="114"/>
      <c r="C37" s="14" t="s">
        <v>178</v>
      </c>
      <c r="D37" s="14"/>
      <c r="E37" s="14"/>
      <c r="F37" s="14"/>
      <c r="G37" s="14"/>
      <c r="H37" s="14"/>
      <c r="I37" s="14"/>
      <c r="J37" s="14"/>
      <c r="K37" s="136"/>
      <c r="L37" s="136"/>
      <c r="M37" s="14"/>
      <c r="N37" s="14"/>
      <c r="O37" s="14"/>
      <c r="P37" s="14"/>
      <c r="Q37" s="120" t="s">
        <v>159</v>
      </c>
      <c r="R37" s="28" t="s">
        <v>138</v>
      </c>
      <c r="S37" s="894">
        <v>150</v>
      </c>
      <c r="T37" s="895"/>
      <c r="U37" s="47" t="s">
        <v>160</v>
      </c>
      <c r="V37" s="112" t="s">
        <v>140</v>
      </c>
    </row>
    <row r="38" spans="1:28" s="7" customFormat="1" ht="18" customHeight="1">
      <c r="A38" s="114"/>
      <c r="C38" s="14" t="s">
        <v>179</v>
      </c>
      <c r="D38" s="14"/>
      <c r="E38" s="14"/>
      <c r="F38" s="14"/>
      <c r="G38" s="14"/>
      <c r="H38" s="14"/>
      <c r="I38" s="14"/>
      <c r="J38" s="14"/>
      <c r="K38" s="14"/>
      <c r="L38" s="14"/>
      <c r="M38" s="14"/>
      <c r="N38" s="14"/>
      <c r="O38" s="14"/>
      <c r="P38" s="14"/>
      <c r="Q38" s="120" t="s">
        <v>162</v>
      </c>
      <c r="R38" s="28" t="s">
        <v>138</v>
      </c>
      <c r="S38" s="897">
        <f>S34*S37</f>
        <v>1.351750725</v>
      </c>
      <c r="T38" s="897"/>
      <c r="U38" s="47" t="s">
        <v>163</v>
      </c>
      <c r="V38" s="112"/>
    </row>
    <row r="39" spans="1:28" s="7" customFormat="1" ht="18" customHeight="1">
      <c r="A39" s="114"/>
      <c r="C39" s="14" t="s">
        <v>180</v>
      </c>
      <c r="D39" s="14"/>
      <c r="E39" s="14"/>
      <c r="F39" s="14"/>
      <c r="G39" s="14"/>
      <c r="H39" s="14"/>
      <c r="I39" s="14"/>
      <c r="J39" s="14"/>
      <c r="K39" s="14"/>
      <c r="L39" s="14"/>
      <c r="M39" s="14"/>
      <c r="N39" s="14"/>
      <c r="O39" s="14"/>
      <c r="P39" s="14"/>
      <c r="Q39" s="120" t="s">
        <v>165</v>
      </c>
      <c r="R39" s="28" t="s">
        <v>138</v>
      </c>
      <c r="S39" s="897">
        <f>2*S34*S37</f>
        <v>2.7035014500000001</v>
      </c>
      <c r="T39" s="897"/>
      <c r="U39" s="47" t="s">
        <v>163</v>
      </c>
      <c r="V39" s="112"/>
    </row>
    <row r="40" spans="1:28" s="7" customFormat="1" ht="18" customHeight="1">
      <c r="A40" s="96"/>
      <c r="M40" s="124"/>
      <c r="N40" s="121"/>
      <c r="Q40" s="135"/>
      <c r="S40" s="28"/>
      <c r="T40" s="28"/>
      <c r="U40" s="47"/>
      <c r="V40" s="112"/>
    </row>
    <row r="41" spans="1:28" s="7" customFormat="1" ht="18" customHeight="1">
      <c r="A41" s="96"/>
      <c r="M41" s="124"/>
      <c r="N41" s="121"/>
      <c r="Q41" s="135"/>
      <c r="S41" s="28"/>
      <c r="T41" s="28"/>
      <c r="U41" s="47"/>
      <c r="V41" s="112"/>
    </row>
    <row r="42" spans="1:28" s="7" customFormat="1" ht="18" customHeight="1">
      <c r="A42" s="96"/>
      <c r="M42" s="124"/>
      <c r="N42" s="121"/>
      <c r="Q42" s="135"/>
      <c r="S42" s="28"/>
      <c r="T42" s="28"/>
      <c r="U42" s="47"/>
      <c r="V42" s="112"/>
    </row>
    <row r="43" spans="1:28" s="7" customFormat="1" ht="18" customHeight="1">
      <c r="A43" s="96"/>
      <c r="M43" s="124"/>
      <c r="N43" s="121"/>
      <c r="Q43" s="135"/>
      <c r="S43" s="28"/>
      <c r="T43" s="28"/>
      <c r="U43" s="47"/>
      <c r="V43" s="112"/>
    </row>
    <row r="44" spans="1:28" s="7" customFormat="1" ht="18" customHeight="1">
      <c r="A44" s="96"/>
      <c r="I44" s="7" t="s">
        <v>140</v>
      </c>
      <c r="J44" s="14" t="s">
        <v>181</v>
      </c>
      <c r="M44" s="124"/>
      <c r="N44" s="121"/>
      <c r="Q44" s="135"/>
      <c r="S44" s="28"/>
      <c r="T44" s="28"/>
      <c r="U44" s="47"/>
      <c r="V44" s="112"/>
    </row>
    <row r="45" spans="1:28" s="7" customFormat="1" ht="18" customHeight="1">
      <c r="A45" s="137"/>
      <c r="B45" s="20"/>
      <c r="C45" s="138"/>
      <c r="D45" s="20"/>
      <c r="E45" s="20"/>
      <c r="F45" s="139"/>
      <c r="G45" s="20"/>
      <c r="H45" s="138"/>
      <c r="I45" s="20"/>
      <c r="J45" s="20"/>
      <c r="K45" s="139"/>
      <c r="L45" s="20"/>
      <c r="M45" s="138"/>
      <c r="N45" s="20"/>
      <c r="O45" s="20"/>
      <c r="P45" s="20"/>
      <c r="Q45" s="20"/>
      <c r="R45" s="20"/>
      <c r="S45" s="21"/>
      <c r="T45" s="22"/>
      <c r="U45" s="20"/>
      <c r="V45" s="140"/>
    </row>
    <row r="46" spans="1:28" s="7" customFormat="1" ht="18" customHeight="1">
      <c r="A46" s="141"/>
      <c r="B46" s="111"/>
      <c r="C46" s="111"/>
      <c r="D46" s="111"/>
      <c r="E46" s="111"/>
      <c r="F46" s="111"/>
      <c r="G46" s="111"/>
      <c r="H46" s="111"/>
      <c r="I46" s="111"/>
      <c r="J46" s="111"/>
      <c r="K46" s="111"/>
      <c r="L46" s="111"/>
      <c r="M46" s="142"/>
      <c r="N46" s="143"/>
      <c r="O46" s="111"/>
      <c r="P46" s="111"/>
      <c r="Q46" s="144"/>
      <c r="R46" s="111"/>
      <c r="S46" s="145"/>
      <c r="T46" s="145"/>
      <c r="U46" s="146"/>
      <c r="V46" s="147"/>
    </row>
    <row r="47" spans="1:28" s="7" customFormat="1" ht="18" customHeight="1">
      <c r="A47" s="116"/>
      <c r="B47" s="117" t="s">
        <v>182</v>
      </c>
      <c r="N47" s="121"/>
      <c r="Q47" s="898" t="s">
        <v>183</v>
      </c>
      <c r="R47" s="898"/>
      <c r="S47" s="899" t="s">
        <v>184</v>
      </c>
      <c r="T47" s="899"/>
      <c r="U47" s="47"/>
      <c r="V47" s="112"/>
      <c r="W47" s="7" t="s">
        <v>185</v>
      </c>
    </row>
    <row r="48" spans="1:28" s="7" customFormat="1" ht="18" customHeight="1">
      <c r="A48" s="148"/>
      <c r="B48" s="149"/>
      <c r="C48" s="150" t="s">
        <v>186</v>
      </c>
      <c r="D48" s="149"/>
      <c r="E48" s="149"/>
      <c r="F48" s="149"/>
      <c r="G48" s="149"/>
      <c r="H48" s="149"/>
      <c r="I48" s="149"/>
      <c r="J48" s="149"/>
      <c r="K48" s="149"/>
      <c r="L48" s="149"/>
      <c r="M48" s="149"/>
      <c r="N48" s="151"/>
      <c r="O48" s="536" t="s">
        <v>187</v>
      </c>
      <c r="P48" s="149"/>
      <c r="Q48" s="884">
        <v>0.02</v>
      </c>
      <c r="R48" s="884"/>
      <c r="S48" s="884">
        <v>0.02</v>
      </c>
      <c r="T48" s="884"/>
      <c r="U48" s="153" t="s">
        <v>168</v>
      </c>
      <c r="V48" s="154"/>
      <c r="X48" s="7" t="s">
        <v>188</v>
      </c>
      <c r="AB48" s="7">
        <f>0.15/5^2</f>
        <v>6.0000000000000001E-3</v>
      </c>
    </row>
    <row r="49" spans="1:25" s="7" customFormat="1" ht="18" customHeight="1">
      <c r="A49" s="114"/>
      <c r="B49" s="149"/>
      <c r="C49" s="153" t="s">
        <v>189</v>
      </c>
      <c r="D49" s="149"/>
      <c r="E49" s="149"/>
      <c r="F49" s="149"/>
      <c r="G49" s="149"/>
      <c r="H49" s="149"/>
      <c r="I49" s="149"/>
      <c r="J49" s="149"/>
      <c r="K49" s="149"/>
      <c r="L49" s="155"/>
      <c r="M49" s="155"/>
      <c r="N49" s="149"/>
      <c r="O49" s="537" t="s">
        <v>190</v>
      </c>
      <c r="P49" s="149"/>
      <c r="Q49" s="884">
        <v>0.01</v>
      </c>
      <c r="R49" s="884"/>
      <c r="S49" s="884">
        <v>0.15</v>
      </c>
      <c r="T49" s="884"/>
      <c r="U49" s="153" t="s">
        <v>168</v>
      </c>
      <c r="V49" s="154"/>
    </row>
    <row r="50" spans="1:25" s="7" customFormat="1" ht="18" hidden="1" customHeight="1">
      <c r="A50" s="148"/>
      <c r="B50" s="149"/>
      <c r="C50" s="150" t="s">
        <v>191</v>
      </c>
      <c r="D50" s="149"/>
      <c r="E50" s="149"/>
      <c r="F50" s="149"/>
      <c r="G50" s="149"/>
      <c r="H50" s="149"/>
      <c r="I50" s="149"/>
      <c r="J50" s="149"/>
      <c r="K50" s="149"/>
      <c r="L50" s="149"/>
      <c r="M50" s="149"/>
      <c r="N50" s="149"/>
      <c r="O50" s="537" t="s">
        <v>192</v>
      </c>
      <c r="P50" s="149"/>
      <c r="Q50" s="884">
        <v>0.1</v>
      </c>
      <c r="R50" s="884"/>
      <c r="S50" s="884">
        <v>0.5</v>
      </c>
      <c r="T50" s="884"/>
      <c r="U50" s="153" t="s">
        <v>168</v>
      </c>
      <c r="V50" s="154"/>
    </row>
    <row r="51" spans="1:25" s="7" customFormat="1" ht="18" hidden="1" customHeight="1">
      <c r="A51" s="148"/>
      <c r="B51" s="149"/>
      <c r="C51" s="153" t="s">
        <v>193</v>
      </c>
      <c r="D51" s="149"/>
      <c r="E51" s="149"/>
      <c r="F51" s="149"/>
      <c r="G51" s="149"/>
      <c r="H51" s="149"/>
      <c r="I51" s="149"/>
      <c r="J51" s="149"/>
      <c r="K51" s="149"/>
      <c r="L51" s="149"/>
      <c r="M51" s="149"/>
      <c r="N51" s="149"/>
      <c r="O51" s="537" t="s">
        <v>194</v>
      </c>
      <c r="P51" s="149"/>
      <c r="Q51" s="884">
        <v>0.02</v>
      </c>
      <c r="R51" s="884"/>
      <c r="S51" s="884">
        <v>0.02</v>
      </c>
      <c r="T51" s="884"/>
      <c r="U51" s="153" t="s">
        <v>168</v>
      </c>
      <c r="V51" s="154"/>
    </row>
    <row r="52" spans="1:25" s="7" customFormat="1" ht="18" hidden="1" customHeight="1">
      <c r="A52" s="148"/>
      <c r="B52" s="149"/>
      <c r="C52" s="150" t="s">
        <v>195</v>
      </c>
      <c r="D52" s="149"/>
      <c r="E52" s="149"/>
      <c r="F52" s="149"/>
      <c r="G52" s="149"/>
      <c r="H52" s="149"/>
      <c r="I52" s="149"/>
      <c r="J52" s="149"/>
      <c r="K52" s="149"/>
      <c r="L52" s="149"/>
      <c r="M52" s="149"/>
      <c r="N52" s="149"/>
      <c r="O52" s="537" t="s">
        <v>196</v>
      </c>
      <c r="P52" s="149"/>
      <c r="Q52" s="884">
        <v>0.1</v>
      </c>
      <c r="R52" s="884"/>
      <c r="S52" s="884">
        <v>0.5</v>
      </c>
      <c r="T52" s="884"/>
      <c r="U52" s="153" t="s">
        <v>168</v>
      </c>
      <c r="V52" s="154"/>
    </row>
    <row r="53" spans="1:25" s="7" customFormat="1" ht="18" hidden="1" customHeight="1">
      <c r="A53" s="148"/>
      <c r="B53" s="149"/>
      <c r="C53" s="153" t="s">
        <v>197</v>
      </c>
      <c r="D53" s="149"/>
      <c r="E53" s="149"/>
      <c r="F53" s="149"/>
      <c r="G53" s="149"/>
      <c r="H53" s="149"/>
      <c r="I53" s="149"/>
      <c r="J53" s="149"/>
      <c r="K53" s="149"/>
      <c r="L53" s="149"/>
      <c r="M53" s="149"/>
      <c r="N53" s="149"/>
      <c r="O53" s="537" t="s">
        <v>198</v>
      </c>
      <c r="P53" s="149"/>
      <c r="Q53" s="884">
        <v>0.02</v>
      </c>
      <c r="R53" s="884"/>
      <c r="S53" s="884">
        <v>0.5</v>
      </c>
      <c r="T53" s="884"/>
      <c r="U53" s="153" t="s">
        <v>168</v>
      </c>
      <c r="V53" s="154"/>
    </row>
    <row r="54" spans="1:25" s="7" customFormat="1" ht="18" hidden="1" customHeight="1">
      <c r="A54" s="148"/>
      <c r="B54" s="149"/>
      <c r="C54" s="153" t="s">
        <v>199</v>
      </c>
      <c r="D54" s="149"/>
      <c r="E54" s="149"/>
      <c r="F54" s="149"/>
      <c r="G54" s="149"/>
      <c r="H54" s="149"/>
      <c r="I54" s="149"/>
      <c r="J54" s="149"/>
      <c r="K54" s="149"/>
      <c r="L54" s="149"/>
      <c r="M54" s="149"/>
      <c r="N54" s="149"/>
      <c r="O54" s="537" t="s">
        <v>200</v>
      </c>
      <c r="P54" s="149"/>
      <c r="Q54" s="882">
        <v>0.02</v>
      </c>
      <c r="R54" s="883"/>
      <c r="S54" s="882">
        <v>0.05</v>
      </c>
      <c r="T54" s="883"/>
      <c r="U54" s="153" t="s">
        <v>168</v>
      </c>
      <c r="V54" s="154"/>
    </row>
    <row r="55" spans="1:25" s="7" customFormat="1" ht="18" hidden="1" customHeight="1">
      <c r="A55" s="148"/>
      <c r="B55" s="149"/>
      <c r="C55" s="153" t="s">
        <v>201</v>
      </c>
      <c r="D55" s="149"/>
      <c r="E55" s="149"/>
      <c r="F55" s="149"/>
      <c r="G55" s="149"/>
      <c r="H55" s="149"/>
      <c r="I55" s="149"/>
      <c r="J55" s="149"/>
      <c r="K55" s="149"/>
      <c r="L55" s="149"/>
      <c r="M55" s="149"/>
      <c r="N55" s="149"/>
      <c r="O55" s="537" t="s">
        <v>202</v>
      </c>
      <c r="P55" s="149"/>
      <c r="Q55" s="882">
        <v>0.02</v>
      </c>
      <c r="R55" s="883"/>
      <c r="S55" s="882">
        <v>0.05</v>
      </c>
      <c r="T55" s="883"/>
      <c r="U55" s="153" t="s">
        <v>168</v>
      </c>
      <c r="V55" s="154"/>
    </row>
    <row r="56" spans="1:25" s="7" customFormat="1" ht="18" hidden="1" customHeight="1">
      <c r="A56" s="148"/>
      <c r="B56" s="149"/>
      <c r="C56" s="153" t="s">
        <v>203</v>
      </c>
      <c r="D56" s="149"/>
      <c r="E56" s="149"/>
      <c r="F56" s="149"/>
      <c r="G56" s="149"/>
      <c r="H56" s="149"/>
      <c r="I56" s="149"/>
      <c r="J56" s="149"/>
      <c r="K56" s="149"/>
      <c r="L56" s="149"/>
      <c r="M56" s="149"/>
      <c r="N56" s="149"/>
      <c r="O56" s="537" t="s">
        <v>204</v>
      </c>
      <c r="P56" s="149"/>
      <c r="Q56" s="882" t="s">
        <v>7</v>
      </c>
      <c r="R56" s="883"/>
      <c r="S56" s="882">
        <v>0.1</v>
      </c>
      <c r="T56" s="883"/>
      <c r="U56" s="153" t="s">
        <v>168</v>
      </c>
      <c r="V56" s="154"/>
    </row>
    <row r="57" spans="1:25" s="7" customFormat="1" ht="18" hidden="1" customHeight="1">
      <c r="A57" s="148"/>
      <c r="B57" s="149"/>
      <c r="C57" s="153" t="s">
        <v>205</v>
      </c>
      <c r="D57" s="150"/>
      <c r="E57" s="150"/>
      <c r="F57" s="150"/>
      <c r="G57" s="150"/>
      <c r="H57" s="150"/>
      <c r="I57" s="150"/>
      <c r="J57" s="150"/>
      <c r="K57" s="150"/>
      <c r="L57" s="150"/>
      <c r="O57" s="537" t="s">
        <v>206</v>
      </c>
      <c r="P57" s="150"/>
      <c r="Q57" s="882">
        <v>0.2</v>
      </c>
      <c r="R57" s="883"/>
      <c r="S57" s="882"/>
      <c r="T57" s="883"/>
      <c r="U57" s="153" t="s">
        <v>168</v>
      </c>
      <c r="V57" s="154"/>
    </row>
    <row r="58" spans="1:25" s="7" customFormat="1" ht="18" hidden="1" customHeight="1">
      <c r="A58" s="148"/>
      <c r="B58" s="149"/>
      <c r="C58" s="153" t="s">
        <v>207</v>
      </c>
      <c r="D58" s="149"/>
      <c r="E58" s="149"/>
      <c r="F58" s="149"/>
      <c r="G58" s="149"/>
      <c r="H58" s="149"/>
      <c r="I58" s="149"/>
      <c r="J58" s="149"/>
      <c r="K58" s="149"/>
      <c r="L58" s="149"/>
      <c r="M58" s="149"/>
      <c r="N58" s="149"/>
      <c r="O58" s="537" t="s">
        <v>208</v>
      </c>
      <c r="P58" s="149"/>
      <c r="Q58" s="884">
        <v>0.1</v>
      </c>
      <c r="R58" s="884"/>
      <c r="S58" s="884">
        <v>0.1</v>
      </c>
      <c r="T58" s="884"/>
      <c r="U58" s="153" t="s">
        <v>168</v>
      </c>
      <c r="V58" s="154"/>
    </row>
    <row r="59" spans="1:25" s="7" customFormat="1" ht="18" hidden="1" customHeight="1">
      <c r="A59" s="148"/>
      <c r="B59" s="149"/>
      <c r="C59" s="153" t="s">
        <v>209</v>
      </c>
      <c r="D59" s="149"/>
      <c r="E59" s="149"/>
      <c r="F59" s="149"/>
      <c r="G59" s="149"/>
      <c r="H59" s="149"/>
      <c r="I59" s="149"/>
      <c r="J59" s="149"/>
      <c r="K59" s="149"/>
      <c r="L59" s="149"/>
      <c r="M59" s="149"/>
      <c r="N59" s="149"/>
      <c r="O59" s="537" t="s">
        <v>210</v>
      </c>
      <c r="P59" s="149"/>
      <c r="Q59" s="884">
        <v>0.1</v>
      </c>
      <c r="R59" s="884"/>
      <c r="S59" s="884">
        <v>0.1</v>
      </c>
      <c r="T59" s="884"/>
      <c r="U59" s="153" t="s">
        <v>168</v>
      </c>
      <c r="V59" s="154"/>
    </row>
    <row r="60" spans="1:25" s="7" customFormat="1" ht="18" hidden="1" customHeight="1">
      <c r="A60" s="148"/>
      <c r="B60" s="149"/>
      <c r="C60" s="153"/>
      <c r="D60" s="149"/>
      <c r="E60" s="149"/>
      <c r="F60" s="149"/>
      <c r="G60" s="149"/>
      <c r="H60" s="149"/>
      <c r="I60" s="149"/>
      <c r="J60" s="149"/>
      <c r="K60" s="149"/>
      <c r="L60" s="149"/>
      <c r="M60" s="149"/>
      <c r="N60" s="149"/>
      <c r="O60" s="537"/>
      <c r="P60" s="149"/>
      <c r="Q60" s="882"/>
      <c r="R60" s="883"/>
      <c r="S60" s="882"/>
      <c r="T60" s="883"/>
      <c r="U60" s="153"/>
      <c r="V60" s="154"/>
    </row>
    <row r="61" spans="1:25" s="7" customFormat="1" ht="18" hidden="1" customHeight="1">
      <c r="A61" s="148"/>
      <c r="B61" s="149"/>
      <c r="C61" s="153" t="s">
        <v>211</v>
      </c>
      <c r="D61" s="149"/>
      <c r="E61" s="149"/>
      <c r="F61" s="149"/>
      <c r="G61" s="149"/>
      <c r="H61" s="149"/>
      <c r="I61" s="149"/>
      <c r="J61" s="149"/>
      <c r="K61" s="149"/>
      <c r="L61" s="149"/>
      <c r="M61" s="149"/>
      <c r="N61" s="149"/>
      <c r="O61" s="537" t="s">
        <v>212</v>
      </c>
      <c r="P61" s="149"/>
      <c r="Q61" s="882">
        <v>0.1</v>
      </c>
      <c r="R61" s="883"/>
      <c r="S61" s="882">
        <v>0.1</v>
      </c>
      <c r="T61" s="883"/>
      <c r="U61" s="153" t="s">
        <v>168</v>
      </c>
      <c r="V61" s="154"/>
    </row>
    <row r="62" spans="1:25" s="32" customFormat="1" ht="18" hidden="1" customHeight="1">
      <c r="A62" s="156"/>
      <c r="B62" s="149"/>
      <c r="C62" s="153" t="s">
        <v>213</v>
      </c>
      <c r="D62" s="149"/>
      <c r="E62" s="149"/>
      <c r="F62" s="149"/>
      <c r="G62" s="149"/>
      <c r="H62" s="149"/>
      <c r="I62" s="149"/>
      <c r="J62" s="149"/>
      <c r="K62" s="149"/>
      <c r="L62" s="149"/>
      <c r="M62" s="149"/>
      <c r="N62" s="149"/>
      <c r="O62" s="537" t="s">
        <v>214</v>
      </c>
      <c r="P62" s="149"/>
      <c r="Q62" s="884">
        <v>0.05</v>
      </c>
      <c r="R62" s="884"/>
      <c r="S62" s="884">
        <v>0.1</v>
      </c>
      <c r="T62" s="884"/>
      <c r="U62" s="153" t="s">
        <v>168</v>
      </c>
      <c r="V62" s="154"/>
    </row>
    <row r="63" spans="1:25" s="7" customFormat="1" ht="18" hidden="1" customHeight="1">
      <c r="A63" s="148"/>
      <c r="B63" s="149"/>
      <c r="C63" s="153" t="s">
        <v>215</v>
      </c>
      <c r="D63" s="149"/>
      <c r="E63" s="149"/>
      <c r="F63" s="149"/>
      <c r="G63" s="149"/>
      <c r="H63" s="149"/>
      <c r="I63" s="149"/>
      <c r="J63" s="149"/>
      <c r="K63" s="149"/>
      <c r="L63" s="149"/>
      <c r="M63" s="149"/>
      <c r="N63" s="149"/>
      <c r="O63" s="537" t="s">
        <v>216</v>
      </c>
      <c r="P63" s="149"/>
      <c r="Q63" s="884">
        <v>0.1</v>
      </c>
      <c r="R63" s="884"/>
      <c r="S63" s="884">
        <v>0.1</v>
      </c>
      <c r="T63" s="884"/>
      <c r="U63" s="153" t="s">
        <v>168</v>
      </c>
      <c r="V63" s="154"/>
      <c r="Y63" t="s">
        <v>217</v>
      </c>
    </row>
    <row r="64" spans="1:25" s="7" customFormat="1" ht="18" hidden="1" customHeight="1">
      <c r="A64" s="148"/>
      <c r="B64" s="149"/>
      <c r="C64" s="153" t="s">
        <v>218</v>
      </c>
      <c r="D64" s="149"/>
      <c r="E64" s="149"/>
      <c r="F64" s="149"/>
      <c r="G64" s="149"/>
      <c r="H64" s="149"/>
      <c r="I64" s="149"/>
      <c r="J64" s="149"/>
      <c r="K64" s="149"/>
      <c r="L64" s="155"/>
      <c r="M64" s="155"/>
      <c r="N64" s="149"/>
      <c r="O64" s="537" t="s">
        <v>219</v>
      </c>
      <c r="P64" s="149"/>
      <c r="Q64" s="884" t="s">
        <v>7</v>
      </c>
      <c r="R64" s="884"/>
      <c r="S64" s="884">
        <v>1</v>
      </c>
      <c r="T64" s="884"/>
      <c r="U64" s="153" t="s">
        <v>168</v>
      </c>
      <c r="V64" s="154"/>
    </row>
    <row r="65" spans="1:27" s="7" customFormat="1" ht="18" hidden="1" customHeight="1">
      <c r="A65" s="148"/>
      <c r="B65" s="149"/>
      <c r="C65" s="150" t="s">
        <v>220</v>
      </c>
      <c r="D65" s="149"/>
      <c r="E65" s="149"/>
      <c r="F65" s="149"/>
      <c r="G65" s="149"/>
      <c r="H65" s="149"/>
      <c r="I65" s="149"/>
      <c r="J65" s="149"/>
      <c r="K65" s="149"/>
      <c r="L65" s="149"/>
      <c r="M65" s="149"/>
      <c r="N65" s="149"/>
      <c r="O65" s="537" t="s">
        <v>221</v>
      </c>
      <c r="P65" s="149"/>
      <c r="Q65" s="884">
        <v>0.05</v>
      </c>
      <c r="R65" s="884"/>
      <c r="S65" s="884" t="s">
        <v>7</v>
      </c>
      <c r="T65" s="884"/>
      <c r="U65" s="153" t="s">
        <v>168</v>
      </c>
      <c r="V65" s="154"/>
    </row>
    <row r="66" spans="1:27" s="7" customFormat="1" ht="18" hidden="1" customHeight="1">
      <c r="A66" s="148"/>
      <c r="B66" s="149"/>
      <c r="C66" s="150" t="s">
        <v>222</v>
      </c>
      <c r="D66" s="149"/>
      <c r="E66" s="149"/>
      <c r="F66" s="149"/>
      <c r="G66" s="149"/>
      <c r="H66" s="149"/>
      <c r="I66" s="149"/>
      <c r="J66" s="149"/>
      <c r="K66" s="149"/>
      <c r="L66" s="149"/>
      <c r="M66" s="149"/>
      <c r="N66" s="149"/>
      <c r="O66" s="537" t="s">
        <v>223</v>
      </c>
      <c r="P66" s="149"/>
      <c r="Q66" s="882">
        <v>0.05</v>
      </c>
      <c r="R66" s="883"/>
      <c r="S66" s="882" t="s">
        <v>7</v>
      </c>
      <c r="T66" s="883"/>
      <c r="U66" s="153" t="s">
        <v>168</v>
      </c>
      <c r="V66" s="154"/>
    </row>
    <row r="67" spans="1:27" s="7" customFormat="1" ht="18" hidden="1" customHeight="1">
      <c r="A67" s="148"/>
      <c r="B67" s="149"/>
      <c r="C67" s="150" t="s">
        <v>224</v>
      </c>
      <c r="D67" s="149"/>
      <c r="E67" s="149"/>
      <c r="F67" s="149"/>
      <c r="G67" s="149"/>
      <c r="H67" s="149"/>
      <c r="I67" s="149"/>
      <c r="J67" s="149"/>
      <c r="K67" s="149"/>
      <c r="L67" s="149"/>
      <c r="M67" s="149"/>
      <c r="N67" s="149"/>
      <c r="O67" s="537" t="s">
        <v>225</v>
      </c>
      <c r="P67" s="149"/>
      <c r="Q67" s="882">
        <v>0.1</v>
      </c>
      <c r="R67" s="883"/>
      <c r="S67" s="882" t="s">
        <v>7</v>
      </c>
      <c r="T67" s="883"/>
      <c r="U67" s="153" t="s">
        <v>168</v>
      </c>
      <c r="V67" s="154"/>
    </row>
    <row r="68" spans="1:27" s="7" customFormat="1" ht="18" hidden="1" customHeight="1">
      <c r="A68" s="148"/>
      <c r="B68" s="149"/>
      <c r="C68" s="150"/>
      <c r="D68" s="149"/>
      <c r="E68" s="149"/>
      <c r="F68" s="149"/>
      <c r="G68" s="149"/>
      <c r="H68" s="149"/>
      <c r="I68" s="149"/>
      <c r="J68" s="149"/>
      <c r="K68" s="149"/>
      <c r="L68" s="149"/>
      <c r="M68" s="149"/>
      <c r="N68" s="149"/>
      <c r="O68" s="149"/>
      <c r="P68" s="149"/>
      <c r="Q68" s="888"/>
      <c r="R68" s="888"/>
      <c r="S68" s="889"/>
      <c r="T68" s="889"/>
      <c r="U68" s="153"/>
      <c r="V68" s="154"/>
    </row>
    <row r="69" spans="1:27" s="7" customFormat="1" ht="18" hidden="1" customHeight="1">
      <c r="A69" s="148"/>
      <c r="B69" s="149"/>
      <c r="C69" s="153" t="s">
        <v>226</v>
      </c>
      <c r="D69" s="149"/>
      <c r="E69" s="149"/>
      <c r="F69" s="149"/>
      <c r="G69" s="149"/>
      <c r="H69" s="149"/>
      <c r="I69" s="149"/>
      <c r="J69" s="149"/>
      <c r="K69" s="149"/>
      <c r="L69" s="149"/>
      <c r="M69" s="149"/>
      <c r="N69" s="149"/>
      <c r="O69" s="537" t="s">
        <v>227</v>
      </c>
      <c r="P69" s="149"/>
      <c r="Q69" s="882">
        <v>0.04</v>
      </c>
      <c r="R69" s="883"/>
      <c r="S69" s="882" t="s">
        <v>7</v>
      </c>
      <c r="T69" s="883"/>
      <c r="U69" s="153" t="s">
        <v>168</v>
      </c>
      <c r="V69" s="154"/>
    </row>
    <row r="70" spans="1:27" s="7" customFormat="1" ht="18" hidden="1" customHeight="1">
      <c r="A70" s="148"/>
      <c r="B70" s="149"/>
      <c r="C70" s="153" t="s">
        <v>228</v>
      </c>
      <c r="D70" s="149"/>
      <c r="E70" s="149"/>
      <c r="F70" s="149"/>
      <c r="G70" s="149"/>
      <c r="H70" s="149"/>
      <c r="I70" s="149"/>
      <c r="J70" s="149"/>
      <c r="K70" s="149"/>
      <c r="L70" s="149"/>
      <c r="M70" s="149"/>
      <c r="N70" s="149"/>
      <c r="O70" s="537" t="s">
        <v>229</v>
      </c>
      <c r="P70" s="149"/>
      <c r="Q70" s="884">
        <v>0.1</v>
      </c>
      <c r="R70" s="884"/>
      <c r="S70" s="884">
        <v>0.3</v>
      </c>
      <c r="T70" s="884"/>
      <c r="U70" s="153" t="s">
        <v>168</v>
      </c>
      <c r="V70" s="154"/>
    </row>
    <row r="71" spans="1:27" s="7" customFormat="1" ht="18" hidden="1" customHeight="1">
      <c r="A71" s="148"/>
      <c r="B71" s="149"/>
      <c r="C71" s="153" t="s">
        <v>230</v>
      </c>
      <c r="D71" s="149"/>
      <c r="E71" s="149"/>
      <c r="F71" s="149"/>
      <c r="G71" s="149"/>
      <c r="H71" s="149"/>
      <c r="I71" s="149"/>
      <c r="J71" s="149"/>
      <c r="K71" s="149"/>
      <c r="L71" s="155"/>
      <c r="M71" s="155"/>
      <c r="N71" s="149"/>
      <c r="O71" s="537" t="s">
        <v>231</v>
      </c>
      <c r="P71" s="149"/>
      <c r="Q71" s="884">
        <v>1</v>
      </c>
      <c r="R71" s="884"/>
      <c r="S71" s="884" t="s">
        <v>7</v>
      </c>
      <c r="T71" s="884"/>
      <c r="U71" s="153" t="s">
        <v>168</v>
      </c>
      <c r="V71" s="154"/>
    </row>
    <row r="72" spans="1:27" s="7" customFormat="1" ht="18" hidden="1" customHeight="1">
      <c r="A72" s="148"/>
      <c r="B72" s="149"/>
      <c r="C72" s="153" t="s">
        <v>232</v>
      </c>
      <c r="D72" s="149"/>
      <c r="E72" s="149"/>
      <c r="F72" s="149"/>
      <c r="G72" s="149"/>
      <c r="H72" s="149"/>
      <c r="I72" s="149"/>
      <c r="J72" s="149"/>
      <c r="K72" s="149"/>
      <c r="L72" s="149"/>
      <c r="M72" s="149"/>
      <c r="N72" s="149"/>
      <c r="O72" s="537" t="s">
        <v>233</v>
      </c>
      <c r="P72" s="149"/>
      <c r="Q72" s="884">
        <v>2E-3</v>
      </c>
      <c r="R72" s="884"/>
      <c r="S72" s="884" t="s">
        <v>7</v>
      </c>
      <c r="T72" s="884"/>
      <c r="U72" s="153" t="s">
        <v>168</v>
      </c>
      <c r="V72" s="154"/>
    </row>
    <row r="73" spans="1:27" s="7" customFormat="1" ht="18" hidden="1" customHeight="1">
      <c r="A73" s="148"/>
      <c r="B73" s="149"/>
      <c r="C73" s="153" t="s">
        <v>234</v>
      </c>
      <c r="D73" s="149"/>
      <c r="E73" s="149"/>
      <c r="F73" s="149"/>
      <c r="G73" s="149"/>
      <c r="H73" s="149"/>
      <c r="I73" s="149"/>
      <c r="J73" s="149"/>
      <c r="K73" s="149"/>
      <c r="L73" s="149"/>
      <c r="M73" s="149"/>
      <c r="N73" s="149"/>
      <c r="O73" s="537" t="s">
        <v>235</v>
      </c>
      <c r="P73" s="149"/>
      <c r="Q73" s="884">
        <v>0.15</v>
      </c>
      <c r="R73" s="884"/>
      <c r="S73" s="884">
        <v>0.02</v>
      </c>
      <c r="T73" s="884"/>
      <c r="U73" s="153" t="s">
        <v>168</v>
      </c>
      <c r="V73" s="154"/>
    </row>
    <row r="74" spans="1:27" s="7" customFormat="1" ht="18" hidden="1" customHeight="1">
      <c r="A74" s="148"/>
      <c r="B74" s="149"/>
      <c r="C74" s="153" t="s">
        <v>236</v>
      </c>
      <c r="D74" s="149"/>
      <c r="E74" s="149"/>
      <c r="F74" s="149"/>
      <c r="G74" s="149"/>
      <c r="H74" s="149"/>
      <c r="I74" s="149"/>
      <c r="J74" s="149"/>
      <c r="K74" s="149"/>
      <c r="L74" s="149"/>
      <c r="M74" s="149"/>
      <c r="N74" s="149"/>
      <c r="O74" s="537" t="s">
        <v>237</v>
      </c>
      <c r="P74" s="149"/>
      <c r="Q74" s="882">
        <v>0.1</v>
      </c>
      <c r="R74" s="883"/>
      <c r="S74" s="882" t="s">
        <v>7</v>
      </c>
      <c r="T74" s="883"/>
      <c r="U74" s="153" t="s">
        <v>168</v>
      </c>
      <c r="V74" s="154"/>
    </row>
    <row r="75" spans="1:27" s="7" customFormat="1" ht="18" hidden="1" customHeight="1">
      <c r="A75" s="148"/>
      <c r="B75" s="149"/>
      <c r="C75" s="153" t="s">
        <v>238</v>
      </c>
      <c r="D75" s="149"/>
      <c r="E75" s="149"/>
      <c r="F75" s="149"/>
      <c r="G75" s="149"/>
      <c r="H75" s="149"/>
      <c r="I75" s="149"/>
      <c r="J75" s="149"/>
      <c r="K75" s="149"/>
      <c r="L75" s="149"/>
      <c r="M75" s="149"/>
      <c r="N75" s="149"/>
      <c r="O75" s="537" t="s">
        <v>239</v>
      </c>
      <c r="P75" s="149"/>
      <c r="Q75" s="882">
        <v>0.1</v>
      </c>
      <c r="R75" s="883"/>
      <c r="S75" s="882">
        <v>0.1</v>
      </c>
      <c r="T75" s="883"/>
      <c r="U75" s="153"/>
      <c r="V75" s="154"/>
    </row>
    <row r="76" spans="1:27" s="7" customFormat="1" ht="18" hidden="1" customHeight="1">
      <c r="A76" s="148"/>
      <c r="B76" s="149"/>
      <c r="C76" s="153" t="s">
        <v>240</v>
      </c>
      <c r="D76" s="149"/>
      <c r="E76" s="149"/>
      <c r="F76" s="149"/>
      <c r="G76" s="149"/>
      <c r="H76" s="149"/>
      <c r="I76" s="149"/>
      <c r="J76" s="149"/>
      <c r="K76" s="149"/>
      <c r="L76" s="149"/>
      <c r="M76" s="149"/>
      <c r="N76" s="149"/>
      <c r="O76" s="537" t="s">
        <v>241</v>
      </c>
      <c r="P76" s="149"/>
      <c r="Q76" s="882">
        <v>0.1</v>
      </c>
      <c r="R76" s="883"/>
      <c r="S76" s="882">
        <v>0.1</v>
      </c>
      <c r="T76" s="883"/>
      <c r="U76" s="153" t="s">
        <v>168</v>
      </c>
      <c r="V76" s="154"/>
    </row>
    <row r="77" spans="1:27" s="7" customFormat="1" ht="18" hidden="1" customHeight="1">
      <c r="A77" s="148"/>
      <c r="B77" s="149"/>
      <c r="C77" s="153" t="s">
        <v>242</v>
      </c>
      <c r="D77" s="149"/>
      <c r="E77" s="149"/>
      <c r="F77" s="149"/>
      <c r="G77" s="149"/>
      <c r="H77" s="149"/>
      <c r="I77" s="149"/>
      <c r="J77" s="149"/>
      <c r="K77" s="149"/>
      <c r="L77" s="149"/>
      <c r="M77" s="149"/>
      <c r="N77" s="149"/>
      <c r="O77" s="537" t="s">
        <v>243</v>
      </c>
      <c r="P77" s="149"/>
      <c r="Q77" s="882">
        <v>0.01</v>
      </c>
      <c r="R77" s="883"/>
      <c r="S77" s="882">
        <v>0.1</v>
      </c>
      <c r="T77" s="883"/>
      <c r="U77" s="153" t="s">
        <v>168</v>
      </c>
      <c r="V77" s="154"/>
    </row>
    <row r="78" spans="1:27" s="7" customFormat="1" ht="18" hidden="1" customHeight="1">
      <c r="A78" s="148"/>
      <c r="B78" s="149"/>
      <c r="C78" s="153" t="s">
        <v>244</v>
      </c>
      <c r="D78" s="149"/>
      <c r="E78" s="149"/>
      <c r="F78" s="149"/>
      <c r="G78" s="149"/>
      <c r="H78" s="149"/>
      <c r="I78" s="149"/>
      <c r="J78" s="149"/>
      <c r="K78" s="149"/>
      <c r="L78" s="155"/>
      <c r="M78" s="155"/>
      <c r="N78" s="149"/>
      <c r="O78" s="538" t="s">
        <v>245</v>
      </c>
      <c r="P78" s="149"/>
      <c r="Q78" s="884">
        <v>0.1</v>
      </c>
      <c r="R78" s="884"/>
      <c r="S78" s="884">
        <v>0.1</v>
      </c>
      <c r="T78" s="884"/>
      <c r="U78" s="153" t="s">
        <v>168</v>
      </c>
      <c r="V78" s="154"/>
      <c r="Z78" s="886"/>
      <c r="AA78" s="887"/>
    </row>
    <row r="79" spans="1:27" s="7" customFormat="1" ht="18" hidden="1" customHeight="1">
      <c r="A79" s="148"/>
      <c r="B79" s="149"/>
      <c r="C79" s="153" t="s">
        <v>246</v>
      </c>
      <c r="D79" s="149"/>
      <c r="E79" s="149"/>
      <c r="F79" s="149"/>
      <c r="G79" s="149"/>
      <c r="H79" s="149"/>
      <c r="I79" s="149"/>
      <c r="J79" s="149"/>
      <c r="K79" s="149"/>
      <c r="L79" s="149"/>
      <c r="M79" s="149"/>
      <c r="N79" s="149"/>
      <c r="O79" s="537" t="s">
        <v>247</v>
      </c>
      <c r="P79" s="149"/>
      <c r="Q79" s="884">
        <v>0.01</v>
      </c>
      <c r="R79" s="884"/>
      <c r="S79" s="884">
        <v>0.1</v>
      </c>
      <c r="T79" s="884"/>
      <c r="U79" s="153" t="s">
        <v>168</v>
      </c>
      <c r="V79" s="154"/>
    </row>
    <row r="80" spans="1:27" s="32" customFormat="1" ht="18" hidden="1" customHeight="1">
      <c r="A80" s="156"/>
      <c r="B80" s="149"/>
      <c r="C80" s="153" t="s">
        <v>248</v>
      </c>
      <c r="D80" s="149"/>
      <c r="E80" s="149"/>
      <c r="F80" s="149"/>
      <c r="G80" s="149"/>
      <c r="H80" s="149"/>
      <c r="I80" s="149"/>
      <c r="J80" s="149"/>
      <c r="K80" s="149"/>
      <c r="L80" s="149"/>
      <c r="M80" s="149"/>
      <c r="N80" s="150"/>
      <c r="O80" s="149"/>
      <c r="P80" s="149"/>
      <c r="Q80" s="882"/>
      <c r="R80" s="883"/>
      <c r="S80" s="882">
        <v>4</v>
      </c>
      <c r="T80" s="883"/>
      <c r="U80" s="153" t="s">
        <v>168</v>
      </c>
      <c r="V80" s="154"/>
    </row>
    <row r="81" spans="1:29" s="32" customFormat="1" ht="18" hidden="1" customHeight="1">
      <c r="A81" s="156"/>
      <c r="B81" s="149"/>
      <c r="C81" s="153" t="s">
        <v>249</v>
      </c>
      <c r="D81" s="149"/>
      <c r="E81" s="149"/>
      <c r="F81" s="149"/>
      <c r="G81" s="149"/>
      <c r="H81" s="149"/>
      <c r="I81" s="149"/>
      <c r="J81" s="149"/>
      <c r="K81" s="149"/>
      <c r="L81" s="149"/>
      <c r="M81" s="149"/>
      <c r="N81" s="149"/>
      <c r="O81" s="537"/>
      <c r="P81" s="149"/>
      <c r="Q81" s="885"/>
      <c r="R81" s="885"/>
      <c r="S81" s="885">
        <v>0.3</v>
      </c>
      <c r="T81" s="885"/>
      <c r="U81" s="153" t="s">
        <v>168</v>
      </c>
      <c r="V81" s="154"/>
    </row>
    <row r="82" spans="1:29" s="32" customFormat="1" ht="18" hidden="1" customHeight="1">
      <c r="A82" s="156"/>
      <c r="B82" s="149"/>
      <c r="C82" s="153" t="s">
        <v>250</v>
      </c>
      <c r="D82" s="149"/>
      <c r="E82" s="149"/>
      <c r="F82" s="149"/>
      <c r="G82" s="149"/>
      <c r="H82" s="149"/>
      <c r="I82" s="149"/>
      <c r="J82" s="149"/>
      <c r="K82" s="149"/>
      <c r="L82" s="149"/>
      <c r="M82" s="149"/>
      <c r="N82" s="149"/>
      <c r="O82" s="537"/>
      <c r="P82" s="149"/>
      <c r="Q82" s="884"/>
      <c r="R82" s="884"/>
      <c r="S82" s="884">
        <v>0.3</v>
      </c>
      <c r="T82" s="884"/>
      <c r="U82" s="153" t="s">
        <v>168</v>
      </c>
      <c r="V82" s="154"/>
    </row>
    <row r="83" spans="1:29" s="32" customFormat="1" ht="17.399999999999999" hidden="1" customHeight="1">
      <c r="A83" s="156"/>
      <c r="B83" s="149"/>
      <c r="C83" s="150" t="s">
        <v>251</v>
      </c>
      <c r="D83" s="149"/>
      <c r="E83" s="149"/>
      <c r="F83" s="149"/>
      <c r="G83" s="149"/>
      <c r="H83" s="149"/>
      <c r="I83" s="149"/>
      <c r="J83" s="149"/>
      <c r="K83" s="149"/>
      <c r="L83" s="149"/>
      <c r="M83" s="149"/>
      <c r="N83" s="149"/>
      <c r="O83" s="537"/>
      <c r="P83" s="149"/>
      <c r="Q83" s="884">
        <v>0.1</v>
      </c>
      <c r="R83" s="884"/>
      <c r="S83" s="884">
        <v>0.1</v>
      </c>
      <c r="T83" s="884"/>
      <c r="U83" s="153" t="s">
        <v>168</v>
      </c>
      <c r="V83" s="154"/>
    </row>
    <row r="84" spans="1:29" s="32" customFormat="1" ht="17.399999999999999" hidden="1" customHeight="1">
      <c r="A84" s="156"/>
      <c r="B84" s="149"/>
      <c r="C84" s="153" t="s">
        <v>252</v>
      </c>
      <c r="D84" s="149"/>
      <c r="E84" s="149"/>
      <c r="F84" s="149"/>
      <c r="G84" s="149"/>
      <c r="H84" s="149"/>
      <c r="I84" s="149"/>
      <c r="J84" s="149"/>
      <c r="K84" s="149"/>
      <c r="L84" s="149"/>
      <c r="M84" s="149"/>
      <c r="N84" s="149" t="s">
        <v>253</v>
      </c>
      <c r="O84" s="537"/>
      <c r="P84" s="149"/>
      <c r="Q84" s="882">
        <v>0.13</v>
      </c>
      <c r="R84" s="883"/>
      <c r="S84" s="882">
        <v>0.13</v>
      </c>
      <c r="T84" s="883"/>
      <c r="U84" s="153" t="s">
        <v>168</v>
      </c>
      <c r="V84" s="154"/>
    </row>
    <row r="85" spans="1:29" s="32" customFormat="1" ht="18" customHeight="1">
      <c r="A85" s="156"/>
      <c r="B85" s="149"/>
      <c r="C85" s="150" t="s">
        <v>254</v>
      </c>
      <c r="D85" s="149"/>
      <c r="E85" s="149"/>
      <c r="F85" s="149"/>
      <c r="G85" s="149"/>
      <c r="H85" s="149"/>
      <c r="I85" s="149"/>
      <c r="J85" s="149"/>
      <c r="K85" s="149"/>
      <c r="L85" s="149"/>
      <c r="M85" s="149"/>
      <c r="N85" s="149"/>
      <c r="O85" s="537" t="s">
        <v>255</v>
      </c>
      <c r="P85" s="149"/>
      <c r="Q85" s="882">
        <v>8.0000000000000002E-3</v>
      </c>
      <c r="R85" s="883"/>
      <c r="S85" s="882">
        <v>2.7</v>
      </c>
      <c r="T85" s="883"/>
      <c r="U85" s="153" t="s">
        <v>168</v>
      </c>
      <c r="V85" s="154"/>
    </row>
    <row r="86" spans="1:29" s="32" customFormat="1" ht="18" hidden="1" customHeight="1">
      <c r="A86" s="156"/>
      <c r="B86" s="149"/>
      <c r="C86" s="150" t="s">
        <v>256</v>
      </c>
      <c r="D86" s="149"/>
      <c r="E86" s="149"/>
      <c r="F86" s="149"/>
      <c r="G86" s="149"/>
      <c r="H86" s="149"/>
      <c r="I86" s="149"/>
      <c r="J86" s="149"/>
      <c r="K86" s="149"/>
      <c r="L86" s="149"/>
      <c r="M86" s="149"/>
      <c r="N86" s="149"/>
      <c r="O86" s="537" t="s">
        <v>257</v>
      </c>
      <c r="P86" s="149"/>
      <c r="Q86" s="882">
        <v>0.25</v>
      </c>
      <c r="R86" s="883"/>
      <c r="S86" s="882"/>
      <c r="T86" s="883"/>
      <c r="U86" s="153" t="s">
        <v>168</v>
      </c>
      <c r="V86" s="154"/>
    </row>
    <row r="87" spans="1:29" s="32" customFormat="1" ht="18" hidden="1" customHeight="1">
      <c r="A87" s="156"/>
      <c r="B87" s="149"/>
      <c r="C87" s="150"/>
      <c r="D87" s="149"/>
      <c r="E87" s="149"/>
      <c r="F87" s="149"/>
      <c r="G87" s="149"/>
      <c r="H87" s="149"/>
      <c r="I87" s="149"/>
      <c r="J87" s="149"/>
      <c r="K87" s="149"/>
      <c r="L87" s="149"/>
      <c r="M87" s="149"/>
      <c r="N87" s="149"/>
      <c r="O87" s="537"/>
      <c r="P87" s="149"/>
      <c r="Q87" s="152"/>
      <c r="R87" s="152"/>
      <c r="S87" s="152"/>
      <c r="T87" s="152"/>
      <c r="U87" s="153"/>
      <c r="V87" s="154"/>
    </row>
    <row r="88" spans="1:29" s="32" customFormat="1" ht="18" hidden="1" customHeight="1">
      <c r="A88" s="156"/>
      <c r="B88" s="149"/>
      <c r="C88" s="150" t="s">
        <v>258</v>
      </c>
      <c r="D88" s="149"/>
      <c r="E88" s="149"/>
      <c r="F88" s="149"/>
      <c r="G88" s="149"/>
      <c r="H88" s="149"/>
      <c r="I88" s="149"/>
      <c r="J88" s="149"/>
      <c r="K88" s="149"/>
      <c r="L88" s="149"/>
      <c r="M88" s="149"/>
      <c r="N88" s="149"/>
      <c r="O88" s="537" t="s">
        <v>259</v>
      </c>
      <c r="P88" s="149"/>
      <c r="Q88" s="882">
        <v>0.2</v>
      </c>
      <c r="R88" s="883"/>
      <c r="S88" s="882">
        <v>0.1</v>
      </c>
      <c r="T88" s="883"/>
      <c r="U88" s="153" t="s">
        <v>168</v>
      </c>
      <c r="V88" s="154"/>
    </row>
    <row r="89" spans="1:29" s="32" customFormat="1" ht="18" hidden="1" customHeight="1">
      <c r="A89" s="156"/>
      <c r="B89" s="149"/>
      <c r="C89" s="150" t="s">
        <v>260</v>
      </c>
      <c r="D89" s="149"/>
      <c r="E89" s="149"/>
      <c r="F89" s="149"/>
      <c r="G89" s="149"/>
      <c r="H89" s="149"/>
      <c r="I89" s="149"/>
      <c r="J89" s="149"/>
      <c r="K89" s="149"/>
      <c r="L89" s="149"/>
      <c r="M89" s="149"/>
      <c r="N89" s="149"/>
      <c r="O89" s="537"/>
      <c r="P89" s="149"/>
      <c r="Q89" s="884">
        <v>0.1</v>
      </c>
      <c r="R89" s="884"/>
      <c r="S89" s="884">
        <v>0.1</v>
      </c>
      <c r="T89" s="884"/>
      <c r="U89" s="153" t="s">
        <v>168</v>
      </c>
      <c r="V89" s="154" t="s">
        <v>140</v>
      </c>
    </row>
    <row r="90" spans="1:29" s="32" customFormat="1" ht="18" hidden="1" customHeight="1">
      <c r="A90" s="158"/>
      <c r="B90" s="149"/>
      <c r="C90" s="149" t="s">
        <v>261</v>
      </c>
      <c r="D90" s="149"/>
      <c r="E90" s="149"/>
      <c r="F90" s="149"/>
      <c r="G90" s="149"/>
      <c r="H90" s="149"/>
      <c r="I90" s="149"/>
      <c r="J90" s="149"/>
      <c r="K90" s="149"/>
      <c r="L90" s="149"/>
      <c r="M90" s="149"/>
      <c r="N90" s="149"/>
      <c r="O90" s="537"/>
      <c r="P90" s="149"/>
      <c r="Q90" s="884"/>
      <c r="R90" s="884"/>
      <c r="S90" s="884">
        <v>2.2999999999999998</v>
      </c>
      <c r="T90" s="884"/>
      <c r="U90" s="153" t="s">
        <v>168</v>
      </c>
      <c r="V90" s="154"/>
    </row>
    <row r="91" spans="1:29" s="32" customFormat="1" ht="18" hidden="1" customHeight="1">
      <c r="A91" s="158"/>
      <c r="B91" s="149"/>
      <c r="C91" s="150" t="s">
        <v>262</v>
      </c>
      <c r="D91" s="149"/>
      <c r="E91" s="149"/>
      <c r="F91" s="149"/>
      <c r="G91" s="149"/>
      <c r="H91" s="149"/>
      <c r="I91" s="149"/>
      <c r="J91" s="149"/>
      <c r="K91" s="149"/>
      <c r="L91" s="149"/>
      <c r="M91" s="149"/>
      <c r="N91" s="149"/>
      <c r="O91" s="537" t="s">
        <v>263</v>
      </c>
      <c r="P91" s="149"/>
      <c r="Q91" s="884">
        <v>0.1</v>
      </c>
      <c r="R91" s="884"/>
      <c r="S91" s="882">
        <v>0.1</v>
      </c>
      <c r="T91" s="883"/>
      <c r="U91" s="153" t="s">
        <v>168</v>
      </c>
      <c r="V91" s="154"/>
    </row>
    <row r="92" spans="1:29" s="32" customFormat="1" ht="18" customHeight="1">
      <c r="A92" s="158"/>
      <c r="B92" s="149"/>
      <c r="C92" s="149" t="s">
        <v>205</v>
      </c>
      <c r="D92" s="149"/>
      <c r="E92" s="149"/>
      <c r="F92" s="149"/>
      <c r="G92" s="149"/>
      <c r="H92" s="149"/>
      <c r="I92" s="149"/>
      <c r="J92" s="149"/>
      <c r="K92" s="149"/>
      <c r="L92" s="149"/>
      <c r="M92" s="149"/>
      <c r="N92" s="149"/>
      <c r="O92" s="155" t="s">
        <v>931</v>
      </c>
      <c r="P92" s="149"/>
      <c r="Q92" s="882">
        <v>5.8000000000000003E-2</v>
      </c>
      <c r="R92" s="883"/>
      <c r="S92" s="884">
        <v>0.378</v>
      </c>
      <c r="T92" s="884"/>
      <c r="U92" s="153" t="s">
        <v>168</v>
      </c>
      <c r="V92" s="154"/>
      <c r="AB92" s="32" t="s">
        <v>264</v>
      </c>
      <c r="AC92" s="32" t="s">
        <v>265</v>
      </c>
    </row>
    <row r="93" spans="1:29" s="7" customFormat="1" ht="18" hidden="1" customHeight="1">
      <c r="A93" s="159"/>
      <c r="B93" s="149"/>
      <c r="C93" s="150" t="s">
        <v>266</v>
      </c>
      <c r="D93" s="150"/>
      <c r="E93" s="150"/>
      <c r="F93" s="150"/>
      <c r="G93" s="150"/>
      <c r="H93" s="150"/>
      <c r="I93" s="150"/>
      <c r="J93" s="150"/>
      <c r="K93" s="150"/>
      <c r="L93" s="150"/>
      <c r="M93" s="150"/>
      <c r="N93" s="150"/>
      <c r="O93" s="150" t="s">
        <v>267</v>
      </c>
      <c r="P93" s="150"/>
      <c r="Q93" s="884">
        <v>0.2</v>
      </c>
      <c r="R93" s="884"/>
      <c r="S93" s="884"/>
      <c r="T93" s="884"/>
      <c r="U93" s="153"/>
      <c r="V93" s="154"/>
      <c r="X93" s="7" t="s">
        <v>268</v>
      </c>
      <c r="AB93" s="7">
        <f>0.2/1^2</f>
        <v>0.2</v>
      </c>
      <c r="AC93" s="7">
        <f>0.2/5^2</f>
        <v>8.0000000000000002E-3</v>
      </c>
    </row>
    <row r="94" spans="1:29" s="7" customFormat="1" ht="18" hidden="1" customHeight="1">
      <c r="A94" s="159"/>
      <c r="B94" s="149"/>
      <c r="C94" s="149" t="s">
        <v>269</v>
      </c>
      <c r="D94" s="149"/>
      <c r="E94" s="149"/>
      <c r="F94" s="149"/>
      <c r="G94" s="149"/>
      <c r="H94" s="149"/>
      <c r="I94" s="149"/>
      <c r="J94" s="149"/>
      <c r="K94" s="149"/>
      <c r="L94" s="149"/>
      <c r="M94" s="149"/>
      <c r="N94" s="149"/>
      <c r="O94" s="149"/>
      <c r="P94" s="149"/>
      <c r="Q94" s="884"/>
      <c r="R94" s="884"/>
      <c r="S94" s="884"/>
      <c r="T94" s="884"/>
      <c r="U94" s="153"/>
      <c r="V94" s="154"/>
    </row>
    <row r="95" spans="1:29" s="7" customFormat="1" ht="18" hidden="1" customHeight="1">
      <c r="A95" s="159"/>
      <c r="B95" s="149"/>
      <c r="C95" s="149" t="s">
        <v>270</v>
      </c>
      <c r="D95" s="149"/>
      <c r="E95" s="149"/>
      <c r="F95" s="149"/>
      <c r="G95" s="149"/>
      <c r="H95" s="149"/>
      <c r="I95" s="149"/>
      <c r="J95" s="149"/>
      <c r="K95" s="149"/>
      <c r="L95" s="149"/>
      <c r="M95" s="149"/>
      <c r="N95" s="149"/>
      <c r="O95" s="149"/>
      <c r="P95" s="149"/>
      <c r="Q95" s="160"/>
      <c r="R95" s="160"/>
      <c r="S95" s="160"/>
      <c r="T95" s="160"/>
      <c r="U95" s="153"/>
      <c r="V95" s="154"/>
    </row>
    <row r="96" spans="1:29" s="7" customFormat="1" ht="18" hidden="1" customHeight="1">
      <c r="A96" s="159"/>
      <c r="B96" s="149"/>
      <c r="C96" s="514" t="s">
        <v>271</v>
      </c>
      <c r="D96" s="149"/>
      <c r="E96" s="149"/>
      <c r="F96" s="149"/>
      <c r="G96" s="149"/>
      <c r="H96" s="149"/>
      <c r="I96" s="149"/>
      <c r="J96" s="149"/>
      <c r="K96" s="149"/>
      <c r="L96" s="149"/>
      <c r="M96" s="149"/>
      <c r="N96" s="149"/>
      <c r="O96" s="537" t="s">
        <v>272</v>
      </c>
      <c r="P96" s="149"/>
      <c r="Q96" s="882"/>
      <c r="R96" s="883"/>
      <c r="S96" s="882">
        <v>3.75</v>
      </c>
      <c r="T96" s="883"/>
      <c r="U96" s="153" t="s">
        <v>168</v>
      </c>
      <c r="V96" s="154"/>
    </row>
    <row r="97" spans="1:22" s="32" customFormat="1" ht="18" hidden="1" customHeight="1">
      <c r="A97" s="156"/>
      <c r="B97" s="149"/>
      <c r="C97" s="150" t="s">
        <v>256</v>
      </c>
      <c r="D97" s="149"/>
      <c r="E97" s="149"/>
      <c r="F97" s="149"/>
      <c r="G97" s="149"/>
      <c r="H97" s="149"/>
      <c r="I97" s="149"/>
      <c r="J97" s="149"/>
      <c r="K97" s="149"/>
      <c r="L97" s="149"/>
      <c r="M97" s="149"/>
      <c r="N97" s="149"/>
      <c r="O97" s="537" t="s">
        <v>272</v>
      </c>
      <c r="P97" s="149"/>
      <c r="Q97" s="882">
        <v>1.25</v>
      </c>
      <c r="R97" s="883"/>
      <c r="S97" s="882"/>
      <c r="T97" s="883"/>
      <c r="U97" s="153" t="s">
        <v>168</v>
      </c>
      <c r="V97" s="154"/>
    </row>
    <row r="98" spans="1:22" s="7" customFormat="1" ht="18.600000000000001" customHeight="1">
      <c r="A98" s="159"/>
      <c r="B98" s="149"/>
      <c r="C98" s="903" t="s">
        <v>918</v>
      </c>
      <c r="D98" s="903"/>
      <c r="E98" s="149"/>
      <c r="F98" s="149"/>
      <c r="G98" s="149"/>
      <c r="H98" s="149"/>
      <c r="I98" s="149"/>
      <c r="J98" s="149"/>
      <c r="K98" s="149"/>
      <c r="L98" s="149"/>
      <c r="M98" s="149"/>
      <c r="N98" s="903" t="s">
        <v>851</v>
      </c>
      <c r="O98" s="903"/>
      <c r="P98" s="149"/>
      <c r="Q98" s="882">
        <v>0.1</v>
      </c>
      <c r="R98" s="883"/>
      <c r="S98" s="904"/>
      <c r="T98" s="883"/>
      <c r="U98" s="153"/>
      <c r="V98" s="154"/>
    </row>
    <row r="99" spans="1:22" s="7" customFormat="1" ht="18" customHeight="1">
      <c r="A99" s="159"/>
      <c r="C99" s="880" t="s">
        <v>921</v>
      </c>
      <c r="D99" s="881"/>
      <c r="N99" s="880" t="s">
        <v>920</v>
      </c>
      <c r="O99" s="881"/>
      <c r="Q99" s="705">
        <v>0.02</v>
      </c>
      <c r="R99" s="707"/>
      <c r="S99" s="705"/>
      <c r="T99" s="707"/>
      <c r="U99" s="47"/>
      <c r="V99" s="112"/>
    </row>
    <row r="100" spans="1:22" s="7" customFormat="1" ht="18" customHeight="1">
      <c r="A100" s="159"/>
      <c r="C100" s="880" t="s">
        <v>934</v>
      </c>
      <c r="D100" s="881"/>
      <c r="N100" s="880" t="s">
        <v>933</v>
      </c>
      <c r="O100" s="881"/>
      <c r="Q100" s="705">
        <v>0.04</v>
      </c>
      <c r="R100" s="707"/>
      <c r="S100" s="705"/>
      <c r="T100" s="707"/>
      <c r="U100" s="47"/>
      <c r="V100" s="112"/>
    </row>
    <row r="101" spans="1:22" s="7" customFormat="1" ht="18" customHeight="1">
      <c r="A101" s="159"/>
      <c r="Q101" s="28"/>
      <c r="R101" s="28"/>
      <c r="S101" s="28"/>
      <c r="T101" s="28"/>
      <c r="U101" s="47"/>
      <c r="V101" s="112"/>
    </row>
    <row r="102" spans="1:22" s="7" customFormat="1" ht="18" customHeight="1">
      <c r="A102" s="159"/>
      <c r="Q102" s="28"/>
      <c r="R102" s="28"/>
      <c r="S102" s="28"/>
      <c r="T102" s="28"/>
      <c r="U102" s="47"/>
      <c r="V102" s="112"/>
    </row>
    <row r="103" spans="1:22" s="7" customFormat="1" ht="18" customHeight="1">
      <c r="A103" s="159"/>
      <c r="Q103" s="28"/>
      <c r="R103" s="28"/>
      <c r="S103" s="28"/>
      <c r="T103" s="28"/>
      <c r="U103" s="47"/>
      <c r="V103" s="112"/>
    </row>
    <row r="104" spans="1:22" s="7" customFormat="1" ht="18" customHeight="1">
      <c r="A104" s="159"/>
      <c r="Q104" s="28"/>
      <c r="R104" s="28"/>
      <c r="S104" s="28"/>
      <c r="T104" s="28"/>
      <c r="U104" s="47"/>
      <c r="V104" s="112"/>
    </row>
    <row r="105" spans="1:22" s="7" customFormat="1" ht="18" customHeight="1">
      <c r="A105" s="159"/>
      <c r="Q105" s="28"/>
      <c r="R105" s="28"/>
      <c r="S105" s="28"/>
      <c r="T105" s="28"/>
      <c r="U105" s="47"/>
      <c r="V105" s="112"/>
    </row>
    <row r="106" spans="1:22" s="7" customFormat="1" ht="18" customHeight="1">
      <c r="A106" s="159"/>
      <c r="Q106" s="28"/>
      <c r="R106" s="28"/>
      <c r="S106" s="28"/>
      <c r="T106" s="28"/>
      <c r="U106" s="47"/>
      <c r="V106" s="112"/>
    </row>
    <row r="107" spans="1:22" s="7" customFormat="1" ht="18" customHeight="1">
      <c r="A107" s="159"/>
      <c r="Q107" s="28"/>
      <c r="R107" s="28"/>
      <c r="S107" s="28"/>
      <c r="T107" s="28"/>
      <c r="U107" s="47"/>
      <c r="V107" s="112"/>
    </row>
    <row r="108" spans="1:22" s="7" customFormat="1" ht="18" customHeight="1">
      <c r="A108" s="159"/>
      <c r="Q108" s="28"/>
      <c r="R108" s="28"/>
      <c r="S108" s="28"/>
      <c r="T108" s="28"/>
      <c r="U108" s="47"/>
      <c r="V108" s="112"/>
    </row>
    <row r="109" spans="1:22" s="7" customFormat="1" ht="18" customHeight="1">
      <c r="A109" s="159"/>
      <c r="Q109" s="28"/>
      <c r="R109" s="28"/>
      <c r="S109" s="28"/>
      <c r="T109" s="28"/>
      <c r="U109" s="47"/>
      <c r="V109" s="112"/>
    </row>
    <row r="110" spans="1:22" s="7" customFormat="1" ht="18" customHeight="1">
      <c r="A110" s="159"/>
      <c r="Q110" s="28"/>
      <c r="R110" s="28"/>
      <c r="S110" s="28"/>
      <c r="T110" s="28"/>
      <c r="U110" s="47"/>
      <c r="V110" s="112"/>
    </row>
    <row r="111" spans="1:22" s="7" customFormat="1" ht="18" customHeight="1">
      <c r="A111" s="159"/>
      <c r="Q111" s="28"/>
      <c r="R111" s="28"/>
      <c r="S111" s="28"/>
      <c r="T111" s="28"/>
      <c r="U111" s="47"/>
      <c r="V111" s="112"/>
    </row>
    <row r="112" spans="1:22" s="7" customFormat="1" ht="18" customHeight="1">
      <c r="A112" s="159"/>
      <c r="Q112" s="28"/>
      <c r="R112" s="28"/>
      <c r="S112" s="28"/>
      <c r="T112" s="28"/>
      <c r="U112" s="47"/>
      <c r="V112" s="112"/>
    </row>
    <row r="113" spans="1:22" s="7" customFormat="1" ht="18" customHeight="1">
      <c r="A113" s="159"/>
      <c r="Q113" s="28"/>
      <c r="R113" s="28"/>
      <c r="S113" s="28"/>
      <c r="T113" s="28"/>
      <c r="U113" s="47"/>
      <c r="V113" s="112"/>
    </row>
    <row r="114" spans="1:22" s="7" customFormat="1" ht="18" customHeight="1">
      <c r="A114" s="159"/>
      <c r="Q114" s="28"/>
      <c r="R114" s="28"/>
      <c r="S114" s="28"/>
      <c r="T114" s="28"/>
      <c r="U114" s="47"/>
      <c r="V114" s="112"/>
    </row>
    <row r="115" spans="1:22" s="7" customFormat="1" ht="18" customHeight="1">
      <c r="A115" s="159"/>
      <c r="Q115" s="28"/>
      <c r="R115" s="28"/>
      <c r="S115" s="28"/>
      <c r="T115" s="28"/>
      <c r="U115" s="47"/>
      <c r="V115" s="112"/>
    </row>
    <row r="116" spans="1:22" s="7" customFormat="1" ht="18" customHeight="1">
      <c r="A116" s="159"/>
      <c r="Q116" s="28"/>
      <c r="R116" s="28"/>
      <c r="S116" s="28"/>
      <c r="T116" s="28"/>
      <c r="U116" s="47"/>
      <c r="V116" s="112"/>
    </row>
    <row r="117" spans="1:22" s="7" customFormat="1" ht="18" customHeight="1">
      <c r="A117" s="159"/>
      <c r="Q117" s="28"/>
      <c r="R117" s="28"/>
      <c r="S117" s="28"/>
      <c r="T117" s="28"/>
      <c r="U117" s="47"/>
      <c r="V117" s="112"/>
    </row>
    <row r="118" spans="1:22" s="7" customFormat="1" ht="18" customHeight="1">
      <c r="A118" s="159"/>
      <c r="Q118" s="28"/>
      <c r="R118" s="28"/>
      <c r="S118" s="28"/>
      <c r="T118" s="28"/>
      <c r="U118" s="47"/>
      <c r="V118" s="112"/>
    </row>
    <row r="119" spans="1:22" s="7" customFormat="1" ht="18" customHeight="1">
      <c r="A119" s="159"/>
      <c r="Q119" s="28"/>
      <c r="R119" s="28"/>
      <c r="S119" s="28"/>
      <c r="T119" s="28"/>
      <c r="U119" s="47"/>
      <c r="V119" s="112"/>
    </row>
    <row r="120" spans="1:22" s="7" customFormat="1" ht="18" customHeight="1">
      <c r="A120" s="159"/>
      <c r="Q120" s="28"/>
      <c r="R120" s="28"/>
      <c r="S120" s="28"/>
      <c r="T120" s="28"/>
      <c r="U120" s="47"/>
      <c r="V120" s="112"/>
    </row>
    <row r="121" spans="1:22" s="7" customFormat="1" ht="18" customHeight="1">
      <c r="A121" s="159"/>
      <c r="Q121" s="28"/>
      <c r="R121" s="28"/>
      <c r="S121" s="28"/>
      <c r="T121" s="28"/>
      <c r="U121" s="47"/>
      <c r="V121" s="112"/>
    </row>
    <row r="122" spans="1:22" s="7" customFormat="1" ht="18" customHeight="1">
      <c r="A122" s="159"/>
      <c r="Q122" s="28"/>
      <c r="R122" s="28"/>
      <c r="S122" s="28"/>
      <c r="T122" s="28"/>
      <c r="U122" s="47"/>
      <c r="V122" s="112"/>
    </row>
    <row r="123" spans="1:22" s="7" customFormat="1" ht="18" customHeight="1">
      <c r="A123" s="159"/>
      <c r="Q123" s="28"/>
      <c r="R123" s="28"/>
      <c r="S123" s="28"/>
      <c r="T123" s="28"/>
      <c r="U123" s="47"/>
      <c r="V123" s="112"/>
    </row>
    <row r="124" spans="1:22" s="7" customFormat="1" ht="18" customHeight="1">
      <c r="A124" s="159"/>
      <c r="Q124" s="28"/>
      <c r="R124" s="28"/>
      <c r="S124" s="28"/>
      <c r="T124" s="28"/>
      <c r="U124" s="47"/>
      <c r="V124" s="112"/>
    </row>
    <row r="125" spans="1:22" s="7" customFormat="1" ht="18" customHeight="1">
      <c r="A125" s="137"/>
      <c r="B125" s="20"/>
      <c r="C125" s="138"/>
      <c r="D125" s="20"/>
      <c r="E125" s="20"/>
      <c r="F125" s="139"/>
      <c r="G125" s="20"/>
      <c r="H125" s="138"/>
      <c r="I125" s="20"/>
      <c r="J125" s="20"/>
      <c r="K125" s="139"/>
      <c r="L125" s="20"/>
      <c r="M125" s="138"/>
      <c r="N125" s="20"/>
      <c r="O125" s="20"/>
      <c r="P125" s="20"/>
      <c r="Q125" s="21"/>
      <c r="R125" s="22"/>
      <c r="S125" s="161"/>
      <c r="T125" s="20"/>
      <c r="U125" s="20"/>
      <c r="V125" s="140"/>
    </row>
    <row r="126" spans="1:22" ht="18" customHeight="1">
      <c r="A126" s="114"/>
      <c r="B126" s="7"/>
      <c r="C126" s="7"/>
      <c r="D126" s="7"/>
      <c r="E126" s="7"/>
      <c r="F126" s="7"/>
      <c r="G126" s="7"/>
      <c r="H126" s="7"/>
      <c r="I126" s="7"/>
      <c r="J126" s="7"/>
      <c r="K126" s="7"/>
      <c r="L126" s="7"/>
      <c r="M126" s="7"/>
      <c r="N126" s="121"/>
      <c r="O126" s="162"/>
      <c r="P126" s="7"/>
      <c r="Q126" s="7"/>
      <c r="R126" s="7"/>
      <c r="S126" s="7"/>
      <c r="T126" s="7"/>
      <c r="U126" s="7"/>
    </row>
    <row r="127" spans="1:22" ht="18" customHeight="1">
      <c r="A127" s="114"/>
      <c r="B127" s="7"/>
      <c r="C127" s="7"/>
      <c r="D127" s="7"/>
      <c r="E127" s="7"/>
      <c r="F127" s="7"/>
      <c r="G127" s="7"/>
      <c r="H127" s="7"/>
      <c r="I127" s="7"/>
      <c r="J127" s="7"/>
      <c r="K127" s="7"/>
      <c r="L127" s="7"/>
      <c r="M127" s="7"/>
      <c r="N127" s="121"/>
      <c r="O127" s="162"/>
      <c r="P127" s="7"/>
      <c r="Q127" s="7"/>
      <c r="R127" s="7"/>
      <c r="S127" s="7"/>
      <c r="T127" s="7"/>
      <c r="U127" s="7"/>
    </row>
    <row r="128" spans="1:22" ht="18" customHeight="1">
      <c r="A128" s="7"/>
      <c r="B128" s="163"/>
      <c r="C128" s="163"/>
      <c r="D128" s="163"/>
      <c r="E128" s="163"/>
      <c r="F128" s="7"/>
      <c r="G128" s="7"/>
      <c r="H128" s="164"/>
      <c r="I128" s="164"/>
      <c r="J128" s="164"/>
      <c r="K128" s="164"/>
      <c r="L128" s="164"/>
      <c r="M128" s="164"/>
      <c r="N128" s="165"/>
      <c r="O128" s="157"/>
      <c r="P128" s="164"/>
      <c r="Q128" s="7"/>
      <c r="R128" s="7"/>
      <c r="S128" s="7"/>
      <c r="T128" s="7"/>
      <c r="U128" s="7"/>
    </row>
    <row r="129" spans="1:19" ht="18" customHeight="1">
      <c r="A129" s="166"/>
      <c r="B129" s="166"/>
      <c r="C129" s="166"/>
      <c r="D129" s="166"/>
      <c r="E129" s="166"/>
      <c r="F129" s="167"/>
      <c r="G129" s="167"/>
      <c r="H129" s="168"/>
      <c r="I129" s="168"/>
      <c r="J129" s="168"/>
      <c r="K129" s="168"/>
      <c r="L129" s="168"/>
      <c r="M129" s="168"/>
      <c r="N129" s="169"/>
      <c r="O129" s="170"/>
      <c r="P129" s="168"/>
      <c r="Q129" s="167"/>
      <c r="R129" s="167"/>
      <c r="S129" s="167"/>
    </row>
    <row r="130" spans="1:19" ht="18" customHeight="1">
      <c r="A130" s="171"/>
      <c r="B130" s="168"/>
      <c r="C130" s="168"/>
      <c r="D130" s="168"/>
      <c r="E130" s="168"/>
      <c r="F130" s="168"/>
      <c r="G130" s="168"/>
      <c r="H130" s="168"/>
      <c r="I130" s="168"/>
      <c r="J130" s="168"/>
      <c r="K130" s="168"/>
      <c r="L130" s="168"/>
      <c r="M130" s="168"/>
      <c r="N130" s="169"/>
      <c r="O130" s="170"/>
      <c r="P130" s="168"/>
      <c r="Q130" s="167"/>
      <c r="R130" s="167"/>
      <c r="S130" s="167"/>
    </row>
    <row r="131" spans="1:19" ht="18" customHeight="1">
      <c r="A131" s="171"/>
      <c r="B131" s="168"/>
      <c r="C131" s="168"/>
      <c r="D131" s="168"/>
      <c r="E131" s="168"/>
      <c r="F131" s="168"/>
      <c r="G131" s="168"/>
      <c r="H131" s="168"/>
      <c r="I131" s="168"/>
      <c r="J131" s="168"/>
      <c r="K131" s="168"/>
      <c r="L131" s="168"/>
      <c r="M131" s="168"/>
      <c r="N131" s="169"/>
      <c r="O131" s="170"/>
      <c r="P131" s="168"/>
      <c r="Q131" s="167"/>
      <c r="R131" s="167"/>
      <c r="S131" s="167"/>
    </row>
    <row r="132" spans="1:19" ht="18" customHeight="1">
      <c r="A132" s="171"/>
      <c r="B132" s="168"/>
      <c r="C132" s="168"/>
      <c r="D132" s="168"/>
      <c r="E132" s="168"/>
      <c r="F132" s="168"/>
      <c r="G132" s="168"/>
      <c r="H132" s="168"/>
      <c r="I132" s="168"/>
      <c r="J132" s="168"/>
      <c r="K132" s="168"/>
      <c r="L132" s="168"/>
      <c r="M132" s="168"/>
      <c r="N132" s="169"/>
      <c r="O132" s="170"/>
      <c r="P132" s="168"/>
      <c r="Q132" s="167"/>
      <c r="R132" s="167"/>
      <c r="S132" s="167"/>
    </row>
    <row r="133" spans="1:19" ht="18" customHeight="1">
      <c r="A133" s="171"/>
      <c r="B133" s="168"/>
      <c r="C133" s="168"/>
      <c r="D133" s="168"/>
      <c r="E133" s="168"/>
      <c r="F133" s="168"/>
      <c r="G133" s="168"/>
      <c r="H133" s="168"/>
      <c r="I133" s="168"/>
      <c r="J133" s="168"/>
      <c r="K133" s="168"/>
      <c r="L133" s="168"/>
      <c r="M133" s="168"/>
      <c r="N133" s="169"/>
      <c r="O133" s="170"/>
      <c r="P133" s="168"/>
      <c r="Q133" s="167"/>
      <c r="R133" s="167"/>
      <c r="S133" s="167"/>
    </row>
    <row r="134" spans="1:19" ht="18" customHeight="1">
      <c r="A134" s="171"/>
      <c r="B134" s="168"/>
      <c r="C134" s="168"/>
      <c r="D134" s="168"/>
      <c r="E134" s="168"/>
      <c r="F134" s="168"/>
      <c r="G134" s="168"/>
      <c r="H134" s="168"/>
      <c r="I134" s="168"/>
      <c r="J134" s="168"/>
      <c r="K134" s="168"/>
      <c r="L134" s="168"/>
      <c r="M134" s="168"/>
      <c r="N134" s="169"/>
      <c r="O134" s="172"/>
      <c r="P134" s="168"/>
      <c r="Q134" s="167"/>
      <c r="R134" s="167"/>
      <c r="S134" s="167"/>
    </row>
    <row r="135" spans="1:19" ht="18" customHeight="1">
      <c r="A135" s="171"/>
      <c r="B135" s="168"/>
      <c r="C135" s="168"/>
      <c r="D135" s="168"/>
      <c r="E135" s="168"/>
      <c r="F135" s="168"/>
      <c r="G135" s="168"/>
      <c r="H135" s="168"/>
      <c r="I135" s="168"/>
      <c r="J135" s="168"/>
      <c r="K135" s="168"/>
      <c r="L135" s="168"/>
      <c r="M135" s="168"/>
      <c r="N135" s="169"/>
      <c r="O135" s="172"/>
      <c r="P135" s="168"/>
      <c r="Q135" s="167"/>
      <c r="R135" s="167"/>
      <c r="S135" s="167"/>
    </row>
    <row r="136" spans="1:19" ht="18" customHeight="1">
      <c r="A136" s="171"/>
      <c r="B136" s="168"/>
      <c r="C136" s="168"/>
      <c r="D136" s="168"/>
      <c r="E136" s="168"/>
      <c r="F136" s="168"/>
      <c r="G136" s="168"/>
      <c r="H136" s="168"/>
      <c r="I136" s="168"/>
      <c r="J136" s="168"/>
      <c r="K136" s="168"/>
      <c r="L136" s="168"/>
      <c r="M136" s="168"/>
      <c r="N136" s="169"/>
      <c r="O136" s="172"/>
      <c r="P136" s="168"/>
      <c r="Q136" s="167"/>
      <c r="R136" s="167"/>
      <c r="S136" s="167"/>
    </row>
    <row r="137" spans="1:19" ht="18" customHeight="1">
      <c r="A137" s="171"/>
      <c r="B137" s="168"/>
      <c r="C137" s="168"/>
      <c r="D137" s="168"/>
      <c r="E137" s="168"/>
      <c r="F137" s="168"/>
      <c r="G137" s="168"/>
      <c r="H137" s="168"/>
      <c r="I137" s="168"/>
      <c r="J137" s="168"/>
      <c r="K137" s="168"/>
      <c r="L137" s="168"/>
      <c r="M137" s="168"/>
      <c r="N137" s="169"/>
      <c r="O137" s="172"/>
      <c r="P137" s="168"/>
      <c r="Q137" s="167"/>
      <c r="R137" s="167"/>
      <c r="S137" s="167"/>
    </row>
    <row r="138" spans="1:19" ht="18" customHeight="1">
      <c r="A138" s="171"/>
      <c r="B138" s="168"/>
      <c r="C138" s="168"/>
      <c r="D138" s="168"/>
      <c r="E138" s="168"/>
      <c r="F138" s="168"/>
      <c r="G138" s="168"/>
      <c r="H138" s="168"/>
      <c r="I138" s="168"/>
      <c r="J138" s="168"/>
      <c r="K138" s="168"/>
      <c r="L138" s="168"/>
      <c r="M138" s="168"/>
      <c r="N138" s="169"/>
      <c r="O138" s="172"/>
      <c r="P138" s="168"/>
      <c r="Q138" s="167"/>
      <c r="R138" s="167"/>
      <c r="S138" s="167"/>
    </row>
    <row r="139" spans="1:19" ht="18" customHeight="1">
      <c r="A139" s="171"/>
      <c r="B139" s="168"/>
      <c r="C139" s="168"/>
      <c r="D139" s="168"/>
      <c r="E139" s="168"/>
      <c r="F139" s="168"/>
      <c r="G139" s="168"/>
      <c r="H139" s="168"/>
      <c r="I139" s="168"/>
      <c r="J139" s="168"/>
      <c r="K139" s="168"/>
      <c r="L139" s="168"/>
      <c r="M139" s="168"/>
      <c r="N139" s="169"/>
      <c r="O139" s="172"/>
      <c r="P139" s="168"/>
      <c r="Q139" s="167"/>
      <c r="R139" s="167"/>
      <c r="S139" s="167"/>
    </row>
    <row r="140" spans="1:19" ht="18" customHeight="1">
      <c r="A140" s="171"/>
      <c r="B140" s="168"/>
      <c r="C140" s="168"/>
      <c r="D140" s="168"/>
      <c r="E140" s="168"/>
      <c r="F140" s="168"/>
      <c r="G140" s="168"/>
      <c r="H140" s="168"/>
      <c r="I140" s="168"/>
      <c r="J140" s="168"/>
      <c r="K140" s="168"/>
      <c r="L140" s="168"/>
      <c r="M140" s="168"/>
      <c r="N140" s="169"/>
      <c r="O140" s="172"/>
      <c r="P140" s="168"/>
      <c r="Q140" s="167"/>
      <c r="R140" s="167"/>
      <c r="S140" s="167"/>
    </row>
    <row r="141" spans="1:19" ht="18" customHeight="1">
      <c r="A141" s="171"/>
      <c r="B141" s="168"/>
      <c r="C141" s="168"/>
      <c r="D141" s="168"/>
      <c r="E141" s="168"/>
      <c r="F141" s="168"/>
      <c r="G141" s="168"/>
      <c r="H141" s="168"/>
      <c r="I141" s="168"/>
      <c r="J141" s="168"/>
      <c r="K141" s="168"/>
      <c r="L141" s="168"/>
      <c r="M141" s="168"/>
      <c r="N141" s="169"/>
      <c r="O141" s="172"/>
      <c r="P141" s="168"/>
      <c r="Q141" s="167"/>
      <c r="R141" s="167"/>
      <c r="S141" s="167"/>
    </row>
    <row r="142" spans="1:19" ht="18" customHeight="1">
      <c r="A142" s="171"/>
      <c r="B142" s="168"/>
      <c r="C142" s="168"/>
      <c r="D142" s="168"/>
      <c r="E142" s="168"/>
      <c r="F142" s="168"/>
      <c r="G142" s="168"/>
      <c r="H142" s="168"/>
      <c r="I142" s="168"/>
      <c r="J142" s="168"/>
      <c r="K142" s="168"/>
      <c r="L142" s="168"/>
      <c r="M142" s="168"/>
      <c r="N142" s="169"/>
      <c r="O142" s="172"/>
      <c r="P142" s="168"/>
      <c r="Q142" s="167"/>
      <c r="R142" s="167"/>
      <c r="S142" s="167"/>
    </row>
    <row r="143" spans="1:19" ht="18" customHeight="1">
      <c r="A143" s="168"/>
      <c r="B143" s="168"/>
      <c r="C143" s="168"/>
      <c r="D143" s="168"/>
      <c r="E143" s="168"/>
      <c r="F143" s="168"/>
      <c r="G143" s="168"/>
      <c r="H143" s="168"/>
      <c r="I143" s="168"/>
      <c r="J143" s="168"/>
      <c r="K143" s="168"/>
      <c r="L143" s="168"/>
      <c r="M143" s="168"/>
      <c r="N143" s="169"/>
      <c r="O143" s="172"/>
      <c r="P143" s="168"/>
      <c r="Q143" s="167"/>
      <c r="R143" s="167"/>
      <c r="S143" s="167"/>
    </row>
    <row r="144" spans="1:19" ht="18" customHeight="1">
      <c r="A144" s="164"/>
      <c r="B144" s="164"/>
      <c r="C144" s="164"/>
      <c r="D144" s="164"/>
      <c r="E144" s="164"/>
      <c r="F144" s="164"/>
      <c r="G144" s="164"/>
      <c r="H144" s="164"/>
      <c r="I144" s="164"/>
      <c r="J144" s="164"/>
      <c r="K144" s="164"/>
      <c r="L144" s="164"/>
      <c r="M144" s="164"/>
      <c r="N144" s="165"/>
      <c r="O144" s="173"/>
      <c r="P144" s="164"/>
      <c r="Q144" s="7"/>
    </row>
    <row r="145" spans="1:19" ht="18" customHeight="1">
      <c r="A145" s="164"/>
      <c r="B145" s="164"/>
      <c r="C145" s="164"/>
      <c r="D145" s="164"/>
      <c r="E145" s="164"/>
      <c r="F145" s="164"/>
      <c r="G145" s="164"/>
      <c r="H145" s="164"/>
      <c r="I145" s="164"/>
      <c r="J145" s="164"/>
      <c r="K145" s="164"/>
      <c r="L145" s="164"/>
      <c r="M145" s="164"/>
      <c r="N145" s="165"/>
      <c r="O145" s="173"/>
      <c r="P145" s="164"/>
      <c r="Q145" s="7"/>
    </row>
    <row r="146" spans="1:19" ht="18" customHeight="1">
      <c r="A146" s="164"/>
      <c r="B146" s="164"/>
      <c r="C146" s="164"/>
      <c r="D146" s="164"/>
      <c r="E146" s="164"/>
      <c r="F146" s="164"/>
      <c r="G146" s="164"/>
      <c r="H146" s="164"/>
      <c r="I146" s="164"/>
      <c r="J146" s="164"/>
      <c r="K146" s="164"/>
      <c r="L146" s="164"/>
      <c r="M146" s="164"/>
      <c r="N146" s="165"/>
      <c r="O146" s="173"/>
      <c r="P146" s="164"/>
      <c r="Q146" s="7"/>
    </row>
    <row r="147" spans="1:19" ht="18" customHeight="1">
      <c r="A147" s="164"/>
      <c r="B147" s="164"/>
      <c r="C147" s="164"/>
      <c r="D147" s="164"/>
      <c r="E147" s="164"/>
      <c r="F147" s="164"/>
      <c r="G147" s="164"/>
      <c r="H147" s="164"/>
      <c r="I147" s="164"/>
      <c r="J147" s="164"/>
      <c r="K147" s="164"/>
      <c r="L147" s="164"/>
      <c r="M147" s="164"/>
      <c r="N147" s="165"/>
      <c r="O147" s="173"/>
      <c r="P147" s="164"/>
      <c r="Q147" s="7"/>
    </row>
    <row r="148" spans="1:19" ht="18" customHeight="1">
      <c r="A148" s="164"/>
      <c r="B148" s="164"/>
      <c r="C148" s="164"/>
      <c r="D148" s="164"/>
      <c r="E148" s="164"/>
      <c r="F148" s="164"/>
      <c r="G148" s="164"/>
      <c r="H148" s="164"/>
      <c r="I148" s="164"/>
      <c r="J148" s="164"/>
      <c r="K148" s="164"/>
      <c r="L148" s="164"/>
      <c r="M148" s="164"/>
      <c r="N148" s="165"/>
      <c r="O148" s="173"/>
      <c r="P148" s="164"/>
      <c r="Q148" s="7"/>
    </row>
    <row r="149" spans="1:19" ht="18" customHeight="1">
      <c r="A149" s="174"/>
      <c r="B149" s="174"/>
      <c r="C149" s="164"/>
      <c r="D149" s="164"/>
      <c r="E149" s="164"/>
      <c r="F149" s="164"/>
      <c r="G149" s="164"/>
      <c r="H149" s="164"/>
      <c r="I149" s="164"/>
      <c r="J149" s="164"/>
      <c r="K149" s="164"/>
      <c r="L149" s="164"/>
      <c r="M149" s="164"/>
      <c r="N149" s="165"/>
      <c r="O149" s="157"/>
      <c r="P149" s="164"/>
      <c r="Q149" s="49"/>
    </row>
    <row r="150" spans="1:19" ht="18" customHeight="1">
      <c r="A150" s="174"/>
      <c r="B150" s="174"/>
      <c r="C150" s="164"/>
      <c r="D150" s="164"/>
      <c r="E150" s="164"/>
      <c r="F150" s="164"/>
      <c r="G150" s="164"/>
      <c r="H150" s="164"/>
      <c r="I150" s="164"/>
      <c r="J150" s="164"/>
      <c r="K150" s="164"/>
      <c r="L150" s="164"/>
      <c r="M150" s="164"/>
      <c r="N150" s="175"/>
      <c r="O150" s="157"/>
      <c r="P150" s="164"/>
      <c r="Q150" s="49"/>
    </row>
    <row r="151" spans="1:19" ht="18" customHeight="1">
      <c r="A151" s="174"/>
      <c r="B151" s="174"/>
      <c r="C151" s="164"/>
      <c r="D151" s="164"/>
      <c r="E151" s="164"/>
      <c r="F151" s="164"/>
      <c r="G151" s="164"/>
      <c r="H151" s="164"/>
      <c r="I151" s="164"/>
      <c r="J151" s="164"/>
      <c r="K151" s="164"/>
      <c r="L151" s="164"/>
      <c r="M151" s="164"/>
      <c r="N151" s="175"/>
      <c r="O151" s="164"/>
      <c r="Q151" s="157"/>
      <c r="R151" s="164"/>
      <c r="S151" s="49"/>
    </row>
    <row r="152" spans="1:19" ht="18" customHeight="1">
      <c r="A152" s="174"/>
      <c r="B152" s="174"/>
      <c r="C152" s="164"/>
      <c r="D152" s="164"/>
      <c r="E152" s="164"/>
      <c r="F152" s="164"/>
      <c r="G152" s="164"/>
      <c r="H152" s="164"/>
      <c r="I152" s="164"/>
      <c r="J152" s="164"/>
      <c r="K152" s="164"/>
      <c r="L152" s="164"/>
      <c r="M152" s="164"/>
      <c r="N152" s="164"/>
      <c r="O152" s="164"/>
      <c r="P152" s="165"/>
      <c r="Q152" s="157"/>
      <c r="R152" s="164"/>
      <c r="S152" s="49"/>
    </row>
    <row r="153" spans="1:19" ht="18" customHeight="1">
      <c r="A153" s="174"/>
      <c r="B153" s="174"/>
      <c r="C153" s="164"/>
      <c r="D153" s="164"/>
      <c r="E153" s="164"/>
      <c r="F153" s="164"/>
      <c r="G153" s="164"/>
      <c r="H153" s="164"/>
      <c r="I153" s="164"/>
      <c r="J153" s="164"/>
      <c r="K153" s="164"/>
      <c r="L153" s="164"/>
      <c r="M153" s="164"/>
      <c r="N153" s="164"/>
      <c r="O153" s="164"/>
      <c r="P153" s="165"/>
      <c r="Q153" s="157"/>
      <c r="R153" s="164"/>
      <c r="S153" s="49"/>
    </row>
    <row r="154" spans="1:19">
      <c r="A154" s="174"/>
      <c r="B154" s="174"/>
      <c r="C154" s="164"/>
      <c r="D154" s="164"/>
      <c r="E154" s="164"/>
      <c r="F154" s="164"/>
      <c r="G154" s="164"/>
      <c r="H154" s="164"/>
      <c r="I154" s="164"/>
      <c r="J154" s="164"/>
      <c r="K154" s="164"/>
      <c r="L154" s="164"/>
      <c r="M154" s="164"/>
      <c r="N154" s="164"/>
      <c r="O154" s="164"/>
      <c r="P154" s="165"/>
      <c r="Q154" s="157"/>
      <c r="R154" s="164"/>
      <c r="S154" s="49"/>
    </row>
    <row r="155" spans="1:19">
      <c r="A155" s="174"/>
      <c r="B155" s="174"/>
      <c r="C155" s="164"/>
      <c r="D155" s="164"/>
      <c r="E155" s="164"/>
      <c r="F155" s="164"/>
      <c r="G155" s="164"/>
      <c r="H155" s="164"/>
      <c r="I155" s="164"/>
      <c r="J155" s="164"/>
      <c r="K155" s="164"/>
      <c r="L155" s="164"/>
      <c r="M155" s="164"/>
      <c r="N155" s="164"/>
      <c r="O155" s="164"/>
      <c r="P155" s="165"/>
      <c r="Q155" s="157"/>
      <c r="R155" s="164"/>
      <c r="S155" s="49"/>
    </row>
    <row r="156" spans="1:19">
      <c r="A156" s="174"/>
      <c r="B156" s="174"/>
      <c r="C156" s="164"/>
      <c r="D156" s="164"/>
      <c r="E156" s="164"/>
      <c r="F156" s="164"/>
      <c r="G156" s="164"/>
      <c r="H156" s="164"/>
      <c r="I156" s="164"/>
      <c r="J156" s="164"/>
      <c r="K156" s="164"/>
      <c r="L156" s="164"/>
      <c r="M156" s="164"/>
      <c r="N156" s="164"/>
      <c r="O156" s="164"/>
      <c r="P156" s="165"/>
      <c r="Q156" s="157"/>
      <c r="R156" s="164"/>
      <c r="S156" s="49"/>
    </row>
    <row r="157" spans="1:19">
      <c r="A157" s="164"/>
      <c r="B157" s="164"/>
      <c r="C157" s="164"/>
      <c r="D157" s="164"/>
      <c r="E157" s="164"/>
      <c r="F157" s="164"/>
      <c r="G157" s="164"/>
      <c r="H157" s="164"/>
      <c r="I157" s="164"/>
      <c r="J157" s="164"/>
      <c r="K157" s="164"/>
      <c r="L157" s="164"/>
      <c r="M157" s="164"/>
      <c r="N157" s="164"/>
      <c r="O157" s="164"/>
      <c r="P157" s="165"/>
      <c r="Q157" s="173"/>
      <c r="R157" s="164"/>
    </row>
  </sheetData>
  <mergeCells count="150">
    <mergeCell ref="C98:D98"/>
    <mergeCell ref="N98:O98"/>
    <mergeCell ref="Q98:R98"/>
    <mergeCell ref="S98:T98"/>
    <mergeCell ref="C99:D99"/>
    <mergeCell ref="N99:O99"/>
    <mergeCell ref="Q99:R99"/>
    <mergeCell ref="S99:T99"/>
    <mergeCell ref="Q97:R97"/>
    <mergeCell ref="S97:T97"/>
    <mergeCell ref="O4:Q4"/>
    <mergeCell ref="R4:V4"/>
    <mergeCell ref="A5:B5"/>
    <mergeCell ref="D5:F5"/>
    <mergeCell ref="H5:N5"/>
    <mergeCell ref="O5:Q5"/>
    <mergeCell ref="R5:V5"/>
    <mergeCell ref="A1:G4"/>
    <mergeCell ref="H1:N1"/>
    <mergeCell ref="O1:Q1"/>
    <mergeCell ref="R1:V1"/>
    <mergeCell ref="O2:Q2"/>
    <mergeCell ref="R2:V2"/>
    <mergeCell ref="O3:Q3"/>
    <mergeCell ref="R3:V3"/>
    <mergeCell ref="H2:N4"/>
    <mergeCell ref="C24:O25"/>
    <mergeCell ref="S86:T86"/>
    <mergeCell ref="S76:T76"/>
    <mergeCell ref="Q84:R84"/>
    <mergeCell ref="S84:T84"/>
    <mergeCell ref="S18:T18"/>
    <mergeCell ref="S19:T19"/>
    <mergeCell ref="S28:T28"/>
    <mergeCell ref="S29:T29"/>
    <mergeCell ref="S30:T30"/>
    <mergeCell ref="S33:T33"/>
    <mergeCell ref="S34:T34"/>
    <mergeCell ref="S35:T35"/>
    <mergeCell ref="S20:T20"/>
    <mergeCell ref="S21:T21"/>
    <mergeCell ref="S22:T22"/>
    <mergeCell ref="S24:T24"/>
    <mergeCell ref="Q48:R48"/>
    <mergeCell ref="S36:T36"/>
    <mergeCell ref="S37:T37"/>
    <mergeCell ref="S38:T38"/>
    <mergeCell ref="S39:T39"/>
    <mergeCell ref="Q47:R47"/>
    <mergeCell ref="S47:T47"/>
    <mergeCell ref="S10:T10"/>
    <mergeCell ref="S11:T11"/>
    <mergeCell ref="S12:T12"/>
    <mergeCell ref="S15:T15"/>
    <mergeCell ref="S16:T16"/>
    <mergeCell ref="S17:T17"/>
    <mergeCell ref="Q51:R51"/>
    <mergeCell ref="S51:T51"/>
    <mergeCell ref="Q52:R52"/>
    <mergeCell ref="S52:T52"/>
    <mergeCell ref="Q53:R53"/>
    <mergeCell ref="S53:T53"/>
    <mergeCell ref="S48:T48"/>
    <mergeCell ref="Q49:R49"/>
    <mergeCell ref="S49:T49"/>
    <mergeCell ref="Q50:R50"/>
    <mergeCell ref="S50:T50"/>
    <mergeCell ref="Q57:R57"/>
    <mergeCell ref="S57:T57"/>
    <mergeCell ref="Q58:R58"/>
    <mergeCell ref="S58:T58"/>
    <mergeCell ref="Q59:R59"/>
    <mergeCell ref="S59:T59"/>
    <mergeCell ref="Q54:R54"/>
    <mergeCell ref="S54:T54"/>
    <mergeCell ref="Q55:R55"/>
    <mergeCell ref="S55:T55"/>
    <mergeCell ref="Q56:R56"/>
    <mergeCell ref="S56:T56"/>
    <mergeCell ref="Q63:R63"/>
    <mergeCell ref="S63:T63"/>
    <mergeCell ref="Q64:R64"/>
    <mergeCell ref="S64:T64"/>
    <mergeCell ref="Q65:R65"/>
    <mergeCell ref="S65:T65"/>
    <mergeCell ref="Q60:R60"/>
    <mergeCell ref="S60:T60"/>
    <mergeCell ref="Q61:R61"/>
    <mergeCell ref="S61:T61"/>
    <mergeCell ref="Q62:R62"/>
    <mergeCell ref="S62:T62"/>
    <mergeCell ref="Q69:R69"/>
    <mergeCell ref="S69:T69"/>
    <mergeCell ref="Q70:R70"/>
    <mergeCell ref="S70:T70"/>
    <mergeCell ref="Q71:R71"/>
    <mergeCell ref="S71:T71"/>
    <mergeCell ref="Q66:R66"/>
    <mergeCell ref="S66:T66"/>
    <mergeCell ref="Q67:R67"/>
    <mergeCell ref="S67:T67"/>
    <mergeCell ref="Q68:R68"/>
    <mergeCell ref="S68:T68"/>
    <mergeCell ref="Q75:R75"/>
    <mergeCell ref="S75:T75"/>
    <mergeCell ref="Q76:R76"/>
    <mergeCell ref="Q78:R78"/>
    <mergeCell ref="S78:T78"/>
    <mergeCell ref="Z78:AA78"/>
    <mergeCell ref="Q72:R72"/>
    <mergeCell ref="S72:T72"/>
    <mergeCell ref="Q73:R73"/>
    <mergeCell ref="S73:T73"/>
    <mergeCell ref="Q74:R74"/>
    <mergeCell ref="S74:T74"/>
    <mergeCell ref="S82:T82"/>
    <mergeCell ref="Q83:R83"/>
    <mergeCell ref="S83:T83"/>
    <mergeCell ref="Q85:R85"/>
    <mergeCell ref="S85:T85"/>
    <mergeCell ref="Q79:R79"/>
    <mergeCell ref="S79:T79"/>
    <mergeCell ref="Q80:R80"/>
    <mergeCell ref="S80:T80"/>
    <mergeCell ref="Q81:R81"/>
    <mergeCell ref="S81:T81"/>
    <mergeCell ref="C100:D100"/>
    <mergeCell ref="N100:O100"/>
    <mergeCell ref="Q100:R100"/>
    <mergeCell ref="S100:T100"/>
    <mergeCell ref="Q96:R96"/>
    <mergeCell ref="S96:T96"/>
    <mergeCell ref="Q77:R77"/>
    <mergeCell ref="S77:T77"/>
    <mergeCell ref="Q94:R94"/>
    <mergeCell ref="S94:T94"/>
    <mergeCell ref="Q91:R91"/>
    <mergeCell ref="S91:T91"/>
    <mergeCell ref="Q92:R92"/>
    <mergeCell ref="S92:T92"/>
    <mergeCell ref="Q93:R93"/>
    <mergeCell ref="S93:T93"/>
    <mergeCell ref="Q86:R86"/>
    <mergeCell ref="Q88:R88"/>
    <mergeCell ref="S88:T88"/>
    <mergeCell ref="Q89:R89"/>
    <mergeCell ref="S89:T89"/>
    <mergeCell ref="Q90:R90"/>
    <mergeCell ref="S90:T90"/>
    <mergeCell ref="Q82:R82"/>
  </mergeCells>
  <printOptions horizontalCentered="1" verticalCentered="1"/>
  <pageMargins left="0.5" right="0.5" top="0.5" bottom="0.5" header="0" footer="0"/>
  <pageSetup paperSize="9" scale="90" orientation="portrait" r:id="rId1"/>
  <headerFooter alignWithMargins="0"/>
  <rowBreaks count="1" manualBreakCount="1">
    <brk id="45"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2049"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B8C5D-E356-45EB-AF0F-B178A8FCFC02}">
  <sheetPr codeName="Sheet229">
    <tabColor rgb="FF99CCFF"/>
  </sheetPr>
  <dimension ref="A1:AA174"/>
  <sheetViews>
    <sheetView showZeros="0" view="pageBreakPreview" topLeftCell="A48" zoomScale="115" zoomScaleNormal="100" zoomScaleSheetLayoutView="115" workbookViewId="0">
      <selection activeCell="Q25" sqref="Q25"/>
    </sheetView>
  </sheetViews>
  <sheetFormatPr defaultColWidth="4.33203125" defaultRowHeight="18" customHeight="1"/>
  <cols>
    <col min="1" max="19" width="4.33203125" customWidth="1"/>
    <col min="22" max="22" width="3.6640625" customWidth="1"/>
    <col min="278" max="278" width="3.6640625" customWidth="1"/>
    <col min="534" max="534" width="3.6640625" customWidth="1"/>
    <col min="790" max="790" width="3.6640625" customWidth="1"/>
    <col min="1046" max="1046" width="3.6640625" customWidth="1"/>
    <col min="1302" max="1302" width="3.6640625" customWidth="1"/>
    <col min="1558" max="1558" width="3.6640625" customWidth="1"/>
    <col min="1814" max="1814" width="3.6640625" customWidth="1"/>
    <col min="2070" max="2070" width="3.6640625" customWidth="1"/>
    <col min="2326" max="2326" width="3.6640625" customWidth="1"/>
    <col min="2582" max="2582" width="3.6640625" customWidth="1"/>
    <col min="2838" max="2838" width="3.6640625" customWidth="1"/>
    <col min="3094" max="3094" width="3.6640625" customWidth="1"/>
    <col min="3350" max="3350" width="3.6640625" customWidth="1"/>
    <col min="3606" max="3606" width="3.6640625" customWidth="1"/>
    <col min="3862" max="3862" width="3.6640625" customWidth="1"/>
    <col min="4118" max="4118" width="3.6640625" customWidth="1"/>
    <col min="4374" max="4374" width="3.6640625" customWidth="1"/>
    <col min="4630" max="4630" width="3.6640625" customWidth="1"/>
    <col min="4886" max="4886" width="3.6640625" customWidth="1"/>
    <col min="5142" max="5142" width="3.6640625" customWidth="1"/>
    <col min="5398" max="5398" width="3.6640625" customWidth="1"/>
    <col min="5654" max="5654" width="3.6640625" customWidth="1"/>
    <col min="5910" max="5910" width="3.6640625" customWidth="1"/>
    <col min="6166" max="6166" width="3.6640625" customWidth="1"/>
    <col min="6422" max="6422" width="3.6640625" customWidth="1"/>
    <col min="6678" max="6678" width="3.6640625" customWidth="1"/>
    <col min="6934" max="6934" width="3.6640625" customWidth="1"/>
    <col min="7190" max="7190" width="3.6640625" customWidth="1"/>
    <col min="7446" max="7446" width="3.6640625" customWidth="1"/>
    <col min="7702" max="7702" width="3.6640625" customWidth="1"/>
    <col min="7958" max="7958" width="3.6640625" customWidth="1"/>
    <col min="8214" max="8214" width="3.6640625" customWidth="1"/>
    <col min="8470" max="8470" width="3.6640625" customWidth="1"/>
    <col min="8726" max="8726" width="3.6640625" customWidth="1"/>
    <col min="8982" max="8982" width="3.6640625" customWidth="1"/>
    <col min="9238" max="9238" width="3.6640625" customWidth="1"/>
    <col min="9494" max="9494" width="3.6640625" customWidth="1"/>
    <col min="9750" max="9750" width="3.6640625" customWidth="1"/>
    <col min="10006" max="10006" width="3.6640625" customWidth="1"/>
    <col min="10262" max="10262" width="3.6640625" customWidth="1"/>
    <col min="10518" max="10518" width="3.6640625" customWidth="1"/>
    <col min="10774" max="10774" width="3.6640625" customWidth="1"/>
    <col min="11030" max="11030" width="3.6640625" customWidth="1"/>
    <col min="11286" max="11286" width="3.6640625" customWidth="1"/>
    <col min="11542" max="11542" width="3.6640625" customWidth="1"/>
    <col min="11798" max="11798" width="3.6640625" customWidth="1"/>
    <col min="12054" max="12054" width="3.6640625" customWidth="1"/>
    <col min="12310" max="12310" width="3.6640625" customWidth="1"/>
    <col min="12566" max="12566" width="3.6640625" customWidth="1"/>
    <col min="12822" max="12822" width="3.6640625" customWidth="1"/>
    <col min="13078" max="13078" width="3.6640625" customWidth="1"/>
    <col min="13334" max="13334" width="3.6640625" customWidth="1"/>
    <col min="13590" max="13590" width="3.6640625" customWidth="1"/>
    <col min="13846" max="13846" width="3.6640625" customWidth="1"/>
    <col min="14102" max="14102" width="3.6640625" customWidth="1"/>
    <col min="14358" max="14358" width="3.6640625" customWidth="1"/>
    <col min="14614" max="14614" width="3.6640625" customWidth="1"/>
    <col min="14870" max="14870" width="3.6640625" customWidth="1"/>
    <col min="15126" max="15126" width="3.6640625" customWidth="1"/>
    <col min="15382" max="15382" width="3.6640625" customWidth="1"/>
    <col min="15638" max="15638" width="3.6640625" customWidth="1"/>
    <col min="15894" max="15894" width="3.6640625" customWidth="1"/>
    <col min="16150" max="16150" width="3.6640625" customWidth="1"/>
  </cols>
  <sheetData>
    <row r="1" spans="1:24" ht="18" customHeight="1">
      <c r="A1" s="717"/>
      <c r="B1" s="718"/>
      <c r="C1" s="718"/>
      <c r="D1" s="718"/>
      <c r="E1" s="718"/>
      <c r="F1" s="718"/>
      <c r="G1" s="719"/>
      <c r="H1" s="726"/>
      <c r="I1" s="727"/>
      <c r="J1" s="727"/>
      <c r="K1" s="727"/>
      <c r="L1" s="727"/>
      <c r="M1" s="727"/>
      <c r="N1" s="728"/>
      <c r="O1" s="702"/>
      <c r="P1" s="703"/>
      <c r="Q1" s="704"/>
      <c r="R1" s="705"/>
      <c r="S1" s="706"/>
      <c r="T1" s="706"/>
      <c r="U1" s="706"/>
      <c r="V1" s="707"/>
      <c r="W1" s="7"/>
      <c r="X1" s="7"/>
    </row>
    <row r="2" spans="1:24" ht="18" customHeight="1">
      <c r="A2" s="720"/>
      <c r="B2" s="721"/>
      <c r="C2" s="721"/>
      <c r="D2" s="721"/>
      <c r="E2" s="721"/>
      <c r="F2" s="721"/>
      <c r="G2" s="722"/>
      <c r="H2" s="900" t="s">
        <v>988</v>
      </c>
      <c r="I2" s="923"/>
      <c r="J2" s="923"/>
      <c r="K2" s="923"/>
      <c r="L2" s="923"/>
      <c r="M2" s="923"/>
      <c r="N2" s="924"/>
      <c r="O2" s="702"/>
      <c r="P2" s="703"/>
      <c r="Q2" s="704"/>
      <c r="R2" s="732"/>
      <c r="S2" s="706"/>
      <c r="T2" s="706"/>
      <c r="U2" s="706"/>
      <c r="V2" s="707"/>
      <c r="W2" s="7"/>
      <c r="X2" s="7"/>
    </row>
    <row r="3" spans="1:24" ht="18" customHeight="1">
      <c r="A3" s="720"/>
      <c r="B3" s="721"/>
      <c r="C3" s="721"/>
      <c r="D3" s="721"/>
      <c r="E3" s="721"/>
      <c r="F3" s="721"/>
      <c r="G3" s="722"/>
      <c r="H3" s="925"/>
      <c r="I3" s="923"/>
      <c r="J3" s="923"/>
      <c r="K3" s="923"/>
      <c r="L3" s="923"/>
      <c r="M3" s="923"/>
      <c r="N3" s="924"/>
      <c r="O3" s="702"/>
      <c r="P3" s="703"/>
      <c r="Q3" s="704"/>
      <c r="R3" s="705"/>
      <c r="S3" s="706"/>
      <c r="T3" s="706"/>
      <c r="U3" s="706"/>
      <c r="V3" s="707"/>
      <c r="W3" s="7"/>
      <c r="X3" s="7"/>
    </row>
    <row r="4" spans="1:24" ht="18" customHeight="1">
      <c r="A4" s="723"/>
      <c r="B4" s="724"/>
      <c r="C4" s="724"/>
      <c r="D4" s="724"/>
      <c r="E4" s="724"/>
      <c r="F4" s="724"/>
      <c r="G4" s="725"/>
      <c r="H4" s="729"/>
      <c r="I4" s="730"/>
      <c r="J4" s="730"/>
      <c r="K4" s="730"/>
      <c r="L4" s="730"/>
      <c r="M4" s="730"/>
      <c r="N4" s="731"/>
      <c r="O4" s="702"/>
      <c r="P4" s="703"/>
      <c r="Q4" s="704"/>
      <c r="R4" s="705"/>
      <c r="S4" s="706"/>
      <c r="T4" s="706"/>
      <c r="U4" s="706"/>
      <c r="V4" s="707"/>
      <c r="W4" s="7"/>
      <c r="X4" s="7"/>
    </row>
    <row r="5" spans="1:24" ht="22.95" customHeight="1">
      <c r="A5" s="708"/>
      <c r="B5" s="709"/>
      <c r="C5" s="25"/>
      <c r="D5" s="708"/>
      <c r="E5" s="710"/>
      <c r="F5" s="709"/>
      <c r="G5" s="25"/>
      <c r="H5" s="711"/>
      <c r="I5" s="712"/>
      <c r="J5" s="712"/>
      <c r="K5" s="712"/>
      <c r="L5" s="712"/>
      <c r="M5" s="712"/>
      <c r="N5" s="713"/>
      <c r="O5" s="714"/>
      <c r="P5" s="715"/>
      <c r="Q5" s="716"/>
      <c r="R5" s="705"/>
      <c r="S5" s="706"/>
      <c r="T5" s="706"/>
      <c r="U5" s="706"/>
      <c r="V5" s="707"/>
      <c r="W5" s="7"/>
      <c r="X5" s="7"/>
    </row>
    <row r="6" spans="1:24" s="7" customFormat="1" ht="18" customHeight="1">
      <c r="A6" s="361"/>
      <c r="B6" s="362"/>
      <c r="C6" s="362"/>
      <c r="D6" s="362"/>
      <c r="E6" s="362"/>
      <c r="F6" s="362"/>
      <c r="G6" s="362"/>
      <c r="H6" s="362"/>
      <c r="I6" s="111"/>
      <c r="J6" s="111"/>
      <c r="K6" s="362"/>
      <c r="L6" s="362"/>
      <c r="M6" s="362"/>
      <c r="N6" s="362"/>
      <c r="O6" s="362"/>
      <c r="P6" s="362"/>
      <c r="Q6" s="362"/>
      <c r="R6" s="362"/>
      <c r="S6" s="362"/>
      <c r="T6" s="111"/>
      <c r="U6" s="362"/>
      <c r="V6" s="483"/>
      <c r="W6" s="113"/>
    </row>
    <row r="7" spans="1:24" s="7" customFormat="1" ht="18" customHeight="1">
      <c r="A7" s="364"/>
      <c r="B7" s="365" t="s">
        <v>273</v>
      </c>
      <c r="C7" s="167"/>
      <c r="D7" s="167"/>
      <c r="E7" s="167"/>
      <c r="F7" s="167"/>
      <c r="G7" s="167"/>
      <c r="H7" s="167"/>
      <c r="I7" s="167"/>
      <c r="J7" s="167"/>
      <c r="K7" s="167"/>
      <c r="L7" s="167"/>
      <c r="M7" s="167"/>
      <c r="N7" s="167"/>
      <c r="O7" s="167"/>
      <c r="P7" s="167"/>
      <c r="Q7" s="366"/>
      <c r="R7" s="367"/>
      <c r="S7" s="368"/>
      <c r="T7" s="369"/>
      <c r="U7" s="370"/>
      <c r="V7" s="363"/>
    </row>
    <row r="8" spans="1:24" s="7" customFormat="1" ht="18" customHeight="1">
      <c r="A8" s="96"/>
      <c r="C8" s="14" t="s">
        <v>274</v>
      </c>
      <c r="E8" s="124"/>
      <c r="O8" s="167"/>
      <c r="P8" s="167"/>
      <c r="Q8" s="894">
        <v>50</v>
      </c>
      <c r="R8" s="927"/>
      <c r="S8" s="14" t="s">
        <v>275</v>
      </c>
      <c r="T8" s="369"/>
      <c r="U8" s="370"/>
      <c r="V8" s="363"/>
    </row>
    <row r="9" spans="1:24" s="7" customFormat="1" ht="18" customHeight="1">
      <c r="A9" s="96"/>
      <c r="B9" s="371"/>
      <c r="C9" s="30" t="s">
        <v>276</v>
      </c>
      <c r="O9" s="167"/>
      <c r="P9" s="167"/>
      <c r="Q9" s="894">
        <v>33</v>
      </c>
      <c r="R9" s="927"/>
      <c r="S9" s="14" t="s">
        <v>174</v>
      </c>
      <c r="T9" s="167"/>
      <c r="U9" s="370"/>
      <c r="V9" s="363"/>
    </row>
    <row r="10" spans="1:24" s="7" customFormat="1" ht="18" customHeight="1">
      <c r="A10" s="96"/>
      <c r="C10" s="30" t="s">
        <v>277</v>
      </c>
      <c r="O10" s="167"/>
      <c r="P10" s="167"/>
      <c r="Q10" s="894">
        <v>40</v>
      </c>
      <c r="R10" s="927"/>
      <c r="S10" s="14" t="s">
        <v>278</v>
      </c>
      <c r="T10" s="167"/>
      <c r="U10" s="370"/>
      <c r="V10" s="363"/>
    </row>
    <row r="11" spans="1:24" s="7" customFormat="1" ht="18" customHeight="1">
      <c r="A11" s="96"/>
      <c r="C11" s="30" t="s">
        <v>279</v>
      </c>
      <c r="D11" s="14"/>
      <c r="N11" s="167"/>
      <c r="O11" s="167"/>
      <c r="P11" s="167"/>
      <c r="Q11" s="894">
        <v>50</v>
      </c>
      <c r="R11" s="927"/>
      <c r="S11" s="372"/>
      <c r="T11" s="369"/>
      <c r="U11" s="370"/>
      <c r="V11" s="363"/>
      <c r="X11" s="7" t="s">
        <v>280</v>
      </c>
    </row>
    <row r="12" spans="1:24" s="7" customFormat="1" ht="18" hidden="1" customHeight="1">
      <c r="A12" s="96"/>
      <c r="C12" s="14" t="s">
        <v>281</v>
      </c>
      <c r="E12" s="124"/>
      <c r="F12" s="373"/>
      <c r="G12" s="167"/>
      <c r="H12" s="167"/>
      <c r="I12" s="167"/>
      <c r="J12" s="167"/>
      <c r="K12" s="167"/>
      <c r="L12" s="167"/>
      <c r="M12" s="167"/>
      <c r="N12" s="167"/>
      <c r="O12" s="167"/>
      <c r="P12" s="167"/>
      <c r="Q12" s="894">
        <v>132</v>
      </c>
      <c r="R12" s="927"/>
      <c r="S12" s="14" t="s">
        <v>174</v>
      </c>
      <c r="T12" s="369"/>
      <c r="U12" s="370"/>
      <c r="V12" s="363"/>
    </row>
    <row r="13" spans="1:24" s="7" customFormat="1" ht="18" hidden="1" customHeight="1">
      <c r="A13" s="96"/>
      <c r="C13" s="14" t="s">
        <v>282</v>
      </c>
      <c r="E13" s="124"/>
      <c r="F13" s="373"/>
      <c r="G13" s="167"/>
      <c r="H13" s="167"/>
      <c r="I13" s="167"/>
      <c r="J13" s="167"/>
      <c r="K13" s="167"/>
      <c r="L13" s="167"/>
      <c r="M13" s="167"/>
      <c r="N13" s="167"/>
      <c r="O13" s="167"/>
      <c r="P13" s="167"/>
      <c r="Q13" s="894">
        <v>40</v>
      </c>
      <c r="R13" s="927"/>
      <c r="S13" s="14" t="s">
        <v>278</v>
      </c>
      <c r="T13" s="369"/>
      <c r="U13" s="370"/>
      <c r="V13" s="363"/>
      <c r="X13" s="7" t="s">
        <v>283</v>
      </c>
    </row>
    <row r="14" spans="1:24" s="32" customFormat="1" ht="18" customHeight="1">
      <c r="A14" s="158"/>
      <c r="C14" s="38" t="s">
        <v>284</v>
      </c>
      <c r="E14" s="374"/>
      <c r="F14" s="375"/>
      <c r="G14" s="376"/>
      <c r="H14" s="376"/>
      <c r="I14" s="376"/>
      <c r="J14" s="376"/>
      <c r="K14" s="376"/>
      <c r="L14" s="376"/>
      <c r="M14" s="376"/>
      <c r="N14" s="376"/>
      <c r="O14" s="376"/>
      <c r="P14" s="376"/>
      <c r="Q14" s="930"/>
      <c r="R14" s="931"/>
      <c r="S14" s="38"/>
      <c r="T14" s="379"/>
      <c r="U14" s="380"/>
      <c r="V14" s="381"/>
    </row>
    <row r="15" spans="1:24" s="7" customFormat="1" ht="18" customHeight="1">
      <c r="A15" s="96"/>
      <c r="B15" s="32"/>
      <c r="C15" s="38"/>
      <c r="D15" s="32"/>
      <c r="E15" s="374"/>
      <c r="F15" s="375"/>
      <c r="G15" s="376"/>
      <c r="H15" s="376"/>
      <c r="I15" s="376"/>
      <c r="J15" s="376"/>
      <c r="K15" s="376"/>
      <c r="L15" s="376"/>
      <c r="M15" s="376"/>
      <c r="N15" s="376"/>
      <c r="O15" s="376"/>
      <c r="P15" s="376"/>
      <c r="Q15" s="377"/>
      <c r="R15" s="378"/>
      <c r="S15" s="38"/>
      <c r="T15" s="379"/>
      <c r="U15" s="370"/>
      <c r="V15" s="363"/>
    </row>
    <row r="16" spans="1:24" s="7" customFormat="1" ht="18" customHeight="1">
      <c r="A16" s="96"/>
      <c r="B16" s="365" t="s">
        <v>285</v>
      </c>
      <c r="C16" s="167"/>
      <c r="D16" s="167"/>
      <c r="E16" s="167"/>
      <c r="F16" s="167"/>
      <c r="G16" s="373"/>
      <c r="H16" s="366"/>
      <c r="I16" s="167"/>
      <c r="J16" s="167"/>
      <c r="K16" s="382"/>
      <c r="L16" s="167"/>
      <c r="M16" s="167"/>
      <c r="N16" s="167"/>
      <c r="O16" s="167"/>
      <c r="P16" s="167"/>
      <c r="Q16" s="366"/>
      <c r="R16" s="373"/>
      <c r="S16" s="368"/>
      <c r="T16" s="369"/>
      <c r="U16" s="370"/>
      <c r="V16" s="363"/>
    </row>
    <row r="17" spans="1:22" s="7" customFormat="1" ht="18" hidden="1" customHeight="1">
      <c r="A17" s="284" t="s">
        <v>286</v>
      </c>
      <c r="E17" s="125">
        <v>3</v>
      </c>
      <c r="F17" s="14" t="s">
        <v>287</v>
      </c>
      <c r="G17" s="125" t="s">
        <v>288</v>
      </c>
      <c r="H17" s="47" t="s">
        <v>289</v>
      </c>
      <c r="J17" s="932">
        <v>240</v>
      </c>
      <c r="K17" s="933"/>
      <c r="L17" s="14" t="s">
        <v>290</v>
      </c>
      <c r="N17" s="125">
        <v>1</v>
      </c>
      <c r="O17" s="14" t="s">
        <v>291</v>
      </c>
      <c r="P17" s="167"/>
      <c r="Q17" s="366"/>
      <c r="R17" s="373"/>
      <c r="S17" s="368"/>
      <c r="T17" s="369"/>
      <c r="U17" s="370"/>
      <c r="V17" s="363"/>
    </row>
    <row r="18" spans="1:22" s="7" customFormat="1" ht="18" customHeight="1">
      <c r="A18" s="383"/>
      <c r="B18" s="365" t="s">
        <v>292</v>
      </c>
      <c r="C18" s="167"/>
      <c r="D18" s="167"/>
      <c r="E18" s="167"/>
      <c r="F18" s="167"/>
      <c r="G18" s="373"/>
      <c r="H18" s="366"/>
      <c r="I18" s="167"/>
      <c r="J18" s="167"/>
      <c r="K18" s="167"/>
      <c r="L18" s="167"/>
      <c r="M18" s="167"/>
      <c r="N18" s="167"/>
      <c r="O18" s="167"/>
      <c r="P18" s="167"/>
      <c r="Q18" s="366"/>
      <c r="R18" s="373"/>
      <c r="S18" s="368"/>
      <c r="T18" s="369"/>
      <c r="U18" s="370"/>
      <c r="V18" s="363"/>
    </row>
    <row r="19" spans="1:22" s="7" customFormat="1" ht="18" customHeight="1">
      <c r="A19" s="383"/>
      <c r="B19" s="384"/>
      <c r="C19" s="167"/>
      <c r="D19" s="167"/>
      <c r="E19" s="167"/>
      <c r="F19" s="167"/>
      <c r="G19" s="373"/>
      <c r="H19" s="366"/>
      <c r="I19" s="167"/>
      <c r="K19" s="167"/>
      <c r="L19" s="167"/>
      <c r="M19" s="167"/>
      <c r="N19" s="167"/>
      <c r="P19" s="167"/>
      <c r="Q19" s="198"/>
      <c r="R19" s="373"/>
      <c r="S19" s="368"/>
      <c r="T19" s="369"/>
      <c r="U19" s="370"/>
      <c r="V19" s="363"/>
    </row>
    <row r="20" spans="1:22" s="7" customFormat="1" ht="18" customHeight="1">
      <c r="A20" s="284"/>
      <c r="B20" s="167"/>
      <c r="C20" s="47" t="s">
        <v>293</v>
      </c>
      <c r="D20" s="370"/>
      <c r="O20" s="28" t="s">
        <v>294</v>
      </c>
      <c r="P20" s="102" t="s">
        <v>138</v>
      </c>
      <c r="Q20" s="934">
        <v>0.224</v>
      </c>
      <c r="R20" s="935"/>
      <c r="S20" s="47" t="s">
        <v>295</v>
      </c>
      <c r="T20" s="369"/>
      <c r="U20" s="370"/>
      <c r="V20" s="363"/>
    </row>
    <row r="21" spans="1:22" s="7" customFormat="1" ht="18" customHeight="1">
      <c r="A21" s="284"/>
      <c r="B21" s="167"/>
      <c r="C21" s="47" t="s">
        <v>296</v>
      </c>
      <c r="D21" s="167"/>
      <c r="O21" s="28" t="s">
        <v>297</v>
      </c>
      <c r="P21" s="102" t="s">
        <v>138</v>
      </c>
      <c r="Q21" s="934">
        <v>0.19</v>
      </c>
      <c r="R21" s="895"/>
      <c r="S21" s="47" t="s">
        <v>295</v>
      </c>
      <c r="T21" s="369"/>
      <c r="U21" s="370"/>
      <c r="V21" s="363"/>
    </row>
    <row r="22" spans="1:22" s="7" customFormat="1" ht="18" customHeight="1">
      <c r="A22" s="284"/>
      <c r="B22" s="167"/>
      <c r="C22" s="47" t="s">
        <v>298</v>
      </c>
      <c r="D22" s="167"/>
      <c r="O22" s="28" t="s">
        <v>299</v>
      </c>
      <c r="P22" s="102" t="s">
        <v>138</v>
      </c>
      <c r="Q22" s="934">
        <v>0.16</v>
      </c>
      <c r="R22" s="895"/>
      <c r="S22" s="47" t="s">
        <v>295</v>
      </c>
      <c r="T22" s="167"/>
      <c r="U22" s="370"/>
      <c r="V22" s="363"/>
    </row>
    <row r="23" spans="1:22" s="7" customFormat="1" ht="18" customHeight="1">
      <c r="A23" s="284"/>
      <c r="B23" s="167"/>
      <c r="C23" s="47" t="s">
        <v>300</v>
      </c>
      <c r="D23" s="370"/>
      <c r="O23" s="28" t="s">
        <v>301</v>
      </c>
      <c r="P23" s="102" t="s">
        <v>138</v>
      </c>
      <c r="Q23" s="934">
        <v>0.09</v>
      </c>
      <c r="R23" s="895"/>
      <c r="S23" s="47" t="s">
        <v>295</v>
      </c>
      <c r="T23" s="369"/>
      <c r="U23" s="370"/>
      <c r="V23" s="363"/>
    </row>
    <row r="24" spans="1:22" s="7" customFormat="1" ht="18" customHeight="1">
      <c r="A24" s="284"/>
      <c r="B24" s="370"/>
      <c r="C24" s="47" t="s">
        <v>302</v>
      </c>
      <c r="D24" s="167"/>
      <c r="E24" s="167"/>
      <c r="F24" s="167"/>
      <c r="G24" s="167"/>
      <c r="O24" s="121"/>
      <c r="P24" s="102" t="s">
        <v>138</v>
      </c>
      <c r="Q24" s="928">
        <v>2</v>
      </c>
      <c r="R24" s="893"/>
      <c r="S24" s="385" t="s">
        <v>303</v>
      </c>
      <c r="T24" s="369"/>
      <c r="U24" s="370"/>
      <c r="V24" s="363"/>
    </row>
    <row r="25" spans="1:22" s="7" customFormat="1" ht="18" customHeight="1">
      <c r="A25" s="386"/>
      <c r="B25" s="370"/>
      <c r="C25" s="167"/>
      <c r="D25" s="167"/>
      <c r="E25" s="167"/>
      <c r="F25" s="167"/>
      <c r="G25" s="167"/>
      <c r="H25" s="167"/>
      <c r="I25" s="167"/>
      <c r="J25" s="167"/>
      <c r="K25" s="167"/>
      <c r="L25" s="366"/>
      <c r="M25" s="366"/>
      <c r="N25" s="167"/>
      <c r="O25" s="167"/>
      <c r="P25" s="167"/>
      <c r="Q25" s="366"/>
      <c r="R25" s="373"/>
      <c r="S25" s="368"/>
      <c r="T25" s="369"/>
      <c r="U25" s="167"/>
      <c r="V25" s="363"/>
    </row>
    <row r="26" spans="1:22" s="7" customFormat="1" ht="18" customHeight="1">
      <c r="A26" s="284"/>
      <c r="B26" s="370"/>
      <c r="C26" s="47" t="s">
        <v>304</v>
      </c>
      <c r="D26" s="167"/>
      <c r="E26" s="167"/>
      <c r="F26" s="167"/>
      <c r="G26" s="167"/>
      <c r="J26" s="28" t="s">
        <v>305</v>
      </c>
      <c r="K26" s="102" t="s">
        <v>138</v>
      </c>
      <c r="L26" s="929">
        <f>Q20/N17</f>
        <v>0.224</v>
      </c>
      <c r="M26" s="638"/>
      <c r="N26" s="102" t="s">
        <v>306</v>
      </c>
      <c r="O26" s="929">
        <f>Q21/N17</f>
        <v>0.19</v>
      </c>
      <c r="P26" s="638"/>
      <c r="Q26" s="47" t="s">
        <v>295</v>
      </c>
      <c r="R26" s="373"/>
      <c r="S26" s="368"/>
      <c r="T26" s="369"/>
      <c r="U26" s="167"/>
      <c r="V26" s="363"/>
    </row>
    <row r="27" spans="1:22" s="7" customFormat="1" ht="18" customHeight="1">
      <c r="A27" s="284"/>
      <c r="B27" s="370"/>
      <c r="C27" s="47" t="s">
        <v>307</v>
      </c>
      <c r="D27" s="167"/>
      <c r="E27" s="167"/>
      <c r="F27" s="167"/>
      <c r="G27" s="167"/>
      <c r="J27" s="28" t="s">
        <v>308</v>
      </c>
      <c r="K27" s="102" t="s">
        <v>138</v>
      </c>
      <c r="L27" s="929">
        <f>Q22/N17</f>
        <v>0.16</v>
      </c>
      <c r="M27" s="638"/>
      <c r="N27" s="102" t="s">
        <v>306</v>
      </c>
      <c r="O27" s="929">
        <f>Q23/N17</f>
        <v>0.09</v>
      </c>
      <c r="P27" s="638"/>
      <c r="Q27" s="47" t="s">
        <v>295</v>
      </c>
      <c r="R27" s="373"/>
      <c r="S27" s="368"/>
      <c r="T27" s="369"/>
      <c r="U27" s="167"/>
      <c r="V27" s="363"/>
    </row>
    <row r="28" spans="1:22" s="7" customFormat="1" ht="18" customHeight="1">
      <c r="A28" s="284"/>
      <c r="B28" s="167"/>
      <c r="C28" s="47" t="s">
        <v>309</v>
      </c>
      <c r="D28" s="167"/>
      <c r="E28" s="167"/>
      <c r="F28" s="167"/>
      <c r="G28" s="167"/>
      <c r="J28" s="28" t="s">
        <v>310</v>
      </c>
      <c r="K28" s="102" t="s">
        <v>138</v>
      </c>
      <c r="L28" s="918">
        <f>L26*Q24</f>
        <v>0.44800000000000001</v>
      </c>
      <c r="M28" s="918"/>
      <c r="N28" s="102" t="s">
        <v>306</v>
      </c>
      <c r="O28" s="918">
        <f>O26*Q24</f>
        <v>0.38</v>
      </c>
      <c r="P28" s="918"/>
      <c r="Q28" s="14" t="s">
        <v>163</v>
      </c>
      <c r="R28" s="373"/>
      <c r="S28" s="368"/>
      <c r="T28" s="369"/>
      <c r="U28" s="167"/>
      <c r="V28" s="363"/>
    </row>
    <row r="29" spans="1:22" s="7" customFormat="1" ht="18" customHeight="1">
      <c r="A29" s="284"/>
      <c r="B29" s="167"/>
      <c r="C29" s="47" t="s">
        <v>311</v>
      </c>
      <c r="D29" s="167"/>
      <c r="E29" s="167"/>
      <c r="F29" s="167"/>
      <c r="G29" s="167"/>
      <c r="J29" s="28" t="s">
        <v>312</v>
      </c>
      <c r="K29" s="102" t="s">
        <v>138</v>
      </c>
      <c r="L29" s="918">
        <f>L27*Q24</f>
        <v>0.32</v>
      </c>
      <c r="M29" s="918"/>
      <c r="N29" s="102" t="s">
        <v>306</v>
      </c>
      <c r="O29" s="918">
        <f>O27*Q24</f>
        <v>0.18</v>
      </c>
      <c r="P29" s="918"/>
      <c r="Q29" s="14" t="s">
        <v>163</v>
      </c>
      <c r="R29" s="373"/>
      <c r="S29" s="368"/>
      <c r="T29" s="369"/>
      <c r="U29" s="167"/>
      <c r="V29" s="363"/>
    </row>
    <row r="30" spans="1:22" s="7" customFormat="1" ht="18" customHeight="1">
      <c r="A30" s="383"/>
      <c r="B30" s="167"/>
      <c r="C30" s="167"/>
      <c r="D30" s="167"/>
      <c r="E30" s="167"/>
      <c r="F30" s="167"/>
      <c r="G30" s="167"/>
      <c r="H30" s="167"/>
      <c r="I30" s="167"/>
      <c r="K30" s="167"/>
      <c r="L30" s="167"/>
      <c r="M30" s="167"/>
      <c r="N30" s="167"/>
      <c r="O30" s="167"/>
      <c r="P30" s="167"/>
      <c r="Q30" s="366"/>
      <c r="R30" s="373"/>
      <c r="S30" s="368"/>
      <c r="T30" s="369"/>
      <c r="U30" s="167"/>
      <c r="V30" s="363"/>
    </row>
    <row r="31" spans="1:22" s="7" customFormat="1" ht="18" customHeight="1">
      <c r="A31" s="116"/>
      <c r="B31" s="117" t="s">
        <v>313</v>
      </c>
      <c r="C31" s="167"/>
      <c r="D31" s="167"/>
      <c r="E31" s="167"/>
      <c r="F31" s="167"/>
      <c r="G31" s="167"/>
      <c r="H31" s="167"/>
      <c r="I31" s="167"/>
      <c r="J31" s="167"/>
      <c r="K31" s="167"/>
      <c r="L31" s="167"/>
      <c r="M31" s="167"/>
      <c r="N31" s="167"/>
      <c r="O31" s="167"/>
      <c r="P31" s="167"/>
      <c r="Q31" s="366"/>
      <c r="R31" s="373"/>
      <c r="S31" s="368"/>
      <c r="T31" s="369"/>
      <c r="U31" s="167"/>
      <c r="V31" s="363"/>
    </row>
    <row r="32" spans="1:22" s="7" customFormat="1" ht="18" customHeight="1">
      <c r="A32" s="284"/>
      <c r="B32" s="370"/>
      <c r="C32" s="47" t="s">
        <v>314</v>
      </c>
      <c r="D32" s="167"/>
      <c r="E32" s="167"/>
      <c r="F32" s="167"/>
      <c r="G32" s="167"/>
      <c r="H32" s="167"/>
      <c r="I32" s="167"/>
      <c r="J32" s="167"/>
      <c r="K32" s="167"/>
      <c r="L32" s="366"/>
      <c r="M32" s="366"/>
      <c r="N32" s="167"/>
      <c r="O32" s="167"/>
      <c r="P32" s="102" t="s">
        <v>138</v>
      </c>
      <c r="Q32" s="638">
        <f>Q10*1000</f>
        <v>40000</v>
      </c>
      <c r="R32" s="638"/>
      <c r="S32" s="47" t="s">
        <v>9</v>
      </c>
      <c r="T32" s="369"/>
      <c r="U32" s="167"/>
      <c r="V32" s="363"/>
    </row>
    <row r="33" spans="1:27" s="7" customFormat="1" ht="18" customHeight="1">
      <c r="A33" s="284"/>
      <c r="B33" s="370"/>
      <c r="C33" s="47" t="s">
        <v>315</v>
      </c>
      <c r="D33" s="167"/>
      <c r="E33" s="167"/>
      <c r="F33" s="167"/>
      <c r="G33" s="167"/>
      <c r="H33" s="167"/>
      <c r="I33" s="167"/>
      <c r="J33" s="167"/>
      <c r="K33" s="167"/>
      <c r="L33" s="167"/>
      <c r="M33" s="167"/>
      <c r="N33" s="167"/>
      <c r="O33" s="167"/>
      <c r="P33" s="102" t="s">
        <v>138</v>
      </c>
      <c r="Q33" s="638">
        <f>Q9*1000</f>
        <v>33000</v>
      </c>
      <c r="R33" s="638"/>
      <c r="S33" s="47" t="s">
        <v>316</v>
      </c>
      <c r="T33" s="369"/>
      <c r="U33" s="167"/>
      <c r="V33" s="363"/>
    </row>
    <row r="34" spans="1:27" s="7" customFormat="1" ht="18" hidden="1" customHeight="1">
      <c r="A34" s="284"/>
      <c r="B34" s="370"/>
      <c r="C34" s="47" t="s">
        <v>317</v>
      </c>
      <c r="D34" s="167"/>
      <c r="E34" s="167"/>
      <c r="F34" s="167"/>
      <c r="G34" s="167"/>
      <c r="H34" s="167"/>
      <c r="I34" s="167"/>
      <c r="J34" s="167"/>
      <c r="K34" s="167"/>
      <c r="L34" s="167"/>
      <c r="M34" s="167"/>
      <c r="N34" s="167"/>
      <c r="O34" s="167"/>
      <c r="P34" s="102" t="s">
        <v>138</v>
      </c>
      <c r="Q34" s="638">
        <f>Q13*1000</f>
        <v>40000</v>
      </c>
      <c r="R34" s="638"/>
      <c r="S34" s="47" t="s">
        <v>9</v>
      </c>
      <c r="T34" s="369"/>
      <c r="U34" s="167"/>
      <c r="V34" s="363"/>
    </row>
    <row r="35" spans="1:27" s="7" customFormat="1" ht="18" hidden="1" customHeight="1">
      <c r="A35" s="284"/>
      <c r="B35" s="370"/>
      <c r="C35" s="47" t="s">
        <v>318</v>
      </c>
      <c r="D35" s="167"/>
      <c r="E35" s="167"/>
      <c r="F35" s="167"/>
      <c r="G35" s="167"/>
      <c r="H35" s="167"/>
      <c r="I35" s="167"/>
      <c r="J35" s="167"/>
      <c r="K35" s="167"/>
      <c r="L35" s="167"/>
      <c r="M35" s="167"/>
      <c r="N35" s="167"/>
      <c r="O35" s="167"/>
      <c r="P35" s="102" t="s">
        <v>138</v>
      </c>
      <c r="Q35" s="638">
        <f>Q12*1000</f>
        <v>132000</v>
      </c>
      <c r="R35" s="638"/>
      <c r="S35" s="47" t="s">
        <v>316</v>
      </c>
      <c r="T35" s="369"/>
      <c r="U35" s="167"/>
      <c r="V35" s="363"/>
    </row>
    <row r="36" spans="1:27" s="7" customFormat="1" ht="18" customHeight="1">
      <c r="A36" s="387"/>
      <c r="B36" s="388"/>
      <c r="C36" s="167"/>
      <c r="D36" s="167"/>
      <c r="E36" s="168"/>
      <c r="F36" s="168"/>
      <c r="G36" s="168"/>
      <c r="H36" s="168"/>
      <c r="I36" s="167"/>
      <c r="J36" s="167"/>
      <c r="K36" s="167"/>
      <c r="L36" s="167"/>
      <c r="M36" s="167"/>
      <c r="N36" s="167"/>
      <c r="O36" s="167"/>
      <c r="Q36" s="366"/>
      <c r="R36" s="373"/>
      <c r="T36" s="369"/>
      <c r="U36" s="167"/>
      <c r="V36" s="363"/>
    </row>
    <row r="37" spans="1:27" s="7" customFormat="1" ht="18" customHeight="1">
      <c r="A37" s="284" t="s">
        <v>319</v>
      </c>
      <c r="B37" s="388"/>
      <c r="C37" s="167"/>
      <c r="D37" s="167"/>
      <c r="E37" s="168"/>
      <c r="F37" s="168"/>
      <c r="G37" s="168"/>
      <c r="I37" s="167"/>
      <c r="J37" s="167"/>
      <c r="K37" s="167"/>
      <c r="L37" s="167"/>
      <c r="M37" s="389"/>
      <c r="N37" s="167"/>
      <c r="O37" s="167"/>
      <c r="P37" s="102" t="s">
        <v>138</v>
      </c>
      <c r="Q37" s="936">
        <v>1</v>
      </c>
      <c r="R37" s="937"/>
      <c r="S37" s="47" t="s">
        <v>320</v>
      </c>
      <c r="T37" s="369"/>
      <c r="U37" s="167"/>
      <c r="V37" s="363"/>
    </row>
    <row r="38" spans="1:27" s="7" customFormat="1" ht="18" customHeight="1">
      <c r="A38" s="114"/>
      <c r="B38" s="366"/>
      <c r="C38" s="370"/>
      <c r="D38" s="370"/>
      <c r="E38" s="28" t="s">
        <v>321</v>
      </c>
      <c r="F38" s="102" t="s">
        <v>138</v>
      </c>
      <c r="G38" s="28" t="s">
        <v>322</v>
      </c>
      <c r="H38" s="28" t="s">
        <v>323</v>
      </c>
      <c r="I38" s="28">
        <f>Q37</f>
        <v>1</v>
      </c>
      <c r="J38" s="28" t="s">
        <v>324</v>
      </c>
      <c r="K38" s="28" t="s">
        <v>325</v>
      </c>
      <c r="L38" s="28" t="s">
        <v>326</v>
      </c>
      <c r="M38" s="28" t="s">
        <v>327</v>
      </c>
      <c r="N38" s="167"/>
      <c r="O38" s="167"/>
      <c r="P38" s="102" t="s">
        <v>138</v>
      </c>
      <c r="Q38" s="911">
        <f>(Q33*Q37)/(SQRT(3)*Q32)</f>
        <v>0.47631397208144127</v>
      </c>
      <c r="R38" s="911"/>
      <c r="S38" s="14" t="s">
        <v>163</v>
      </c>
      <c r="T38" s="369"/>
      <c r="U38" s="167"/>
      <c r="V38" s="363"/>
      <c r="Z38" s="886"/>
      <c r="AA38" s="887"/>
    </row>
    <row r="39" spans="1:27" s="7" customFormat="1" ht="18" customHeight="1">
      <c r="A39" s="114"/>
      <c r="B39" s="385"/>
      <c r="C39" s="370"/>
      <c r="D39" s="370"/>
      <c r="E39" s="120" t="s">
        <v>328</v>
      </c>
      <c r="F39" s="102" t="s">
        <v>138</v>
      </c>
      <c r="G39" s="28">
        <v>2</v>
      </c>
      <c r="H39" s="28" t="s">
        <v>326</v>
      </c>
      <c r="I39" s="290" t="s">
        <v>329</v>
      </c>
      <c r="J39" s="28" t="s">
        <v>326</v>
      </c>
      <c r="K39" s="28" t="s">
        <v>330</v>
      </c>
      <c r="L39" s="28" t="s">
        <v>326</v>
      </c>
      <c r="M39" s="28" t="s">
        <v>331</v>
      </c>
      <c r="N39" s="167"/>
      <c r="O39" s="167"/>
      <c r="P39" s="390"/>
      <c r="Q39" s="922"/>
      <c r="R39" s="638"/>
      <c r="S39" s="368"/>
      <c r="T39" s="369"/>
      <c r="U39" s="167"/>
      <c r="V39" s="363"/>
    </row>
    <row r="40" spans="1:27" s="7" customFormat="1" ht="18" customHeight="1">
      <c r="A40" s="386"/>
      <c r="B40" s="370"/>
      <c r="C40" s="167"/>
      <c r="D40" s="167"/>
      <c r="E40" s="47" t="s">
        <v>332</v>
      </c>
      <c r="F40" s="167"/>
      <c r="G40" s="167"/>
      <c r="H40" s="167"/>
      <c r="I40" s="167"/>
      <c r="J40" s="167"/>
      <c r="K40" s="167"/>
      <c r="L40" s="47" t="s">
        <v>333</v>
      </c>
      <c r="M40" s="167"/>
      <c r="N40" s="167"/>
      <c r="O40" s="167"/>
      <c r="P40" s="102" t="s">
        <v>138</v>
      </c>
      <c r="Q40" s="638">
        <f>Q11</f>
        <v>50</v>
      </c>
      <c r="R40" s="638"/>
      <c r="S40" s="391"/>
      <c r="T40" s="369"/>
      <c r="U40" s="167"/>
      <c r="V40" s="363"/>
    </row>
    <row r="41" spans="1:27" s="7" customFormat="1" ht="18" customHeight="1">
      <c r="A41" s="386"/>
      <c r="B41" s="370"/>
      <c r="C41" s="167"/>
      <c r="D41" s="167"/>
      <c r="E41" s="47" t="s">
        <v>274</v>
      </c>
      <c r="F41" s="167"/>
      <c r="G41" s="167"/>
      <c r="H41" s="167"/>
      <c r="I41" s="167"/>
      <c r="J41" s="167"/>
      <c r="K41" s="167"/>
      <c r="L41" s="47" t="s">
        <v>330</v>
      </c>
      <c r="M41" s="167"/>
      <c r="N41" s="167"/>
      <c r="O41" s="167"/>
      <c r="P41" s="102" t="s">
        <v>138</v>
      </c>
      <c r="Q41" s="638">
        <f>Q8</f>
        <v>50</v>
      </c>
      <c r="R41" s="638"/>
      <c r="S41" s="391"/>
      <c r="T41" s="369"/>
      <c r="U41" s="167"/>
      <c r="V41" s="363"/>
    </row>
    <row r="42" spans="1:27" s="7" customFormat="1" ht="18" customHeight="1">
      <c r="A42" s="386"/>
      <c r="B42" s="370"/>
      <c r="C42" s="14" t="s">
        <v>334</v>
      </c>
      <c r="D42" s="167"/>
      <c r="E42" s="47" t="s">
        <v>335</v>
      </c>
      <c r="F42" s="167"/>
      <c r="G42" s="167"/>
      <c r="H42" s="167"/>
      <c r="I42" s="167"/>
      <c r="J42" s="167"/>
      <c r="K42" s="167"/>
      <c r="L42" s="14" t="s">
        <v>336</v>
      </c>
      <c r="M42" s="392" t="s">
        <v>337</v>
      </c>
      <c r="N42" s="167"/>
      <c r="O42" s="167"/>
      <c r="P42" s="102"/>
      <c r="Q42" s="638"/>
      <c r="R42" s="638"/>
      <c r="S42" s="391"/>
      <c r="V42" s="112"/>
    </row>
    <row r="43" spans="1:27" s="7" customFormat="1" ht="18" customHeight="1">
      <c r="A43" s="386"/>
      <c r="B43" s="370"/>
      <c r="D43" s="167"/>
      <c r="E43" s="47" t="s">
        <v>338</v>
      </c>
      <c r="F43" s="167"/>
      <c r="G43" s="167"/>
      <c r="H43" s="167"/>
      <c r="I43" s="167"/>
      <c r="J43" s="167"/>
      <c r="K43" s="167"/>
      <c r="L43" s="14" t="s">
        <v>339</v>
      </c>
      <c r="M43" s="167"/>
      <c r="N43" s="167"/>
      <c r="O43" s="167"/>
      <c r="P43" s="102" t="s">
        <v>138</v>
      </c>
      <c r="Q43" s="911">
        <f>ATAN(Q40)</f>
        <v>1.550798992821746</v>
      </c>
      <c r="R43" s="911"/>
      <c r="S43" s="391"/>
      <c r="V43" s="112"/>
    </row>
    <row r="44" spans="1:27" s="7" customFormat="1" ht="18" customHeight="1">
      <c r="A44" s="386"/>
      <c r="B44" s="370"/>
      <c r="C44" s="167"/>
      <c r="D44" s="167"/>
      <c r="E44" s="47" t="s">
        <v>340</v>
      </c>
      <c r="F44" s="167"/>
      <c r="G44" s="167"/>
      <c r="H44" s="167"/>
      <c r="I44" s="167"/>
      <c r="J44" s="167"/>
      <c r="K44" s="167"/>
      <c r="L44" s="14" t="s">
        <v>339</v>
      </c>
      <c r="M44" s="167"/>
      <c r="N44" s="167"/>
      <c r="O44" s="167"/>
      <c r="P44" s="102" t="s">
        <v>138</v>
      </c>
      <c r="Q44" s="911">
        <f>DEGREES(Q43)</f>
        <v>88.854237161824898</v>
      </c>
      <c r="R44" s="911"/>
      <c r="S44" s="391"/>
      <c r="V44" s="112"/>
    </row>
    <row r="45" spans="1:27" s="7" customFormat="1" ht="18" customHeight="1">
      <c r="A45" s="386"/>
      <c r="B45" s="370"/>
      <c r="C45" s="167"/>
      <c r="D45" s="167"/>
      <c r="E45" s="385"/>
      <c r="F45" s="167"/>
      <c r="G45" s="167"/>
      <c r="H45" s="167"/>
      <c r="I45" s="167"/>
      <c r="J45" s="167"/>
      <c r="K45" s="167"/>
      <c r="M45" s="167"/>
      <c r="N45" s="167"/>
      <c r="O45" s="167"/>
      <c r="P45" s="123"/>
      <c r="Q45" s="393"/>
      <c r="R45" s="393"/>
      <c r="S45" s="391"/>
      <c r="T45" s="369"/>
      <c r="U45" s="167"/>
      <c r="V45" s="363"/>
    </row>
    <row r="46" spans="1:27" s="7" customFormat="1" ht="18" customHeight="1">
      <c r="A46" s="383"/>
      <c r="B46" s="167"/>
      <c r="C46" s="167"/>
      <c r="D46" s="167"/>
      <c r="E46" s="47" t="s">
        <v>341</v>
      </c>
      <c r="F46" s="167"/>
      <c r="G46" s="167"/>
      <c r="H46" s="167"/>
      <c r="I46" s="167"/>
      <c r="J46" s="167"/>
      <c r="K46" s="28" t="s">
        <v>342</v>
      </c>
      <c r="L46" s="280" t="s">
        <v>343</v>
      </c>
      <c r="M46" s="167"/>
      <c r="N46" s="167"/>
      <c r="O46" s="167"/>
      <c r="P46" s="102" t="s">
        <v>138</v>
      </c>
      <c r="Q46" s="911">
        <f>Q38*COS(Q43)</f>
        <v>9.5243747571268269E-3</v>
      </c>
      <c r="R46" s="911"/>
      <c r="S46" s="204" t="s">
        <v>344</v>
      </c>
      <c r="T46" s="369"/>
      <c r="U46" s="167"/>
      <c r="V46" s="363"/>
    </row>
    <row r="47" spans="1:27" s="7" customFormat="1" ht="18" customHeight="1">
      <c r="A47" s="383"/>
      <c r="B47" s="167"/>
      <c r="C47" s="167"/>
      <c r="D47" s="167"/>
      <c r="E47" s="14" t="s">
        <v>345</v>
      </c>
      <c r="F47" s="167"/>
      <c r="G47" s="167"/>
      <c r="H47" s="167"/>
      <c r="I47" s="167"/>
      <c r="J47" s="167"/>
      <c r="K47" s="28" t="s">
        <v>346</v>
      </c>
      <c r="L47" s="280" t="s">
        <v>347</v>
      </c>
      <c r="M47" s="167"/>
      <c r="N47" s="167"/>
      <c r="O47" s="167"/>
      <c r="P47" s="102" t="s">
        <v>138</v>
      </c>
      <c r="Q47" s="911">
        <f>Q38*SIN(Q43)</f>
        <v>0.47621873785634034</v>
      </c>
      <c r="R47" s="911"/>
      <c r="S47" s="204" t="s">
        <v>344</v>
      </c>
      <c r="T47" s="369"/>
      <c r="U47" s="167"/>
      <c r="V47" s="363"/>
    </row>
    <row r="48" spans="1:27" s="7" customFormat="1" ht="18" customHeight="1">
      <c r="A48" s="114"/>
      <c r="C48" s="14" t="s">
        <v>348</v>
      </c>
      <c r="D48" s="167"/>
      <c r="E48" s="47" t="s">
        <v>349</v>
      </c>
      <c r="K48" s="28" t="s">
        <v>321</v>
      </c>
      <c r="L48" s="247" t="s">
        <v>138</v>
      </c>
      <c r="N48" s="911">
        <f>Q46</f>
        <v>9.5243747571268269E-3</v>
      </c>
      <c r="O48" s="638"/>
      <c r="P48" s="102" t="s">
        <v>306</v>
      </c>
      <c r="Q48" s="911">
        <f>Q47</f>
        <v>0.47621873785634034</v>
      </c>
      <c r="R48" s="638"/>
      <c r="S48" s="204" t="s">
        <v>344</v>
      </c>
      <c r="V48" s="394"/>
    </row>
    <row r="49" spans="1:22" s="14" customFormat="1" ht="18" customHeight="1">
      <c r="A49" s="205" t="s">
        <v>922</v>
      </c>
      <c r="Q49" s="120"/>
      <c r="R49" s="28"/>
      <c r="S49" s="558"/>
      <c r="V49" s="394"/>
    </row>
    <row r="50" spans="1:22" s="30" customFormat="1" ht="18" customHeight="1">
      <c r="A50" s="205"/>
      <c r="B50" s="14"/>
      <c r="C50" s="28" t="s">
        <v>902</v>
      </c>
      <c r="D50" s="230" t="s">
        <v>138</v>
      </c>
      <c r="E50" s="230" t="s">
        <v>321</v>
      </c>
      <c r="F50" s="28" t="s">
        <v>353</v>
      </c>
      <c r="G50" s="14" t="s">
        <v>923</v>
      </c>
      <c r="H50" s="14"/>
      <c r="I50" s="14"/>
      <c r="J50" s="120"/>
      <c r="K50" s="120"/>
      <c r="L50" s="47" t="s">
        <v>924</v>
      </c>
      <c r="M50" s="14"/>
      <c r="N50" s="269" t="s">
        <v>310</v>
      </c>
      <c r="O50" s="14" t="s">
        <v>138</v>
      </c>
      <c r="P50" s="911">
        <f>SQRT(L28^2+O28^2)</f>
        <v>0.58745553023186359</v>
      </c>
      <c r="Q50" s="911"/>
      <c r="R50" s="120" t="s">
        <v>531</v>
      </c>
      <c r="S50" s="28"/>
      <c r="T50" s="47"/>
      <c r="U50" s="14"/>
      <c r="V50" s="197"/>
    </row>
    <row r="51" spans="1:22" s="14" customFormat="1" ht="18" customHeight="1">
      <c r="A51" s="96"/>
      <c r="D51" s="230" t="s">
        <v>138</v>
      </c>
      <c r="E51" s="926">
        <f>Q38</f>
        <v>0.47631397208144127</v>
      </c>
      <c r="F51" s="926"/>
      <c r="G51" s="28" t="s">
        <v>353</v>
      </c>
      <c r="H51" s="638" t="s">
        <v>925</v>
      </c>
      <c r="I51" s="638"/>
      <c r="J51" s="911">
        <f>P50</f>
        <v>0.58745553023186359</v>
      </c>
      <c r="K51" s="911"/>
      <c r="L51" s="14" t="s">
        <v>361</v>
      </c>
      <c r="Q51" s="120"/>
      <c r="R51" s="28"/>
      <c r="S51" s="558"/>
      <c r="V51" s="394"/>
    </row>
    <row r="52" spans="1:22" s="14" customFormat="1" ht="18" customHeight="1">
      <c r="A52" s="96"/>
      <c r="D52" s="230" t="s">
        <v>138</v>
      </c>
      <c r="E52" s="638">
        <f>E51/(0.8*J51)</f>
        <v>1.0135106990427094</v>
      </c>
      <c r="F52" s="638"/>
      <c r="Q52" s="120"/>
      <c r="R52" s="28"/>
      <c r="S52" s="558"/>
      <c r="V52" s="394"/>
    </row>
    <row r="53" spans="1:22" s="7" customFormat="1" ht="18" customHeight="1">
      <c r="A53" s="604"/>
      <c r="C53" s="14"/>
      <c r="D53" s="167"/>
      <c r="E53" s="47"/>
      <c r="K53" s="28"/>
      <c r="L53" s="247"/>
      <c r="N53" s="574"/>
      <c r="O53" s="28"/>
      <c r="P53" s="102"/>
      <c r="Q53" s="574"/>
      <c r="R53" s="28"/>
      <c r="S53" s="204"/>
      <c r="V53" s="596"/>
    </row>
    <row r="54" spans="1:22" ht="18" customHeight="1">
      <c r="A54" s="395"/>
      <c r="B54" s="20"/>
      <c r="C54" s="20"/>
      <c r="D54" s="20"/>
      <c r="E54" s="20"/>
      <c r="F54" s="20"/>
      <c r="G54" s="20"/>
      <c r="H54" s="20"/>
      <c r="I54" s="20"/>
      <c r="J54" s="20"/>
      <c r="K54" s="20"/>
      <c r="L54" s="20"/>
      <c r="M54" s="20"/>
      <c r="N54" s="20"/>
      <c r="O54" s="20"/>
      <c r="P54" s="20"/>
      <c r="Q54" s="21"/>
      <c r="R54" s="22"/>
      <c r="S54" s="23"/>
      <c r="T54" s="20"/>
      <c r="U54" s="20"/>
      <c r="V54" s="140"/>
    </row>
    <row r="55" spans="1:22" ht="18" customHeight="1">
      <c r="A55" s="396" t="s">
        <v>350</v>
      </c>
      <c r="B55" s="397"/>
      <c r="C55" s="362"/>
      <c r="D55" s="398"/>
      <c r="E55" s="398"/>
      <c r="F55" s="398"/>
      <c r="G55" s="399"/>
      <c r="H55" s="399"/>
      <c r="I55" s="400"/>
      <c r="J55" s="400"/>
      <c r="K55" s="400"/>
      <c r="L55" s="400"/>
      <c r="M55" s="401"/>
      <c r="N55" s="402"/>
      <c r="O55" s="403"/>
      <c r="P55" s="404"/>
      <c r="Q55" s="405"/>
      <c r="R55" s="406"/>
      <c r="S55" s="407"/>
      <c r="T55" s="397"/>
      <c r="U55" s="397"/>
      <c r="V55" s="408"/>
    </row>
    <row r="56" spans="1:22" ht="18" customHeight="1">
      <c r="A56" s="409"/>
      <c r="B56" s="47" t="s">
        <v>328</v>
      </c>
      <c r="C56" s="168"/>
      <c r="D56" s="410"/>
      <c r="F56" s="389"/>
      <c r="G56" s="102" t="s">
        <v>138</v>
      </c>
      <c r="H56" s="28">
        <v>2</v>
      </c>
      <c r="I56" s="28" t="s">
        <v>326</v>
      </c>
      <c r="J56" s="290" t="s">
        <v>329</v>
      </c>
      <c r="K56" s="28" t="s">
        <v>326</v>
      </c>
      <c r="L56" s="28" t="s">
        <v>330</v>
      </c>
      <c r="M56" s="28" t="s">
        <v>326</v>
      </c>
      <c r="N56" s="47" t="s">
        <v>331</v>
      </c>
      <c r="O56" s="389"/>
      <c r="P56" s="175"/>
      <c r="Q56" s="411"/>
      <c r="S56" s="389"/>
      <c r="V56" s="10"/>
    </row>
    <row r="57" spans="1:22" ht="18" customHeight="1">
      <c r="A57" s="409"/>
      <c r="B57" s="47" t="s">
        <v>332</v>
      </c>
      <c r="C57" s="168"/>
      <c r="D57" s="388"/>
      <c r="E57" s="389"/>
      <c r="F57" s="389"/>
      <c r="H57" s="389"/>
      <c r="I57" s="164"/>
      <c r="J57" s="164"/>
      <c r="K57" s="164"/>
      <c r="L57" s="164"/>
      <c r="N57" s="389"/>
      <c r="O57" s="28" t="s">
        <v>333</v>
      </c>
      <c r="P57" s="102" t="s">
        <v>138</v>
      </c>
      <c r="Q57" s="906">
        <f>Q11</f>
        <v>50</v>
      </c>
      <c r="R57" s="638"/>
      <c r="S57" s="385"/>
      <c r="V57" s="10"/>
    </row>
    <row r="58" spans="1:22" ht="18" customHeight="1">
      <c r="A58" s="409"/>
      <c r="B58" s="47" t="s">
        <v>274</v>
      </c>
      <c r="C58" s="168"/>
      <c r="D58" s="410"/>
      <c r="E58" s="7"/>
      <c r="F58" s="7"/>
      <c r="H58" s="389"/>
      <c r="I58" s="164"/>
      <c r="J58" s="164"/>
      <c r="K58" s="164"/>
      <c r="L58" s="164"/>
      <c r="N58" s="389"/>
      <c r="O58" s="28" t="s">
        <v>330</v>
      </c>
      <c r="P58" s="102" t="s">
        <v>138</v>
      </c>
      <c r="Q58" s="921">
        <f>Q8</f>
        <v>50</v>
      </c>
      <c r="R58" s="921"/>
      <c r="S58" s="47" t="s">
        <v>275</v>
      </c>
      <c r="V58" s="10"/>
    </row>
    <row r="59" spans="1:22" ht="18" customHeight="1">
      <c r="A59" s="409"/>
      <c r="B59" s="261" t="s">
        <v>351</v>
      </c>
      <c r="C59" s="168"/>
      <c r="D59" s="410"/>
      <c r="F59" s="123"/>
      <c r="G59" s="28" t="s">
        <v>138</v>
      </c>
      <c r="H59" s="28" t="s">
        <v>352</v>
      </c>
      <c r="I59" s="412" t="s">
        <v>353</v>
      </c>
      <c r="J59" s="28">
        <v>2</v>
      </c>
      <c r="K59" s="28" t="s">
        <v>326</v>
      </c>
      <c r="L59" s="290" t="s">
        <v>329</v>
      </c>
      <c r="M59" s="413" t="s">
        <v>326</v>
      </c>
      <c r="N59" s="230" t="s">
        <v>330</v>
      </c>
      <c r="O59" s="389"/>
      <c r="P59" s="102" t="s">
        <v>138</v>
      </c>
      <c r="Q59" s="644">
        <f>(Q57*1000)/(J59*(22/7)*Q58)</f>
        <v>159.09090909090909</v>
      </c>
      <c r="R59" s="648"/>
      <c r="S59" s="47" t="s">
        <v>354</v>
      </c>
      <c r="V59" s="10"/>
    </row>
    <row r="60" spans="1:22" ht="18" customHeight="1">
      <c r="A60" s="414"/>
      <c r="B60" s="168"/>
      <c r="C60" s="168"/>
      <c r="D60" s="410"/>
      <c r="E60" s="167"/>
      <c r="F60" s="167"/>
      <c r="G60" s="167"/>
      <c r="H60" s="167"/>
      <c r="I60" s="167"/>
      <c r="J60" s="167"/>
      <c r="K60" s="167"/>
      <c r="L60" s="167"/>
      <c r="M60" s="167"/>
      <c r="N60" s="167"/>
      <c r="O60" s="167"/>
      <c r="P60" s="167"/>
      <c r="Q60" s="167"/>
      <c r="R60" s="167"/>
      <c r="S60" s="167"/>
      <c r="V60" s="10"/>
    </row>
    <row r="61" spans="1:22" ht="18" customHeight="1">
      <c r="A61" s="205" t="s">
        <v>355</v>
      </c>
      <c r="B61" s="174"/>
      <c r="C61" s="164"/>
      <c r="D61" s="164"/>
      <c r="E61" s="164"/>
      <c r="F61" s="164"/>
      <c r="G61" s="164"/>
      <c r="H61" s="164"/>
      <c r="I61" s="164"/>
      <c r="J61" s="164"/>
      <c r="K61" s="164"/>
      <c r="L61" s="164"/>
      <c r="M61" s="164"/>
      <c r="N61" s="175"/>
      <c r="O61" s="157"/>
      <c r="P61" s="164"/>
      <c r="Q61" s="49"/>
      <c r="V61" s="10"/>
    </row>
    <row r="62" spans="1:22" s="167" customFormat="1" ht="18" customHeight="1">
      <c r="A62" s="96" t="s">
        <v>356</v>
      </c>
      <c r="B62" s="168"/>
      <c r="E62" s="28" t="s">
        <v>357</v>
      </c>
      <c r="F62" s="28" t="s">
        <v>138</v>
      </c>
      <c r="H62" s="28" t="s">
        <v>321</v>
      </c>
      <c r="I62" s="102" t="s">
        <v>358</v>
      </c>
      <c r="J62" s="14" t="s">
        <v>310</v>
      </c>
      <c r="Q62" s="415"/>
      <c r="S62" s="168"/>
      <c r="T62"/>
      <c r="U62"/>
      <c r="V62" s="10"/>
    </row>
    <row r="63" spans="1:22" s="167" customFormat="1" ht="18" customHeight="1">
      <c r="A63" s="383"/>
      <c r="F63" s="416" t="s">
        <v>359</v>
      </c>
      <c r="G63" s="911">
        <f>N48</f>
        <v>9.5243747571268269E-3</v>
      </c>
      <c r="H63" s="638"/>
      <c r="I63" s="102" t="s">
        <v>306</v>
      </c>
      <c r="J63" s="911">
        <f>Q48</f>
        <v>0.47621873785634034</v>
      </c>
      <c r="K63" s="638"/>
      <c r="L63" s="28" t="s">
        <v>360</v>
      </c>
      <c r="M63" s="918">
        <f>L28</f>
        <v>0.44800000000000001</v>
      </c>
      <c r="N63" s="638"/>
      <c r="O63" s="102" t="s">
        <v>306</v>
      </c>
      <c r="P63" s="918">
        <f>O28</f>
        <v>0.38</v>
      </c>
      <c r="Q63" s="638"/>
      <c r="R63" s="14" t="s">
        <v>361</v>
      </c>
      <c r="S63" s="168"/>
      <c r="T63"/>
      <c r="U63"/>
      <c r="V63" s="10"/>
    </row>
    <row r="64" spans="1:22" s="167" customFormat="1" ht="18" customHeight="1">
      <c r="A64" s="171"/>
      <c r="F64" s="28" t="s">
        <v>138</v>
      </c>
      <c r="G64" s="911">
        <f>G63+M63</f>
        <v>0.45752437475712682</v>
      </c>
      <c r="H64" s="638"/>
      <c r="I64" s="102" t="s">
        <v>362</v>
      </c>
      <c r="J64" s="911">
        <f>J63+P63</f>
        <v>0.85621873785634039</v>
      </c>
      <c r="K64" s="638"/>
      <c r="L64" s="417" t="s">
        <v>344</v>
      </c>
      <c r="S64" s="168"/>
      <c r="T64"/>
      <c r="U64"/>
      <c r="V64" s="10"/>
    </row>
    <row r="65" spans="1:22" ht="18" customHeight="1">
      <c r="A65" s="114"/>
      <c r="B65" s="7"/>
      <c r="C65" s="7"/>
      <c r="D65" s="7"/>
      <c r="E65" s="7"/>
      <c r="F65" s="7"/>
      <c r="G65" s="7"/>
      <c r="H65" s="7"/>
      <c r="I65" s="7"/>
      <c r="J65" s="7"/>
      <c r="K65" s="7"/>
      <c r="L65" s="7"/>
      <c r="M65" s="7"/>
      <c r="N65" s="7"/>
      <c r="O65" s="7"/>
      <c r="P65" s="7"/>
      <c r="Q65" s="124"/>
      <c r="R65" s="121"/>
      <c r="S65" s="418"/>
      <c r="T65" s="7"/>
      <c r="U65" s="7"/>
      <c r="V65" s="394"/>
    </row>
    <row r="66" spans="1:22" s="167" customFormat="1" ht="18" customHeight="1">
      <c r="A66" s="171"/>
      <c r="F66" s="28" t="s">
        <v>138</v>
      </c>
      <c r="G66" s="916">
        <f>SQRT(G64^2+J64^2)</f>
        <v>0.97079301632902382</v>
      </c>
      <c r="H66" s="638"/>
      <c r="I66" s="290" t="s">
        <v>363</v>
      </c>
      <c r="J66" s="917">
        <f>DEGREES(ATAN(J64/G64))</f>
        <v>61.881978707961871</v>
      </c>
      <c r="K66" s="638"/>
      <c r="L66" s="417" t="s">
        <v>344</v>
      </c>
      <c r="S66" s="168"/>
      <c r="T66"/>
      <c r="U66"/>
      <c r="V66" s="10"/>
    </row>
    <row r="67" spans="1:22" s="167" customFormat="1" ht="18" customHeight="1">
      <c r="A67" s="171"/>
      <c r="E67" s="120" t="s">
        <v>364</v>
      </c>
      <c r="F67" s="28" t="s">
        <v>138</v>
      </c>
      <c r="G67" s="908">
        <f>J64/G64</f>
        <v>1.871416661267189</v>
      </c>
      <c r="H67" s="638"/>
      <c r="K67" s="124"/>
      <c r="L67" s="121"/>
      <c r="M67" s="419"/>
      <c r="N67" s="385"/>
      <c r="O67" s="389"/>
      <c r="P67" s="165"/>
      <c r="Q67" s="420"/>
      <c r="R67" s="388"/>
      <c r="S67" s="168"/>
      <c r="T67"/>
      <c r="U67"/>
      <c r="V67" s="10"/>
    </row>
    <row r="68" spans="1:22" s="167" customFormat="1" ht="18" customHeight="1">
      <c r="A68" s="171"/>
      <c r="B68" s="47" t="s">
        <v>365</v>
      </c>
      <c r="C68" s="410"/>
      <c r="E68" s="410"/>
      <c r="F68" s="388"/>
      <c r="G68" s="388"/>
      <c r="H68" s="168"/>
      <c r="I68" s="168"/>
      <c r="J68" s="168"/>
      <c r="K68" s="168"/>
      <c r="L68" s="248" t="s">
        <v>138</v>
      </c>
      <c r="M68" s="909">
        <f>Q33</f>
        <v>33000</v>
      </c>
      <c r="N68" s="909"/>
      <c r="O68" s="241" t="s">
        <v>326</v>
      </c>
      <c r="P68" s="910">
        <f>Q37</f>
        <v>1</v>
      </c>
      <c r="Q68" s="661"/>
      <c r="S68" s="168"/>
      <c r="T68"/>
      <c r="U68"/>
      <c r="V68" s="10"/>
    </row>
    <row r="69" spans="1:22" s="167" customFormat="1" ht="18" customHeight="1">
      <c r="A69" s="171"/>
      <c r="B69" s="168"/>
      <c r="C69" s="410"/>
      <c r="D69" s="388"/>
      <c r="E69" s="410"/>
      <c r="F69" s="388"/>
      <c r="G69" s="388"/>
      <c r="H69" s="168"/>
      <c r="I69" s="168"/>
      <c r="J69" s="168"/>
      <c r="K69" s="168"/>
      <c r="L69" s="169"/>
      <c r="M69" s="911">
        <f>+G66</f>
        <v>0.97079301632902382</v>
      </c>
      <c r="N69" s="911"/>
      <c r="O69" s="28" t="s">
        <v>326</v>
      </c>
      <c r="P69" s="638" t="s">
        <v>366</v>
      </c>
      <c r="Q69" s="638">
        <f>SQRT(3)</f>
        <v>1.7320508075688772</v>
      </c>
      <c r="R69" s="388"/>
      <c r="S69" s="168"/>
      <c r="T69"/>
      <c r="U69"/>
      <c r="V69" s="10"/>
    </row>
    <row r="70" spans="1:22" ht="18" customHeight="1">
      <c r="A70" s="9"/>
      <c r="L70" s="102" t="s">
        <v>138</v>
      </c>
      <c r="M70" s="912">
        <f>M68*P68/(M69*SQRT(3))</f>
        <v>19625.768379858539</v>
      </c>
      <c r="N70" s="913"/>
      <c r="O70" s="30" t="s">
        <v>9</v>
      </c>
      <c r="V70" s="10"/>
    </row>
    <row r="71" spans="1:22" ht="18" customHeight="1">
      <c r="A71" s="9"/>
      <c r="L71" s="367"/>
      <c r="M71" s="422"/>
      <c r="N71" s="422"/>
      <c r="V71" s="10"/>
    </row>
    <row r="72" spans="1:22" ht="18" customHeight="1">
      <c r="A72" s="205" t="s">
        <v>367</v>
      </c>
      <c r="C72" s="167"/>
      <c r="D72" s="410"/>
      <c r="E72" s="410"/>
      <c r="F72" s="410"/>
      <c r="G72" s="388"/>
      <c r="H72" s="388"/>
      <c r="I72" s="168"/>
      <c r="J72" s="168"/>
      <c r="K72" s="168"/>
      <c r="L72" s="168"/>
      <c r="M72" s="423"/>
      <c r="N72" s="424"/>
      <c r="O72" s="425"/>
      <c r="P72" s="426"/>
      <c r="Q72" s="169"/>
      <c r="R72" s="415"/>
      <c r="S72" s="427"/>
      <c r="V72" s="10"/>
    </row>
    <row r="73" spans="1:22" ht="18" customHeight="1">
      <c r="A73" s="409"/>
      <c r="B73" s="47" t="s">
        <v>368</v>
      </c>
      <c r="C73" s="168"/>
      <c r="D73" s="410"/>
      <c r="F73" s="389"/>
      <c r="G73" s="102" t="s">
        <v>138</v>
      </c>
      <c r="H73" s="28">
        <v>2</v>
      </c>
      <c r="I73" s="28" t="s">
        <v>326</v>
      </c>
      <c r="J73" s="290" t="s">
        <v>329</v>
      </c>
      <c r="K73" s="28" t="s">
        <v>326</v>
      </c>
      <c r="L73" s="28" t="s">
        <v>330</v>
      </c>
      <c r="M73" s="28" t="s">
        <v>326</v>
      </c>
      <c r="N73" s="47" t="s">
        <v>331</v>
      </c>
      <c r="O73" s="389"/>
      <c r="P73" s="175"/>
      <c r="Q73" s="411"/>
      <c r="S73" s="389"/>
      <c r="V73" s="10"/>
    </row>
    <row r="74" spans="1:22" ht="18" customHeight="1">
      <c r="A74" s="409"/>
      <c r="B74" s="47" t="s">
        <v>369</v>
      </c>
      <c r="C74" s="168"/>
      <c r="D74" s="388"/>
      <c r="E74" s="389"/>
      <c r="F74" s="389"/>
      <c r="H74" s="389"/>
      <c r="I74" s="164"/>
      <c r="J74" s="164"/>
      <c r="K74" s="164"/>
      <c r="L74" s="164"/>
      <c r="N74" s="389"/>
      <c r="O74" s="28" t="s">
        <v>333</v>
      </c>
      <c r="P74" s="102" t="s">
        <v>138</v>
      </c>
      <c r="Q74" s="641">
        <f>G67</f>
        <v>1.871416661267189</v>
      </c>
      <c r="R74" s="641"/>
      <c r="S74" s="385"/>
      <c r="V74" s="10"/>
    </row>
    <row r="75" spans="1:22" ht="18" customHeight="1">
      <c r="A75" s="409"/>
      <c r="B75" s="47" t="s">
        <v>274</v>
      </c>
      <c r="C75" s="168"/>
      <c r="D75" s="410"/>
      <c r="E75" s="7"/>
      <c r="F75" s="7"/>
      <c r="H75" s="389"/>
      <c r="I75" s="164"/>
      <c r="J75" s="164"/>
      <c r="K75" s="164"/>
      <c r="L75" s="164"/>
      <c r="N75" s="389"/>
      <c r="O75" s="28" t="s">
        <v>330</v>
      </c>
      <c r="P75" s="102" t="s">
        <v>138</v>
      </c>
      <c r="Q75" s="921">
        <f>Q8</f>
        <v>50</v>
      </c>
      <c r="R75" s="661"/>
      <c r="S75" s="47" t="s">
        <v>275</v>
      </c>
      <c r="V75" s="10"/>
    </row>
    <row r="76" spans="1:22" ht="18" customHeight="1">
      <c r="A76" s="409"/>
      <c r="B76" s="261" t="s">
        <v>351</v>
      </c>
      <c r="C76" s="168"/>
      <c r="D76" s="410"/>
      <c r="F76" s="123"/>
      <c r="G76" s="28" t="s">
        <v>138</v>
      </c>
      <c r="H76" s="28" t="s">
        <v>352</v>
      </c>
      <c r="I76" s="412" t="s">
        <v>353</v>
      </c>
      <c r="J76" s="28">
        <v>2</v>
      </c>
      <c r="K76" s="28" t="s">
        <v>326</v>
      </c>
      <c r="L76" s="290" t="s">
        <v>329</v>
      </c>
      <c r="M76" s="413" t="s">
        <v>326</v>
      </c>
      <c r="N76" s="230" t="s">
        <v>330</v>
      </c>
      <c r="O76" s="389"/>
      <c r="P76" s="123" t="s">
        <v>138</v>
      </c>
      <c r="Q76" s="644">
        <f>(Q74*1000)/(J76*(22/7)*Q75)</f>
        <v>5.9545075585774203</v>
      </c>
      <c r="R76" s="907"/>
      <c r="S76" s="47" t="s">
        <v>354</v>
      </c>
      <c r="V76" s="10"/>
    </row>
    <row r="77" spans="1:22" ht="18" customHeight="1">
      <c r="A77" s="9"/>
      <c r="V77" s="10"/>
    </row>
    <row r="78" spans="1:22" ht="18" customHeight="1">
      <c r="A78" s="205" t="s">
        <v>370</v>
      </c>
      <c r="V78" s="10"/>
    </row>
    <row r="79" spans="1:22" ht="18" customHeight="1">
      <c r="A79" s="196" t="s">
        <v>371</v>
      </c>
      <c r="E79" s="28" t="s">
        <v>372</v>
      </c>
      <c r="F79" s="28" t="s">
        <v>138</v>
      </c>
      <c r="G79" s="291"/>
      <c r="H79" s="28" t="s">
        <v>321</v>
      </c>
      <c r="I79" s="102" t="s">
        <v>358</v>
      </c>
      <c r="J79" s="14" t="s">
        <v>312</v>
      </c>
      <c r="K79" s="7"/>
      <c r="V79" s="10"/>
    </row>
    <row r="80" spans="1:22" ht="18" customHeight="1">
      <c r="A80" s="9"/>
      <c r="F80" s="262" t="s">
        <v>359</v>
      </c>
      <c r="G80" s="911">
        <f>N48</f>
        <v>9.5243747571268269E-3</v>
      </c>
      <c r="H80" s="638"/>
      <c r="I80" s="102" t="s">
        <v>306</v>
      </c>
      <c r="J80" s="911">
        <f>Q48</f>
        <v>0.47621873785634034</v>
      </c>
      <c r="K80" s="638"/>
      <c r="L80" s="28" t="s">
        <v>360</v>
      </c>
      <c r="M80" s="918">
        <f>L29</f>
        <v>0.32</v>
      </c>
      <c r="N80" s="638"/>
      <c r="O80" s="102" t="s">
        <v>306</v>
      </c>
      <c r="P80" s="918">
        <f>O29</f>
        <v>0.18</v>
      </c>
      <c r="Q80" s="638"/>
      <c r="R80" s="14" t="s">
        <v>361</v>
      </c>
      <c r="V80" s="10"/>
    </row>
    <row r="81" spans="1:22" ht="18" customHeight="1">
      <c r="A81" s="171"/>
      <c r="F81" s="28" t="s">
        <v>138</v>
      </c>
      <c r="G81" s="911">
        <f>G80+M80</f>
        <v>0.32952437475712681</v>
      </c>
      <c r="H81" s="638"/>
      <c r="I81" s="102" t="s">
        <v>362</v>
      </c>
      <c r="J81" s="911">
        <f>J80+P80</f>
        <v>0.65621873785634033</v>
      </c>
      <c r="K81" s="638"/>
      <c r="L81" s="204" t="s">
        <v>344</v>
      </c>
      <c r="O81" s="167"/>
      <c r="P81" s="428"/>
      <c r="Q81" s="121"/>
      <c r="R81" s="427"/>
      <c r="V81" s="10"/>
    </row>
    <row r="82" spans="1:22" ht="18" customHeight="1">
      <c r="A82" s="171"/>
      <c r="F82" s="28" t="s">
        <v>138</v>
      </c>
      <c r="G82" s="916">
        <f>SQRT(G81^2+J81^2)</f>
        <v>0.73430875350416713</v>
      </c>
      <c r="H82" s="638"/>
      <c r="I82" s="290" t="s">
        <v>363</v>
      </c>
      <c r="J82" s="917">
        <f>DEGREES(ATAN(J81/G81))</f>
        <v>63.336196489934373</v>
      </c>
      <c r="K82" s="638"/>
      <c r="L82" s="204" t="s">
        <v>344</v>
      </c>
      <c r="M82" s="167"/>
      <c r="N82" s="167"/>
      <c r="O82" s="167"/>
      <c r="P82" s="428"/>
      <c r="Q82" s="121"/>
      <c r="R82" s="427"/>
      <c r="V82" s="10"/>
    </row>
    <row r="83" spans="1:22" ht="18" customHeight="1">
      <c r="A83" s="9"/>
      <c r="M83" s="429"/>
      <c r="N83" s="7"/>
      <c r="O83" s="430"/>
      <c r="P83" s="428"/>
      <c r="Q83" s="121"/>
      <c r="R83" s="427"/>
      <c r="V83" s="10"/>
    </row>
    <row r="84" spans="1:22" ht="18" customHeight="1">
      <c r="A84" s="196" t="s">
        <v>356</v>
      </c>
      <c r="E84" s="28" t="s">
        <v>373</v>
      </c>
      <c r="F84" s="28" t="s">
        <v>138</v>
      </c>
      <c r="G84" s="291"/>
      <c r="H84" s="28" t="s">
        <v>357</v>
      </c>
      <c r="I84" s="102" t="s">
        <v>358</v>
      </c>
      <c r="J84" s="28" t="s">
        <v>374</v>
      </c>
      <c r="K84" s="28" t="s">
        <v>358</v>
      </c>
      <c r="L84" s="28" t="s">
        <v>372</v>
      </c>
      <c r="V84" s="10"/>
    </row>
    <row r="85" spans="1:22" ht="18" customHeight="1">
      <c r="A85" s="9"/>
      <c r="B85" s="262" t="s">
        <v>359</v>
      </c>
      <c r="C85" s="915">
        <f>G64</f>
        <v>0.45752437475712682</v>
      </c>
      <c r="D85" s="639"/>
      <c r="E85" s="203" t="s">
        <v>362</v>
      </c>
      <c r="F85" s="915">
        <f>J64</f>
        <v>0.85621873785634039</v>
      </c>
      <c r="G85" s="639"/>
      <c r="H85" s="27" t="s">
        <v>360</v>
      </c>
      <c r="I85" s="915">
        <f>G64</f>
        <v>0.45752437475712682</v>
      </c>
      <c r="J85" s="639"/>
      <c r="K85" s="203" t="s">
        <v>362</v>
      </c>
      <c r="L85" s="915">
        <f>J64</f>
        <v>0.85621873785634039</v>
      </c>
      <c r="M85" s="639"/>
      <c r="N85" s="27" t="s">
        <v>360</v>
      </c>
      <c r="O85" s="914">
        <f>G81</f>
        <v>0.32952437475712681</v>
      </c>
      <c r="P85" s="639"/>
      <c r="Q85" s="203" t="s">
        <v>362</v>
      </c>
      <c r="R85" s="914">
        <f>J81</f>
        <v>0.65621873785634033</v>
      </c>
      <c r="S85" s="639"/>
      <c r="T85" s="30" t="s">
        <v>361</v>
      </c>
      <c r="V85" s="10"/>
    </row>
    <row r="86" spans="1:22" ht="18" customHeight="1">
      <c r="A86" s="9"/>
      <c r="B86" s="27" t="s">
        <v>138</v>
      </c>
      <c r="C86" s="915">
        <f>C85+I85+O85</f>
        <v>1.2445731242713804</v>
      </c>
      <c r="D86" s="639"/>
      <c r="E86" s="203" t="s">
        <v>362</v>
      </c>
      <c r="F86" s="915">
        <f>F85+L85+R85</f>
        <v>2.3686562135690212</v>
      </c>
      <c r="G86" s="639"/>
      <c r="V86" s="10"/>
    </row>
    <row r="87" spans="1:22" ht="18" customHeight="1">
      <c r="A87" s="9"/>
      <c r="B87" s="28" t="s">
        <v>138</v>
      </c>
      <c r="C87" s="916">
        <f>SQRT(C86^2+F86^2)</f>
        <v>2.6757231769631473</v>
      </c>
      <c r="D87" s="638"/>
      <c r="E87" s="290" t="s">
        <v>363</v>
      </c>
      <c r="F87" s="917">
        <f>DEGREES(ATAN(F86/C86))</f>
        <v>62.281025531150547</v>
      </c>
      <c r="G87" s="638"/>
      <c r="H87" s="43" t="s">
        <v>344</v>
      </c>
      <c r="N87" s="120" t="s">
        <v>364</v>
      </c>
      <c r="O87" s="28" t="s">
        <v>138</v>
      </c>
      <c r="P87" s="908">
        <f>F86/C86</f>
        <v>1.9031876611956577</v>
      </c>
      <c r="Q87" s="908"/>
      <c r="V87" s="10"/>
    </row>
    <row r="88" spans="1:22" ht="18" customHeight="1">
      <c r="A88" s="9"/>
      <c r="V88" s="10"/>
    </row>
    <row r="89" spans="1:22" ht="18" customHeight="1">
      <c r="A89" s="9"/>
      <c r="B89" s="47" t="s">
        <v>375</v>
      </c>
      <c r="C89" s="410"/>
      <c r="D89" s="167"/>
      <c r="E89" s="410"/>
      <c r="F89" s="388"/>
      <c r="G89" s="388"/>
      <c r="H89" s="168"/>
      <c r="I89" s="168"/>
      <c r="J89" s="168"/>
      <c r="K89" s="168"/>
      <c r="L89" s="248" t="s">
        <v>138</v>
      </c>
      <c r="M89" s="909">
        <f>Q33</f>
        <v>33000</v>
      </c>
      <c r="N89" s="909"/>
      <c r="O89" s="241" t="s">
        <v>326</v>
      </c>
      <c r="P89" s="910">
        <f>Q37</f>
        <v>1</v>
      </c>
      <c r="Q89" s="661"/>
      <c r="R89" s="241" t="s">
        <v>326</v>
      </c>
      <c r="S89" s="241">
        <v>3</v>
      </c>
      <c r="V89" s="10"/>
    </row>
    <row r="90" spans="1:22" ht="18" customHeight="1">
      <c r="A90" s="9"/>
      <c r="B90" s="168"/>
      <c r="C90" s="410"/>
      <c r="D90" s="388"/>
      <c r="E90" s="410"/>
      <c r="F90" s="388"/>
      <c r="G90" s="388"/>
      <c r="H90" s="168"/>
      <c r="I90" s="168"/>
      <c r="J90" s="168"/>
      <c r="K90" s="168"/>
      <c r="L90" s="169"/>
      <c r="M90" s="911">
        <f>+C87</f>
        <v>2.6757231769631473</v>
      </c>
      <c r="N90" s="911"/>
      <c r="O90" s="28" t="s">
        <v>326</v>
      </c>
      <c r="P90" s="638" t="s">
        <v>366</v>
      </c>
      <c r="Q90" s="638">
        <f>SQRT(3)</f>
        <v>1.7320508075688772</v>
      </c>
      <c r="R90" s="388"/>
      <c r="S90" s="168"/>
      <c r="V90" s="10"/>
    </row>
    <row r="91" spans="1:22" ht="18" customHeight="1">
      <c r="A91" s="9"/>
      <c r="L91" s="102" t="s">
        <v>138</v>
      </c>
      <c r="M91" s="912">
        <f>(M89*P89*S89)/(M90*SQRT(3))</f>
        <v>21361.580727736164</v>
      </c>
      <c r="N91" s="913"/>
      <c r="O91" s="30" t="s">
        <v>9</v>
      </c>
      <c r="V91" s="10"/>
    </row>
    <row r="92" spans="1:22" ht="18" customHeight="1">
      <c r="A92" s="9"/>
      <c r="L92" s="102"/>
      <c r="M92" s="431"/>
      <c r="N92" s="431"/>
      <c r="O92" s="30"/>
      <c r="V92" s="10"/>
    </row>
    <row r="93" spans="1:22" ht="18" customHeight="1">
      <c r="A93" s="358"/>
      <c r="B93" s="359"/>
      <c r="C93" s="359"/>
      <c r="D93" s="359"/>
      <c r="E93" s="359"/>
      <c r="F93" s="359"/>
      <c r="G93" s="359"/>
      <c r="H93" s="359"/>
      <c r="I93" s="359"/>
      <c r="J93" s="359"/>
      <c r="K93" s="359"/>
      <c r="L93" s="484"/>
      <c r="M93" s="421"/>
      <c r="N93" s="421"/>
      <c r="O93" s="219"/>
      <c r="P93" s="359"/>
      <c r="Q93" s="359"/>
      <c r="R93" s="359"/>
      <c r="S93" s="359"/>
      <c r="T93" s="359"/>
      <c r="U93" s="359"/>
      <c r="V93" s="360"/>
    </row>
    <row r="94" spans="1:22" ht="18" customHeight="1">
      <c r="A94" s="395"/>
      <c r="B94" s="20"/>
      <c r="C94" s="20"/>
      <c r="D94" s="20"/>
      <c r="E94" s="20"/>
      <c r="F94" s="20"/>
      <c r="G94" s="20"/>
      <c r="H94" s="20"/>
      <c r="I94" s="20"/>
      <c r="J94" s="20"/>
      <c r="K94" s="20"/>
      <c r="L94" s="20"/>
      <c r="M94" s="20"/>
      <c r="N94" s="20"/>
      <c r="O94" s="20"/>
      <c r="P94" s="20"/>
      <c r="Q94" s="21"/>
      <c r="R94" s="22"/>
      <c r="S94" s="23"/>
      <c r="T94" s="20"/>
      <c r="U94" s="20"/>
      <c r="V94" s="140"/>
    </row>
    <row r="95" spans="1:22" ht="18" customHeight="1">
      <c r="A95" s="455"/>
      <c r="B95" s="397"/>
      <c r="C95" s="397"/>
      <c r="D95" s="397"/>
      <c r="E95" s="397"/>
      <c r="F95" s="397"/>
      <c r="G95" s="397"/>
      <c r="H95" s="397"/>
      <c r="I95" s="397"/>
      <c r="J95" s="397"/>
      <c r="K95" s="397"/>
      <c r="L95" s="470"/>
      <c r="M95" s="485"/>
      <c r="N95" s="485"/>
      <c r="O95" s="239"/>
      <c r="P95" s="397"/>
      <c r="Q95" s="397"/>
      <c r="R95" s="397"/>
      <c r="S95" s="397"/>
      <c r="T95" s="397"/>
      <c r="U95" s="397"/>
      <c r="V95" s="408"/>
    </row>
    <row r="96" spans="1:22" ht="18" customHeight="1">
      <c r="A96" s="260" t="s">
        <v>376</v>
      </c>
      <c r="C96" s="167"/>
      <c r="D96" s="410"/>
      <c r="E96" s="410"/>
      <c r="F96" s="410"/>
      <c r="G96" s="388"/>
      <c r="H96" s="388"/>
      <c r="I96" s="168"/>
      <c r="J96" s="168"/>
      <c r="K96" s="168"/>
      <c r="L96" s="168"/>
      <c r="M96" s="423"/>
      <c r="N96" s="424"/>
      <c r="O96" s="425"/>
      <c r="P96" s="426"/>
      <c r="Q96" s="169"/>
      <c r="R96" s="415"/>
      <c r="S96" s="427"/>
      <c r="V96" s="10"/>
    </row>
    <row r="97" spans="1:22" ht="18" customHeight="1">
      <c r="A97" s="409"/>
      <c r="B97" s="47" t="s">
        <v>368</v>
      </c>
      <c r="C97" s="168"/>
      <c r="D97" s="410"/>
      <c r="F97" s="389"/>
      <c r="G97" s="102" t="s">
        <v>138</v>
      </c>
      <c r="H97" s="28">
        <v>2</v>
      </c>
      <c r="I97" s="28" t="s">
        <v>326</v>
      </c>
      <c r="J97" s="290" t="s">
        <v>329</v>
      </c>
      <c r="K97" s="28" t="s">
        <v>326</v>
      </c>
      <c r="L97" s="28" t="s">
        <v>330</v>
      </c>
      <c r="M97" s="28" t="s">
        <v>326</v>
      </c>
      <c r="N97" s="47" t="s">
        <v>331</v>
      </c>
      <c r="O97" s="389"/>
      <c r="P97" s="175"/>
      <c r="Q97" s="411"/>
      <c r="S97" s="389"/>
      <c r="V97" s="10"/>
    </row>
    <row r="98" spans="1:22" ht="18" customHeight="1">
      <c r="A98" s="409"/>
      <c r="B98" s="47" t="s">
        <v>377</v>
      </c>
      <c r="C98" s="168"/>
      <c r="D98" s="388"/>
      <c r="E98" s="389"/>
      <c r="F98" s="389"/>
      <c r="H98" s="389"/>
      <c r="I98" s="164"/>
      <c r="J98" s="164"/>
      <c r="K98" s="164"/>
      <c r="L98" s="164"/>
      <c r="N98" s="389"/>
      <c r="O98" s="28" t="s">
        <v>333</v>
      </c>
      <c r="P98" s="102" t="s">
        <v>138</v>
      </c>
      <c r="Q98" s="641">
        <f>P87</f>
        <v>1.9031876611956577</v>
      </c>
      <c r="R98" s="641"/>
      <c r="S98" s="385"/>
      <c r="V98" s="10"/>
    </row>
    <row r="99" spans="1:22" ht="18" customHeight="1">
      <c r="A99" s="409"/>
      <c r="B99" s="47" t="s">
        <v>274</v>
      </c>
      <c r="C99" s="168"/>
      <c r="D99" s="410"/>
      <c r="E99" s="7"/>
      <c r="F99" s="7"/>
      <c r="H99" s="389"/>
      <c r="I99" s="164"/>
      <c r="J99" s="164"/>
      <c r="K99" s="164"/>
      <c r="L99" s="164"/>
      <c r="N99" s="389"/>
      <c r="O99" s="28" t="s">
        <v>330</v>
      </c>
      <c r="P99" s="102" t="s">
        <v>138</v>
      </c>
      <c r="Q99" s="919">
        <f>Q8</f>
        <v>50</v>
      </c>
      <c r="R99" s="920"/>
      <c r="S99" s="47" t="s">
        <v>275</v>
      </c>
      <c r="V99" s="10"/>
    </row>
    <row r="100" spans="1:22" ht="18" customHeight="1">
      <c r="A100" s="409"/>
      <c r="B100" s="261" t="s">
        <v>351</v>
      </c>
      <c r="C100" s="168"/>
      <c r="D100" s="410"/>
      <c r="F100" s="123"/>
      <c r="G100" s="28" t="s">
        <v>138</v>
      </c>
      <c r="H100" s="28" t="s">
        <v>352</v>
      </c>
      <c r="I100" s="412" t="s">
        <v>353</v>
      </c>
      <c r="J100" s="28">
        <v>2</v>
      </c>
      <c r="K100" s="28" t="s">
        <v>326</v>
      </c>
      <c r="L100" s="290" t="s">
        <v>329</v>
      </c>
      <c r="M100" s="413" t="s">
        <v>326</v>
      </c>
      <c r="N100" s="230" t="s">
        <v>330</v>
      </c>
      <c r="O100" s="389"/>
      <c r="P100" s="102" t="s">
        <v>138</v>
      </c>
      <c r="Q100" s="644">
        <f>(Q98*1000)/(J100*(22/7)*Q99)</f>
        <v>6.0555971038043657</v>
      </c>
      <c r="R100" s="907"/>
      <c r="S100" s="47" t="s">
        <v>354</v>
      </c>
      <c r="V100" s="10"/>
    </row>
    <row r="101" spans="1:22" ht="18" customHeight="1">
      <c r="A101" s="409"/>
      <c r="B101" s="261"/>
      <c r="C101" s="168"/>
      <c r="D101" s="410"/>
      <c r="F101" s="123"/>
      <c r="G101" s="28"/>
      <c r="H101" s="28"/>
      <c r="I101" s="412"/>
      <c r="J101" s="28"/>
      <c r="K101" s="28"/>
      <c r="L101" s="290"/>
      <c r="M101" s="413"/>
      <c r="N101" s="230"/>
      <c r="O101" s="389"/>
      <c r="P101" s="102"/>
      <c r="Q101" s="230"/>
      <c r="R101" s="482"/>
      <c r="S101" s="47"/>
      <c r="V101" s="10"/>
    </row>
    <row r="102" spans="1:22" ht="18" customHeight="1">
      <c r="A102" s="260" t="s">
        <v>378</v>
      </c>
      <c r="V102" s="10"/>
    </row>
    <row r="103" spans="1:22" ht="18" customHeight="1">
      <c r="A103" s="96" t="s">
        <v>356</v>
      </c>
      <c r="B103" s="168"/>
      <c r="C103" s="167"/>
      <c r="D103" s="167"/>
      <c r="E103" s="432" t="s">
        <v>379</v>
      </c>
      <c r="F103" s="28" t="s">
        <v>138</v>
      </c>
      <c r="G103" s="167"/>
      <c r="H103" s="28" t="s">
        <v>321</v>
      </c>
      <c r="I103" s="102" t="s">
        <v>358</v>
      </c>
      <c r="J103" s="30" t="s">
        <v>380</v>
      </c>
      <c r="K103" s="27" t="s">
        <v>326</v>
      </c>
      <c r="L103" s="14" t="s">
        <v>381</v>
      </c>
      <c r="M103" s="167"/>
      <c r="N103" s="167"/>
      <c r="O103" s="167"/>
      <c r="P103" s="167"/>
      <c r="Q103" s="415"/>
      <c r="R103" s="167"/>
      <c r="S103" s="168"/>
      <c r="V103" s="10"/>
    </row>
    <row r="104" spans="1:22" ht="18" customHeight="1">
      <c r="A104" s="383"/>
      <c r="B104" s="167"/>
      <c r="C104" s="167"/>
      <c r="D104" s="167"/>
      <c r="E104" s="167"/>
      <c r="F104" s="262" t="s">
        <v>359</v>
      </c>
      <c r="G104" s="911">
        <f>N48</f>
        <v>9.5243747571268269E-3</v>
      </c>
      <c r="H104" s="638"/>
      <c r="I104" s="102" t="s">
        <v>306</v>
      </c>
      <c r="J104" s="911">
        <f>Q48</f>
        <v>0.47621873785634034</v>
      </c>
      <c r="K104" s="638"/>
      <c r="L104" s="28" t="s">
        <v>382</v>
      </c>
      <c r="M104" s="27">
        <v>0.8</v>
      </c>
      <c r="N104" s="27" t="s">
        <v>383</v>
      </c>
      <c r="O104" s="918">
        <f>L28</f>
        <v>0.44800000000000001</v>
      </c>
      <c r="P104" s="638"/>
      <c r="Q104" s="102" t="s">
        <v>306</v>
      </c>
      <c r="R104" s="918">
        <f>O28</f>
        <v>0.38</v>
      </c>
      <c r="S104" s="638"/>
      <c r="T104" s="14" t="s">
        <v>361</v>
      </c>
      <c r="V104" s="10"/>
    </row>
    <row r="105" spans="1:22" ht="18" customHeight="1">
      <c r="A105" s="171"/>
      <c r="B105" s="167"/>
      <c r="C105" s="167"/>
      <c r="D105" s="167"/>
      <c r="E105" s="167"/>
      <c r="F105" s="28" t="s">
        <v>138</v>
      </c>
      <c r="G105" s="911">
        <f>G104+(0.8*O104)</f>
        <v>0.36792437475712686</v>
      </c>
      <c r="H105" s="638"/>
      <c r="I105" s="102" t="s">
        <v>362</v>
      </c>
      <c r="J105" s="911">
        <f>J104+(0.8*R104)</f>
        <v>0.78021873785634033</v>
      </c>
      <c r="K105" s="638"/>
      <c r="L105" s="43" t="s">
        <v>344</v>
      </c>
      <c r="M105" s="167"/>
      <c r="N105" s="167"/>
      <c r="O105" s="167"/>
      <c r="P105" s="167"/>
      <c r="Q105" s="167"/>
      <c r="R105" s="167"/>
      <c r="S105" s="168"/>
      <c r="V105" s="10"/>
    </row>
    <row r="106" spans="1:22" ht="18" customHeight="1">
      <c r="A106" s="171"/>
      <c r="B106" s="167"/>
      <c r="C106" s="167"/>
      <c r="D106" s="167"/>
      <c r="E106" s="167"/>
      <c r="F106" s="28" t="s">
        <v>138</v>
      </c>
      <c r="G106" s="916">
        <f>SQRT(G105^2+J105^2)</f>
        <v>0.86261789017070789</v>
      </c>
      <c r="H106" s="638"/>
      <c r="I106" s="290" t="s">
        <v>363</v>
      </c>
      <c r="J106" s="917">
        <f>DEGREES(ATAN(J105/G105))</f>
        <v>64.753044063607746</v>
      </c>
      <c r="K106" s="638"/>
      <c r="L106" s="43" t="s">
        <v>344</v>
      </c>
      <c r="M106" s="167"/>
      <c r="N106" s="167"/>
      <c r="O106" s="167"/>
      <c r="P106" s="167"/>
      <c r="Q106" s="167"/>
      <c r="R106" s="167"/>
      <c r="S106" s="168"/>
      <c r="V106" s="10"/>
    </row>
    <row r="107" spans="1:22" ht="18" customHeight="1">
      <c r="A107" s="171"/>
      <c r="B107" s="167"/>
      <c r="C107" s="167"/>
      <c r="D107" s="167"/>
      <c r="E107" s="120" t="s">
        <v>364</v>
      </c>
      <c r="F107" s="28" t="s">
        <v>138</v>
      </c>
      <c r="G107" s="908">
        <f>J105/G105</f>
        <v>2.1205954032574654</v>
      </c>
      <c r="H107" s="638"/>
      <c r="I107" s="167"/>
      <c r="J107" s="167"/>
      <c r="K107" s="124"/>
      <c r="L107" s="121"/>
      <c r="M107" s="419"/>
      <c r="N107" s="385"/>
      <c r="O107" s="389"/>
      <c r="P107" s="165"/>
      <c r="Q107" s="420"/>
      <c r="R107" s="388"/>
      <c r="S107" s="168"/>
      <c r="V107" s="10"/>
    </row>
    <row r="108" spans="1:22" ht="18" customHeight="1">
      <c r="A108" s="171"/>
      <c r="B108" s="47" t="s">
        <v>384</v>
      </c>
      <c r="C108" s="410"/>
      <c r="D108" s="167"/>
      <c r="E108" s="410"/>
      <c r="F108" s="388"/>
      <c r="G108" s="388"/>
      <c r="H108" s="168"/>
      <c r="I108" s="168"/>
      <c r="J108" s="168"/>
      <c r="K108" s="168"/>
      <c r="L108" s="248" t="s">
        <v>138</v>
      </c>
      <c r="M108" s="909">
        <f>Q33</f>
        <v>33000</v>
      </c>
      <c r="N108" s="909"/>
      <c r="O108" s="241" t="s">
        <v>326</v>
      </c>
      <c r="P108" s="910">
        <f>Q37</f>
        <v>1</v>
      </c>
      <c r="Q108" s="661"/>
      <c r="R108" s="167"/>
      <c r="S108" s="168"/>
      <c r="V108" s="10"/>
    </row>
    <row r="109" spans="1:22" ht="18" customHeight="1">
      <c r="A109" s="171"/>
      <c r="B109" s="168"/>
      <c r="C109" s="410"/>
      <c r="D109" s="388"/>
      <c r="E109" s="410"/>
      <c r="F109" s="388"/>
      <c r="G109" s="388"/>
      <c r="H109" s="168"/>
      <c r="I109" s="168"/>
      <c r="J109" s="168"/>
      <c r="K109" s="168"/>
      <c r="L109" s="248"/>
      <c r="M109" s="911">
        <f>+G106</f>
        <v>0.86261789017070789</v>
      </c>
      <c r="N109" s="911"/>
      <c r="O109" s="28" t="s">
        <v>326</v>
      </c>
      <c r="P109" s="638" t="s">
        <v>366</v>
      </c>
      <c r="Q109" s="638">
        <f>SQRT(3)</f>
        <v>1.7320508075688772</v>
      </c>
      <c r="R109" s="388"/>
      <c r="S109" s="168"/>
      <c r="V109" s="10"/>
    </row>
    <row r="110" spans="1:22" ht="18" customHeight="1">
      <c r="A110" s="171"/>
      <c r="B110" s="168"/>
      <c r="C110" s="410"/>
      <c r="D110" s="388"/>
      <c r="E110" s="410"/>
      <c r="F110" s="388"/>
      <c r="G110" s="388"/>
      <c r="H110" s="168"/>
      <c r="I110" s="168"/>
      <c r="J110" s="168"/>
      <c r="K110" s="168"/>
      <c r="L110" s="102" t="s">
        <v>138</v>
      </c>
      <c r="M110" s="912">
        <f>M108*P108/(M109*SQRT(3))</f>
        <v>22086.904410813047</v>
      </c>
      <c r="N110" s="913"/>
      <c r="O110" s="30" t="s">
        <v>9</v>
      </c>
      <c r="P110" s="121"/>
      <c r="Q110" s="121"/>
      <c r="R110" s="388"/>
      <c r="S110" s="168"/>
      <c r="V110" s="10"/>
    </row>
    <row r="111" spans="1:22" ht="18" customHeight="1">
      <c r="A111" s="171"/>
      <c r="B111" s="168"/>
      <c r="C111" s="410"/>
      <c r="D111" s="388"/>
      <c r="E111" s="410"/>
      <c r="F111" s="388"/>
      <c r="G111" s="388"/>
      <c r="H111" s="168"/>
      <c r="I111" s="168"/>
      <c r="J111" s="168"/>
      <c r="K111" s="168"/>
      <c r="L111" s="169"/>
      <c r="M111" s="433"/>
      <c r="N111" s="433"/>
      <c r="O111" s="121"/>
      <c r="P111" s="121"/>
      <c r="Q111" s="121"/>
      <c r="R111" s="388"/>
      <c r="S111" s="168"/>
      <c r="V111" s="10"/>
    </row>
    <row r="112" spans="1:22" ht="18" customHeight="1">
      <c r="A112" s="205" t="s">
        <v>385</v>
      </c>
      <c r="C112" s="167"/>
      <c r="D112" s="410"/>
      <c r="E112" s="410"/>
      <c r="F112" s="410"/>
      <c r="G112" s="388"/>
      <c r="H112" s="388"/>
      <c r="I112" s="168"/>
      <c r="J112" s="168"/>
      <c r="K112" s="168"/>
      <c r="L112" s="168"/>
      <c r="M112" s="423"/>
      <c r="N112" s="424"/>
      <c r="O112" s="425"/>
      <c r="P112" s="426"/>
      <c r="Q112" s="169"/>
      <c r="R112" s="415"/>
      <c r="S112" s="427"/>
      <c r="V112" s="10"/>
    </row>
    <row r="113" spans="1:22" ht="18" customHeight="1">
      <c r="A113" s="409"/>
      <c r="B113" s="47" t="s">
        <v>368</v>
      </c>
      <c r="C113" s="168"/>
      <c r="D113" s="410"/>
      <c r="F113" s="389"/>
      <c r="G113" s="102" t="s">
        <v>138</v>
      </c>
      <c r="H113" s="28">
        <v>2</v>
      </c>
      <c r="I113" s="28" t="s">
        <v>326</v>
      </c>
      <c r="J113" s="290" t="s">
        <v>329</v>
      </c>
      <c r="K113" s="28" t="s">
        <v>326</v>
      </c>
      <c r="L113" s="28" t="s">
        <v>330</v>
      </c>
      <c r="M113" s="28" t="s">
        <v>326</v>
      </c>
      <c r="N113" s="47" t="s">
        <v>331</v>
      </c>
      <c r="O113" s="389"/>
      <c r="P113" s="175"/>
      <c r="Q113" s="411"/>
      <c r="S113" s="389"/>
      <c r="V113" s="10"/>
    </row>
    <row r="114" spans="1:22" ht="18" customHeight="1">
      <c r="A114" s="409"/>
      <c r="B114" s="47" t="s">
        <v>386</v>
      </c>
      <c r="C114" s="168"/>
      <c r="D114" s="388"/>
      <c r="E114" s="389"/>
      <c r="F114" s="389"/>
      <c r="H114" s="389"/>
      <c r="I114" s="164"/>
      <c r="J114" s="164"/>
      <c r="K114" s="164"/>
      <c r="L114" s="164"/>
      <c r="N114" s="389"/>
      <c r="O114" s="28" t="s">
        <v>333</v>
      </c>
      <c r="P114" s="102" t="s">
        <v>138</v>
      </c>
      <c r="Q114" s="641">
        <f>G107</f>
        <v>2.1205954032574654</v>
      </c>
      <c r="R114" s="641"/>
      <c r="S114" s="385"/>
      <c r="V114" s="10"/>
    </row>
    <row r="115" spans="1:22" ht="18" customHeight="1">
      <c r="A115" s="409"/>
      <c r="B115" s="47" t="s">
        <v>274</v>
      </c>
      <c r="C115" s="168"/>
      <c r="D115" s="410"/>
      <c r="E115" s="7"/>
      <c r="F115" s="7"/>
      <c r="H115" s="389"/>
      <c r="I115" s="164"/>
      <c r="J115" s="164"/>
      <c r="K115" s="164"/>
      <c r="L115" s="164"/>
      <c r="N115" s="389"/>
      <c r="O115" s="28" t="s">
        <v>330</v>
      </c>
      <c r="P115" s="102" t="s">
        <v>138</v>
      </c>
      <c r="Q115" s="906">
        <f>Q8</f>
        <v>50</v>
      </c>
      <c r="R115" s="638"/>
      <c r="S115" s="47" t="s">
        <v>275</v>
      </c>
      <c r="V115" s="10"/>
    </row>
    <row r="116" spans="1:22" ht="18" customHeight="1">
      <c r="A116" s="409"/>
      <c r="B116" s="261" t="s">
        <v>351</v>
      </c>
      <c r="C116" s="168"/>
      <c r="D116" s="410"/>
      <c r="F116" s="123"/>
      <c r="G116" s="28" t="s">
        <v>138</v>
      </c>
      <c r="H116" s="28" t="s">
        <v>352</v>
      </c>
      <c r="I116" s="412" t="s">
        <v>353</v>
      </c>
      <c r="J116" s="28">
        <v>2</v>
      </c>
      <c r="K116" s="28" t="s">
        <v>326</v>
      </c>
      <c r="L116" s="290" t="s">
        <v>329</v>
      </c>
      <c r="M116" s="413" t="s">
        <v>326</v>
      </c>
      <c r="N116" s="230" t="s">
        <v>330</v>
      </c>
      <c r="O116" s="389"/>
      <c r="P116" s="102" t="s">
        <v>138</v>
      </c>
      <c r="Q116" s="644">
        <f>(Q114*1000)/(J116*(22/7)*Q115)</f>
        <v>6.7473490103646627</v>
      </c>
      <c r="R116" s="907"/>
      <c r="S116" s="47" t="s">
        <v>354</v>
      </c>
      <c r="V116" s="10"/>
    </row>
    <row r="117" spans="1:22" ht="18" customHeight="1">
      <c r="A117" s="9"/>
      <c r="V117" s="10"/>
    </row>
    <row r="118" spans="1:22" ht="18" customHeight="1">
      <c r="A118" s="205" t="s">
        <v>387</v>
      </c>
      <c r="V118" s="10"/>
    </row>
    <row r="119" spans="1:22" ht="18" customHeight="1">
      <c r="A119" s="196" t="s">
        <v>371</v>
      </c>
      <c r="E119" s="434" t="s">
        <v>388</v>
      </c>
      <c r="F119" s="28" t="s">
        <v>138</v>
      </c>
      <c r="G119" s="167"/>
      <c r="H119" s="28" t="s">
        <v>321</v>
      </c>
      <c r="I119" s="102" t="s">
        <v>358</v>
      </c>
      <c r="J119" s="30" t="s">
        <v>380</v>
      </c>
      <c r="K119" s="27" t="s">
        <v>389</v>
      </c>
      <c r="L119" s="14" t="s">
        <v>390</v>
      </c>
      <c r="V119" s="10"/>
    </row>
    <row r="120" spans="1:22" ht="18" customHeight="1">
      <c r="A120" s="9"/>
      <c r="F120" s="262" t="s">
        <v>359</v>
      </c>
      <c r="G120" s="911">
        <f>N48</f>
        <v>9.5243747571268269E-3</v>
      </c>
      <c r="H120" s="638"/>
      <c r="I120" s="102" t="s">
        <v>306</v>
      </c>
      <c r="J120" s="911">
        <f>Q48</f>
        <v>0.47621873785634034</v>
      </c>
      <c r="K120" s="638"/>
      <c r="L120" s="28" t="s">
        <v>382</v>
      </c>
      <c r="M120" s="27">
        <v>0.8</v>
      </c>
      <c r="N120" s="27" t="s">
        <v>383</v>
      </c>
      <c r="O120" s="918">
        <f>L29</f>
        <v>0.32</v>
      </c>
      <c r="P120" s="639"/>
      <c r="Q120" s="102" t="s">
        <v>306</v>
      </c>
      <c r="R120" s="918">
        <f>O29</f>
        <v>0.18</v>
      </c>
      <c r="S120" s="639"/>
      <c r="T120" s="14" t="s">
        <v>361</v>
      </c>
      <c r="V120" s="10"/>
    </row>
    <row r="121" spans="1:22" ht="18" customHeight="1">
      <c r="A121" s="171"/>
      <c r="F121" s="28" t="s">
        <v>138</v>
      </c>
      <c r="G121" s="911">
        <f>G120+(0.8*O120)</f>
        <v>0.26552437475712681</v>
      </c>
      <c r="H121" s="638"/>
      <c r="I121" s="102" t="s">
        <v>362</v>
      </c>
      <c r="J121" s="911">
        <f>J120+(0.8*R120)</f>
        <v>0.6202187378563403</v>
      </c>
      <c r="K121" s="638"/>
      <c r="L121" s="43" t="s">
        <v>344</v>
      </c>
      <c r="O121" s="167"/>
      <c r="P121" s="428"/>
      <c r="Q121" s="121"/>
      <c r="R121" s="427"/>
      <c r="V121" s="10"/>
    </row>
    <row r="122" spans="1:22" ht="18" customHeight="1">
      <c r="A122" s="171"/>
      <c r="F122" s="28" t="s">
        <v>138</v>
      </c>
      <c r="G122" s="916">
        <f>SQRT(G121^2+J121^2)</f>
        <v>0.67466619626173274</v>
      </c>
      <c r="H122" s="638"/>
      <c r="I122" s="290" t="s">
        <v>363</v>
      </c>
      <c r="J122" s="917">
        <f>DEGREES(ATAN(J121/G121))</f>
        <v>66.823551103219742</v>
      </c>
      <c r="K122" s="638"/>
      <c r="L122" s="43" t="s">
        <v>344</v>
      </c>
      <c r="M122" s="167"/>
      <c r="N122" s="167"/>
      <c r="O122" s="167"/>
      <c r="P122" s="428"/>
      <c r="Q122" s="121"/>
      <c r="R122" s="427"/>
      <c r="V122" s="10"/>
    </row>
    <row r="123" spans="1:22" ht="18" customHeight="1">
      <c r="A123" s="196" t="s">
        <v>356</v>
      </c>
      <c r="E123" s="434" t="s">
        <v>391</v>
      </c>
      <c r="F123" s="121" t="s">
        <v>138</v>
      </c>
      <c r="G123" s="638" t="s">
        <v>379</v>
      </c>
      <c r="H123" s="638"/>
      <c r="I123" s="102" t="s">
        <v>358</v>
      </c>
      <c r="J123" s="638" t="s">
        <v>392</v>
      </c>
      <c r="K123" s="638"/>
      <c r="L123" s="28" t="s">
        <v>358</v>
      </c>
      <c r="M123" s="638" t="s">
        <v>388</v>
      </c>
      <c r="N123" s="638"/>
      <c r="V123" s="10"/>
    </row>
    <row r="124" spans="1:22" ht="18" customHeight="1">
      <c r="A124" s="9"/>
      <c r="B124" s="262" t="s">
        <v>359</v>
      </c>
      <c r="C124" s="915">
        <f>G105</f>
        <v>0.36792437475712686</v>
      </c>
      <c r="D124" s="639"/>
      <c r="E124" s="203" t="s">
        <v>362</v>
      </c>
      <c r="F124" s="915">
        <f>J105</f>
        <v>0.78021873785634033</v>
      </c>
      <c r="G124" s="639"/>
      <c r="H124" s="27" t="s">
        <v>360</v>
      </c>
      <c r="I124" s="915">
        <f>G105</f>
        <v>0.36792437475712686</v>
      </c>
      <c r="J124" s="639"/>
      <c r="K124" s="203" t="s">
        <v>362</v>
      </c>
      <c r="L124" s="915">
        <f>J105</f>
        <v>0.78021873785634033</v>
      </c>
      <c r="M124" s="639"/>
      <c r="N124" s="27" t="s">
        <v>360</v>
      </c>
      <c r="O124" s="914">
        <f>G121</f>
        <v>0.26552437475712681</v>
      </c>
      <c r="P124" s="639"/>
      <c r="Q124" s="203" t="s">
        <v>362</v>
      </c>
      <c r="R124" s="914">
        <f>J121</f>
        <v>0.6202187378563403</v>
      </c>
      <c r="S124" s="639"/>
      <c r="T124" s="30" t="s">
        <v>361</v>
      </c>
      <c r="V124" s="10"/>
    </row>
    <row r="125" spans="1:22" ht="18" customHeight="1">
      <c r="A125" s="9"/>
      <c r="B125" s="27" t="s">
        <v>138</v>
      </c>
      <c r="C125" s="915">
        <f>C124+I124+O124</f>
        <v>1.0013731242713806</v>
      </c>
      <c r="D125" s="639"/>
      <c r="E125" s="203" t="s">
        <v>362</v>
      </c>
      <c r="F125" s="915">
        <f>F124+L124+R124</f>
        <v>2.1806562135690211</v>
      </c>
      <c r="G125" s="639"/>
      <c r="V125" s="10"/>
    </row>
    <row r="126" spans="1:22" ht="18" customHeight="1">
      <c r="A126" s="9"/>
      <c r="B126" s="28" t="s">
        <v>138</v>
      </c>
      <c r="C126" s="916">
        <f>SQRT(C125^2+F125^2)</f>
        <v>2.3995853091295181</v>
      </c>
      <c r="D126" s="638"/>
      <c r="E126" s="290" t="s">
        <v>363</v>
      </c>
      <c r="F126" s="917">
        <f>DEGREES(ATAN(F125/C125))</f>
        <v>65.335070094744509</v>
      </c>
      <c r="G126" s="638"/>
      <c r="H126" s="435" t="s">
        <v>344</v>
      </c>
      <c r="V126" s="10"/>
    </row>
    <row r="127" spans="1:22" ht="18" customHeight="1">
      <c r="A127" s="9"/>
      <c r="K127" s="120" t="s">
        <v>364</v>
      </c>
      <c r="L127" s="28" t="s">
        <v>138</v>
      </c>
      <c r="M127" s="908">
        <f>F125/C125</f>
        <v>2.1776660075191359</v>
      </c>
      <c r="N127" s="908"/>
      <c r="V127" s="10"/>
    </row>
    <row r="128" spans="1:22" ht="18" customHeight="1">
      <c r="A128" s="9"/>
      <c r="V128" s="10"/>
    </row>
    <row r="129" spans="1:22" ht="18" customHeight="1">
      <c r="A129" s="9"/>
      <c r="B129" s="47" t="s">
        <v>393</v>
      </c>
      <c r="C129" s="410"/>
      <c r="D129" s="167"/>
      <c r="E129" s="410"/>
      <c r="F129" s="388"/>
      <c r="G129" s="388"/>
      <c r="H129" s="168"/>
      <c r="I129" s="168"/>
      <c r="J129" s="168"/>
      <c r="K129" s="168"/>
      <c r="L129" s="169" t="s">
        <v>138</v>
      </c>
      <c r="M129" s="909">
        <f>Q33</f>
        <v>33000</v>
      </c>
      <c r="N129" s="909"/>
      <c r="O129" s="241" t="s">
        <v>326</v>
      </c>
      <c r="P129" s="910">
        <f>Q37</f>
        <v>1</v>
      </c>
      <c r="Q129" s="661"/>
      <c r="R129" s="241" t="s">
        <v>326</v>
      </c>
      <c r="S129" s="241">
        <v>3</v>
      </c>
      <c r="V129" s="10"/>
    </row>
    <row r="130" spans="1:22" ht="18" customHeight="1">
      <c r="A130" s="9"/>
      <c r="B130" s="168"/>
      <c r="C130" s="410"/>
      <c r="D130" s="388"/>
      <c r="E130" s="410"/>
      <c r="F130" s="388"/>
      <c r="G130" s="388"/>
      <c r="H130" s="168"/>
      <c r="I130" s="168"/>
      <c r="J130" s="168"/>
      <c r="K130" s="168"/>
      <c r="L130" s="169"/>
      <c r="M130" s="911">
        <f>+C126</f>
        <v>2.3995853091295181</v>
      </c>
      <c r="N130" s="911"/>
      <c r="O130" s="28" t="s">
        <v>326</v>
      </c>
      <c r="P130" s="638" t="s">
        <v>366</v>
      </c>
      <c r="Q130" s="638">
        <f>SQRT(3)</f>
        <v>1.7320508075688772</v>
      </c>
      <c r="R130" s="388"/>
      <c r="S130" s="168"/>
      <c r="V130" s="10"/>
    </row>
    <row r="131" spans="1:22" ht="18" customHeight="1">
      <c r="A131" s="9"/>
      <c r="L131" s="102" t="s">
        <v>138</v>
      </c>
      <c r="M131" s="912">
        <f>(M129*P129*S129)/(M130*SQRT(3))</f>
        <v>23819.814378888525</v>
      </c>
      <c r="N131" s="913"/>
      <c r="O131" s="30" t="s">
        <v>9</v>
      </c>
      <c r="V131" s="10"/>
    </row>
    <row r="132" spans="1:22" ht="18" customHeight="1">
      <c r="A132" s="9"/>
      <c r="V132" s="10"/>
    </row>
    <row r="133" spans="1:22" ht="18" customHeight="1">
      <c r="A133" s="358"/>
      <c r="B133" s="359"/>
      <c r="C133" s="359"/>
      <c r="D133" s="359"/>
      <c r="E133" s="359"/>
      <c r="F133" s="359"/>
      <c r="G133" s="359"/>
      <c r="H133" s="359"/>
      <c r="I133" s="359"/>
      <c r="J133" s="359"/>
      <c r="K133" s="359"/>
      <c r="L133" s="359"/>
      <c r="M133" s="359"/>
      <c r="N133" s="359"/>
      <c r="O133" s="359"/>
      <c r="P133" s="359"/>
      <c r="Q133" s="359"/>
      <c r="R133" s="359"/>
      <c r="S133" s="359"/>
      <c r="T133" s="359"/>
      <c r="U133" s="359"/>
      <c r="V133" s="360"/>
    </row>
    <row r="134" spans="1:22" ht="18" customHeight="1">
      <c r="A134" s="395"/>
      <c r="B134" s="20"/>
      <c r="C134" s="20"/>
      <c r="D134" s="20"/>
      <c r="E134" s="20"/>
      <c r="F134" s="20"/>
      <c r="G134" s="20"/>
      <c r="H134" s="20"/>
      <c r="I134" s="20"/>
      <c r="J134" s="20"/>
      <c r="K134" s="20"/>
      <c r="L134" s="20"/>
      <c r="M134" s="20"/>
      <c r="N134" s="20"/>
      <c r="O134" s="20"/>
      <c r="P134" s="20"/>
      <c r="Q134" s="21"/>
      <c r="R134" s="22"/>
      <c r="S134" s="23"/>
      <c r="T134" s="20"/>
      <c r="U134" s="20"/>
      <c r="V134" s="140"/>
    </row>
    <row r="135" spans="1:22" ht="18" customHeight="1">
      <c r="A135" s="396" t="s">
        <v>394</v>
      </c>
      <c r="B135" s="397"/>
      <c r="C135" s="362"/>
      <c r="D135" s="398"/>
      <c r="E135" s="398"/>
      <c r="F135" s="398"/>
      <c r="G135" s="399"/>
      <c r="H135" s="399"/>
      <c r="I135" s="400"/>
      <c r="J135" s="400"/>
      <c r="K135" s="400"/>
      <c r="L135" s="400"/>
      <c r="M135" s="401"/>
      <c r="N135" s="402"/>
      <c r="O135" s="403"/>
      <c r="P135" s="404"/>
      <c r="Q135" s="405"/>
      <c r="R135" s="406"/>
      <c r="S135" s="407"/>
      <c r="T135" s="397"/>
      <c r="U135" s="397"/>
      <c r="V135" s="408"/>
    </row>
    <row r="136" spans="1:22" ht="18" customHeight="1">
      <c r="A136" s="409"/>
      <c r="B136" s="47" t="s">
        <v>368</v>
      </c>
      <c r="C136" s="168"/>
      <c r="D136" s="410"/>
      <c r="F136" s="389"/>
      <c r="G136" s="102" t="s">
        <v>138</v>
      </c>
      <c r="H136" s="28">
        <v>2</v>
      </c>
      <c r="I136" s="28" t="s">
        <v>326</v>
      </c>
      <c r="J136" s="290" t="s">
        <v>329</v>
      </c>
      <c r="K136" s="28" t="s">
        <v>326</v>
      </c>
      <c r="L136" s="28" t="s">
        <v>330</v>
      </c>
      <c r="M136" s="28" t="s">
        <v>326</v>
      </c>
      <c r="N136" s="47" t="s">
        <v>331</v>
      </c>
      <c r="O136" s="389"/>
      <c r="P136" s="175"/>
      <c r="Q136" s="411"/>
      <c r="S136" s="389"/>
      <c r="V136" s="10"/>
    </row>
    <row r="137" spans="1:22" ht="18" customHeight="1">
      <c r="A137" s="409"/>
      <c r="B137" s="47" t="s">
        <v>369</v>
      </c>
      <c r="C137" s="168"/>
      <c r="D137" s="388"/>
      <c r="E137" s="389"/>
      <c r="F137" s="389"/>
      <c r="G137" s="30"/>
      <c r="H137" s="389"/>
      <c r="I137" s="164"/>
      <c r="J137" s="164"/>
      <c r="K137" s="164"/>
      <c r="L137" s="164"/>
      <c r="N137" s="389"/>
      <c r="O137" s="28" t="s">
        <v>333</v>
      </c>
      <c r="P137" s="102" t="s">
        <v>138</v>
      </c>
      <c r="Q137" s="641">
        <f>M127</f>
        <v>2.1776660075191359</v>
      </c>
      <c r="R137" s="905"/>
      <c r="S137" s="385"/>
      <c r="V137" s="10"/>
    </row>
    <row r="138" spans="1:22" ht="18" customHeight="1">
      <c r="A138" s="409"/>
      <c r="B138" s="47" t="s">
        <v>274</v>
      </c>
      <c r="C138" s="168"/>
      <c r="D138" s="410"/>
      <c r="E138" s="7"/>
      <c r="F138" s="7"/>
      <c r="G138" s="30"/>
      <c r="H138" s="389"/>
      <c r="I138" s="164"/>
      <c r="J138" s="164"/>
      <c r="K138" s="164"/>
      <c r="L138" s="164"/>
      <c r="N138" s="389"/>
      <c r="O138" s="28" t="s">
        <v>330</v>
      </c>
      <c r="P138" s="102" t="s">
        <v>138</v>
      </c>
      <c r="Q138" s="906">
        <f>Q8</f>
        <v>50</v>
      </c>
      <c r="R138" s="881"/>
      <c r="S138" s="47" t="s">
        <v>275</v>
      </c>
      <c r="V138" s="10"/>
    </row>
    <row r="139" spans="1:22" ht="18" customHeight="1">
      <c r="A139" s="409"/>
      <c r="B139" s="261" t="s">
        <v>351</v>
      </c>
      <c r="C139" s="168"/>
      <c r="D139" s="410"/>
      <c r="F139" s="123"/>
      <c r="G139" s="28" t="s">
        <v>138</v>
      </c>
      <c r="H139" s="28" t="s">
        <v>352</v>
      </c>
      <c r="I139" s="412" t="s">
        <v>353</v>
      </c>
      <c r="J139" s="28">
        <v>2</v>
      </c>
      <c r="K139" s="28" t="s">
        <v>326</v>
      </c>
      <c r="L139" s="290" t="s">
        <v>329</v>
      </c>
      <c r="M139" s="413" t="s">
        <v>326</v>
      </c>
      <c r="N139" s="230" t="s">
        <v>330</v>
      </c>
      <c r="O139" s="103"/>
      <c r="P139" s="102" t="s">
        <v>138</v>
      </c>
      <c r="Q139" s="644">
        <f>(Q137*1000)/(J139*(22/7)*Q138)</f>
        <v>6.9289372966517959</v>
      </c>
      <c r="R139" s="907"/>
      <c r="S139" s="47" t="s">
        <v>354</v>
      </c>
      <c r="V139" s="10"/>
    </row>
    <row r="140" spans="1:22" ht="18" customHeight="1">
      <c r="A140" s="9"/>
      <c r="V140" s="10"/>
    </row>
    <row r="141" spans="1:22" ht="18" customHeight="1">
      <c r="A141" s="9"/>
      <c r="V141" s="10"/>
    </row>
    <row r="142" spans="1:22" ht="18" customHeight="1">
      <c r="A142" s="9"/>
      <c r="V142" s="10"/>
    </row>
    <row r="143" spans="1:22" ht="18" customHeight="1">
      <c r="A143" s="9"/>
      <c r="V143" s="10"/>
    </row>
    <row r="144" spans="1:22" ht="18" customHeight="1">
      <c r="A144" s="9"/>
      <c r="V144" s="10"/>
    </row>
    <row r="145" spans="1:22" ht="18" customHeight="1">
      <c r="A145" s="9"/>
      <c r="V145" s="10"/>
    </row>
    <row r="146" spans="1:22" ht="18" customHeight="1">
      <c r="A146" s="9"/>
      <c r="V146" s="10"/>
    </row>
    <row r="147" spans="1:22" ht="18" customHeight="1">
      <c r="A147" s="9"/>
      <c r="V147" s="10"/>
    </row>
    <row r="148" spans="1:22" ht="18" customHeight="1">
      <c r="A148" s="9"/>
      <c r="V148" s="10"/>
    </row>
    <row r="149" spans="1:22" ht="18" customHeight="1">
      <c r="A149" s="9"/>
      <c r="V149" s="10"/>
    </row>
    <row r="150" spans="1:22" ht="18" customHeight="1">
      <c r="A150" s="9"/>
      <c r="V150" s="10"/>
    </row>
    <row r="151" spans="1:22" ht="18" customHeight="1">
      <c r="A151" s="9"/>
      <c r="V151" s="10"/>
    </row>
    <row r="152" spans="1:22" ht="18" customHeight="1">
      <c r="A152" s="9"/>
      <c r="V152" s="10"/>
    </row>
    <row r="153" spans="1:22" ht="18" customHeight="1">
      <c r="A153" s="9"/>
      <c r="V153" s="10"/>
    </row>
    <row r="154" spans="1:22" ht="18" customHeight="1">
      <c r="A154" s="9"/>
      <c r="V154" s="10"/>
    </row>
    <row r="155" spans="1:22" ht="18" customHeight="1">
      <c r="A155" s="9"/>
      <c r="V155" s="10"/>
    </row>
    <row r="156" spans="1:22" ht="18" customHeight="1">
      <c r="A156" s="9"/>
      <c r="V156" s="10"/>
    </row>
    <row r="157" spans="1:22" ht="18" customHeight="1">
      <c r="A157" s="9"/>
      <c r="V157" s="10"/>
    </row>
    <row r="158" spans="1:22" ht="18" customHeight="1">
      <c r="A158" s="9"/>
      <c r="V158" s="10"/>
    </row>
    <row r="159" spans="1:22" ht="18" customHeight="1">
      <c r="A159" s="9"/>
      <c r="V159" s="10"/>
    </row>
    <row r="160" spans="1:22" ht="18" customHeight="1">
      <c r="A160" s="9"/>
      <c r="V160" s="10"/>
    </row>
    <row r="161" spans="1:22" ht="18" customHeight="1">
      <c r="A161" s="9"/>
      <c r="V161" s="10"/>
    </row>
    <row r="162" spans="1:22" ht="18" customHeight="1">
      <c r="A162" s="9"/>
      <c r="V162" s="10"/>
    </row>
    <row r="163" spans="1:22" ht="18" customHeight="1">
      <c r="A163" s="9"/>
      <c r="V163" s="10"/>
    </row>
    <row r="164" spans="1:22" ht="18" customHeight="1">
      <c r="A164" s="9"/>
      <c r="V164" s="10"/>
    </row>
    <row r="165" spans="1:22" ht="18" customHeight="1">
      <c r="A165" s="9"/>
      <c r="V165" s="10"/>
    </row>
    <row r="166" spans="1:22" ht="18" customHeight="1">
      <c r="A166" s="9"/>
      <c r="V166" s="10"/>
    </row>
    <row r="167" spans="1:22" ht="18" customHeight="1">
      <c r="A167" s="9"/>
      <c r="V167" s="10"/>
    </row>
    <row r="168" spans="1:22" ht="18" customHeight="1">
      <c r="A168" s="9"/>
      <c r="V168" s="10"/>
    </row>
    <row r="169" spans="1:22" ht="18" customHeight="1">
      <c r="A169" s="9"/>
      <c r="V169" s="10"/>
    </row>
    <row r="170" spans="1:22" ht="18" customHeight="1">
      <c r="A170" s="9"/>
      <c r="V170" s="10"/>
    </row>
    <row r="171" spans="1:22" ht="18" customHeight="1">
      <c r="A171" s="9"/>
      <c r="V171" s="10"/>
    </row>
    <row r="172" spans="1:22" ht="18" customHeight="1">
      <c r="A172" s="9"/>
      <c r="V172" s="10"/>
    </row>
    <row r="173" spans="1:22" ht="18" customHeight="1">
      <c r="A173" s="358"/>
      <c r="B173" s="359"/>
      <c r="C173" s="359"/>
      <c r="D173" s="359"/>
      <c r="E173" s="359"/>
      <c r="F173" s="359"/>
      <c r="G173" s="359"/>
      <c r="H173" s="359"/>
      <c r="I173" s="359"/>
      <c r="J173" s="359"/>
      <c r="K173" s="359"/>
      <c r="L173" s="359"/>
      <c r="M173" s="359"/>
      <c r="N173" s="359"/>
      <c r="O173" s="359"/>
      <c r="P173" s="359"/>
      <c r="Q173" s="359"/>
      <c r="R173" s="359"/>
      <c r="S173" s="359"/>
      <c r="T173" s="359"/>
      <c r="U173" s="359"/>
      <c r="V173" s="360"/>
    </row>
    <row r="174" spans="1:22" ht="18" customHeight="1">
      <c r="A174" s="395"/>
      <c r="B174" s="20"/>
      <c r="C174" s="20"/>
      <c r="D174" s="20"/>
      <c r="E174" s="20"/>
      <c r="F174" s="20"/>
      <c r="G174" s="20"/>
      <c r="H174" s="20"/>
      <c r="I174" s="20"/>
      <c r="J174" s="20"/>
      <c r="K174" s="20"/>
      <c r="L174" s="20"/>
      <c r="M174" s="20"/>
      <c r="N174" s="20"/>
      <c r="O174" s="20"/>
      <c r="P174" s="20"/>
      <c r="Q174" s="21"/>
      <c r="R174" s="22"/>
      <c r="S174" s="23"/>
      <c r="T174" s="20"/>
      <c r="U174" s="20"/>
      <c r="V174" s="140"/>
    </row>
  </sheetData>
  <mergeCells count="153">
    <mergeCell ref="E51:F51"/>
    <mergeCell ref="H51:I51"/>
    <mergeCell ref="J51:K51"/>
    <mergeCell ref="E52:F52"/>
    <mergeCell ref="Q8:R8"/>
    <mergeCell ref="Q9:R9"/>
    <mergeCell ref="Q10:R10"/>
    <mergeCell ref="Q11:R11"/>
    <mergeCell ref="Q12:R12"/>
    <mergeCell ref="Q13:R13"/>
    <mergeCell ref="Q24:R24"/>
    <mergeCell ref="L26:M26"/>
    <mergeCell ref="O26:P26"/>
    <mergeCell ref="L27:M27"/>
    <mergeCell ref="O27:P27"/>
    <mergeCell ref="L28:M28"/>
    <mergeCell ref="O28:P28"/>
    <mergeCell ref="Q14:R14"/>
    <mergeCell ref="J17:K17"/>
    <mergeCell ref="Q20:R20"/>
    <mergeCell ref="Q21:R21"/>
    <mergeCell ref="Q22:R22"/>
    <mergeCell ref="Q23:R23"/>
    <mergeCell ref="Q37:R37"/>
    <mergeCell ref="O4:Q4"/>
    <mergeCell ref="R4:V4"/>
    <mergeCell ref="A5:B5"/>
    <mergeCell ref="D5:F5"/>
    <mergeCell ref="H5:N5"/>
    <mergeCell ref="O5:Q5"/>
    <mergeCell ref="R5:V5"/>
    <mergeCell ref="A1:G4"/>
    <mergeCell ref="H1:N1"/>
    <mergeCell ref="O1:Q1"/>
    <mergeCell ref="R1:V1"/>
    <mergeCell ref="O2:Q2"/>
    <mergeCell ref="R2:V2"/>
    <mergeCell ref="O3:Q3"/>
    <mergeCell ref="R3:V3"/>
    <mergeCell ref="H2:N4"/>
    <mergeCell ref="Q38:R38"/>
    <mergeCell ref="Z38:AA38"/>
    <mergeCell ref="Q39:R39"/>
    <mergeCell ref="Q40:R40"/>
    <mergeCell ref="Q41:R41"/>
    <mergeCell ref="L29:M29"/>
    <mergeCell ref="O29:P29"/>
    <mergeCell ref="Q32:R32"/>
    <mergeCell ref="Q33:R33"/>
    <mergeCell ref="Q34:R34"/>
    <mergeCell ref="Q35:R35"/>
    <mergeCell ref="Q57:R57"/>
    <mergeCell ref="Q58:R58"/>
    <mergeCell ref="Q59:R59"/>
    <mergeCell ref="G63:H63"/>
    <mergeCell ref="J63:K63"/>
    <mergeCell ref="M63:N63"/>
    <mergeCell ref="P63:Q63"/>
    <mergeCell ref="Q42:R42"/>
    <mergeCell ref="Q43:R43"/>
    <mergeCell ref="Q44:R44"/>
    <mergeCell ref="Q46:R46"/>
    <mergeCell ref="Q47:R47"/>
    <mergeCell ref="N48:O48"/>
    <mergeCell ref="Q48:R48"/>
    <mergeCell ref="P50:Q50"/>
    <mergeCell ref="P68:Q68"/>
    <mergeCell ref="M69:N69"/>
    <mergeCell ref="P69:Q69"/>
    <mergeCell ref="M70:N70"/>
    <mergeCell ref="Q74:R74"/>
    <mergeCell ref="Q75:R75"/>
    <mergeCell ref="G64:H64"/>
    <mergeCell ref="J64:K64"/>
    <mergeCell ref="G66:H66"/>
    <mergeCell ref="J66:K66"/>
    <mergeCell ref="G67:H67"/>
    <mergeCell ref="M68:N68"/>
    <mergeCell ref="G82:H82"/>
    <mergeCell ref="J82:K82"/>
    <mergeCell ref="C85:D85"/>
    <mergeCell ref="F85:G85"/>
    <mergeCell ref="I85:J85"/>
    <mergeCell ref="L85:M85"/>
    <mergeCell ref="Q76:R76"/>
    <mergeCell ref="G80:H80"/>
    <mergeCell ref="J80:K80"/>
    <mergeCell ref="M80:N80"/>
    <mergeCell ref="P80:Q80"/>
    <mergeCell ref="G81:H81"/>
    <mergeCell ref="J81:K81"/>
    <mergeCell ref="M89:N89"/>
    <mergeCell ref="P89:Q89"/>
    <mergeCell ref="M90:N90"/>
    <mergeCell ref="P90:Q90"/>
    <mergeCell ref="M91:N91"/>
    <mergeCell ref="Q98:R98"/>
    <mergeCell ref="O85:P85"/>
    <mergeCell ref="R85:S85"/>
    <mergeCell ref="C86:D86"/>
    <mergeCell ref="F86:G86"/>
    <mergeCell ref="C87:D87"/>
    <mergeCell ref="F87:G87"/>
    <mergeCell ref="P87:Q87"/>
    <mergeCell ref="G105:H105"/>
    <mergeCell ref="J105:K105"/>
    <mergeCell ref="G106:H106"/>
    <mergeCell ref="J106:K106"/>
    <mergeCell ref="G107:H107"/>
    <mergeCell ref="M108:N108"/>
    <mergeCell ref="Q99:R99"/>
    <mergeCell ref="Q100:R100"/>
    <mergeCell ref="G104:H104"/>
    <mergeCell ref="J104:K104"/>
    <mergeCell ref="O104:P104"/>
    <mergeCell ref="R104:S104"/>
    <mergeCell ref="Q116:R116"/>
    <mergeCell ref="G120:H120"/>
    <mergeCell ref="J120:K120"/>
    <mergeCell ref="O120:P120"/>
    <mergeCell ref="R120:S120"/>
    <mergeCell ref="G121:H121"/>
    <mergeCell ref="J121:K121"/>
    <mergeCell ref="P108:Q108"/>
    <mergeCell ref="M109:N109"/>
    <mergeCell ref="P109:Q109"/>
    <mergeCell ref="M110:N110"/>
    <mergeCell ref="Q114:R114"/>
    <mergeCell ref="Q115:R115"/>
    <mergeCell ref="O124:P124"/>
    <mergeCell ref="R124:S124"/>
    <mergeCell ref="C125:D125"/>
    <mergeCell ref="F125:G125"/>
    <mergeCell ref="C126:D126"/>
    <mergeCell ref="F126:G126"/>
    <mergeCell ref="G122:H122"/>
    <mergeCell ref="J122:K122"/>
    <mergeCell ref="G123:H123"/>
    <mergeCell ref="J123:K123"/>
    <mergeCell ref="M123:N123"/>
    <mergeCell ref="C124:D124"/>
    <mergeCell ref="F124:G124"/>
    <mergeCell ref="I124:J124"/>
    <mergeCell ref="L124:M124"/>
    <mergeCell ref="Q137:R137"/>
    <mergeCell ref="Q138:R138"/>
    <mergeCell ref="Q139:R139"/>
    <mergeCell ref="M127:N127"/>
    <mergeCell ref="M129:N129"/>
    <mergeCell ref="P129:Q129"/>
    <mergeCell ref="M130:N130"/>
    <mergeCell ref="P130:Q130"/>
    <mergeCell ref="M131:N131"/>
  </mergeCells>
  <dataValidations disablePrompts="1" count="1">
    <dataValidation type="list" allowBlank="1" showInputMessage="1" showErrorMessage="1" sqref="G17 JC17 SY17 ACU17 AMQ17 AWM17 BGI17 BQE17 CAA17 CJW17 CTS17 DDO17 DNK17 DXG17 EHC17 EQY17 FAU17 FKQ17 FUM17 GEI17 GOE17 GYA17 HHW17 HRS17 IBO17 ILK17 IVG17 JFC17 JOY17 JYU17 KIQ17 KSM17 LCI17 LME17 LWA17 MFW17 MPS17 MZO17 NJK17 NTG17 ODC17 OMY17 OWU17 PGQ17 PQM17 QAI17 QKE17 QUA17 RDW17 RNS17 RXO17 SHK17 SRG17 TBC17 TKY17 TUU17 UEQ17 UOM17 UYI17 VIE17 VSA17 WBW17 WLS17 WVO17 G65587 JC65587 SY65587 ACU65587 AMQ65587 AWM65587 BGI65587 BQE65587 CAA65587 CJW65587 CTS65587 DDO65587 DNK65587 DXG65587 EHC65587 EQY65587 FAU65587 FKQ65587 FUM65587 GEI65587 GOE65587 GYA65587 HHW65587 HRS65587 IBO65587 ILK65587 IVG65587 JFC65587 JOY65587 JYU65587 KIQ65587 KSM65587 LCI65587 LME65587 LWA65587 MFW65587 MPS65587 MZO65587 NJK65587 NTG65587 ODC65587 OMY65587 OWU65587 PGQ65587 PQM65587 QAI65587 QKE65587 QUA65587 RDW65587 RNS65587 RXO65587 SHK65587 SRG65587 TBC65587 TKY65587 TUU65587 UEQ65587 UOM65587 UYI65587 VIE65587 VSA65587 WBW65587 WLS65587 WVO65587 G131123 JC131123 SY131123 ACU131123 AMQ131123 AWM131123 BGI131123 BQE131123 CAA131123 CJW131123 CTS131123 DDO131123 DNK131123 DXG131123 EHC131123 EQY131123 FAU131123 FKQ131123 FUM131123 GEI131123 GOE131123 GYA131123 HHW131123 HRS131123 IBO131123 ILK131123 IVG131123 JFC131123 JOY131123 JYU131123 KIQ131123 KSM131123 LCI131123 LME131123 LWA131123 MFW131123 MPS131123 MZO131123 NJK131123 NTG131123 ODC131123 OMY131123 OWU131123 PGQ131123 PQM131123 QAI131123 QKE131123 QUA131123 RDW131123 RNS131123 RXO131123 SHK131123 SRG131123 TBC131123 TKY131123 TUU131123 UEQ131123 UOM131123 UYI131123 VIE131123 VSA131123 WBW131123 WLS131123 WVO131123 G196659 JC196659 SY196659 ACU196659 AMQ196659 AWM196659 BGI196659 BQE196659 CAA196659 CJW196659 CTS196659 DDO196659 DNK196659 DXG196659 EHC196659 EQY196659 FAU196659 FKQ196659 FUM196659 GEI196659 GOE196659 GYA196659 HHW196659 HRS196659 IBO196659 ILK196659 IVG196659 JFC196659 JOY196659 JYU196659 KIQ196659 KSM196659 LCI196659 LME196659 LWA196659 MFW196659 MPS196659 MZO196659 NJK196659 NTG196659 ODC196659 OMY196659 OWU196659 PGQ196659 PQM196659 QAI196659 QKE196659 QUA196659 RDW196659 RNS196659 RXO196659 SHK196659 SRG196659 TBC196659 TKY196659 TUU196659 UEQ196659 UOM196659 UYI196659 VIE196659 VSA196659 WBW196659 WLS196659 WVO196659 G262195 JC262195 SY262195 ACU262195 AMQ262195 AWM262195 BGI262195 BQE262195 CAA262195 CJW262195 CTS262195 DDO262195 DNK262195 DXG262195 EHC262195 EQY262195 FAU262195 FKQ262195 FUM262195 GEI262195 GOE262195 GYA262195 HHW262195 HRS262195 IBO262195 ILK262195 IVG262195 JFC262195 JOY262195 JYU262195 KIQ262195 KSM262195 LCI262195 LME262195 LWA262195 MFW262195 MPS262195 MZO262195 NJK262195 NTG262195 ODC262195 OMY262195 OWU262195 PGQ262195 PQM262195 QAI262195 QKE262195 QUA262195 RDW262195 RNS262195 RXO262195 SHK262195 SRG262195 TBC262195 TKY262195 TUU262195 UEQ262195 UOM262195 UYI262195 VIE262195 VSA262195 WBW262195 WLS262195 WVO262195 G327731 JC327731 SY327731 ACU327731 AMQ327731 AWM327731 BGI327731 BQE327731 CAA327731 CJW327731 CTS327731 DDO327731 DNK327731 DXG327731 EHC327731 EQY327731 FAU327731 FKQ327731 FUM327731 GEI327731 GOE327731 GYA327731 HHW327731 HRS327731 IBO327731 ILK327731 IVG327731 JFC327731 JOY327731 JYU327731 KIQ327731 KSM327731 LCI327731 LME327731 LWA327731 MFW327731 MPS327731 MZO327731 NJK327731 NTG327731 ODC327731 OMY327731 OWU327731 PGQ327731 PQM327731 QAI327731 QKE327731 QUA327731 RDW327731 RNS327731 RXO327731 SHK327731 SRG327731 TBC327731 TKY327731 TUU327731 UEQ327731 UOM327731 UYI327731 VIE327731 VSA327731 WBW327731 WLS327731 WVO327731 G393267 JC393267 SY393267 ACU393267 AMQ393267 AWM393267 BGI393267 BQE393267 CAA393267 CJW393267 CTS393267 DDO393267 DNK393267 DXG393267 EHC393267 EQY393267 FAU393267 FKQ393267 FUM393267 GEI393267 GOE393267 GYA393267 HHW393267 HRS393267 IBO393267 ILK393267 IVG393267 JFC393267 JOY393267 JYU393267 KIQ393267 KSM393267 LCI393267 LME393267 LWA393267 MFW393267 MPS393267 MZO393267 NJK393267 NTG393267 ODC393267 OMY393267 OWU393267 PGQ393267 PQM393267 QAI393267 QKE393267 QUA393267 RDW393267 RNS393267 RXO393267 SHK393267 SRG393267 TBC393267 TKY393267 TUU393267 UEQ393267 UOM393267 UYI393267 VIE393267 VSA393267 WBW393267 WLS393267 WVO393267 G458803 JC458803 SY458803 ACU458803 AMQ458803 AWM458803 BGI458803 BQE458803 CAA458803 CJW458803 CTS458803 DDO458803 DNK458803 DXG458803 EHC458803 EQY458803 FAU458803 FKQ458803 FUM458803 GEI458803 GOE458803 GYA458803 HHW458803 HRS458803 IBO458803 ILK458803 IVG458803 JFC458803 JOY458803 JYU458803 KIQ458803 KSM458803 LCI458803 LME458803 LWA458803 MFW458803 MPS458803 MZO458803 NJK458803 NTG458803 ODC458803 OMY458803 OWU458803 PGQ458803 PQM458803 QAI458803 QKE458803 QUA458803 RDW458803 RNS458803 RXO458803 SHK458803 SRG458803 TBC458803 TKY458803 TUU458803 UEQ458803 UOM458803 UYI458803 VIE458803 VSA458803 WBW458803 WLS458803 WVO458803 G524339 JC524339 SY524339 ACU524339 AMQ524339 AWM524339 BGI524339 BQE524339 CAA524339 CJW524339 CTS524339 DDO524339 DNK524339 DXG524339 EHC524339 EQY524339 FAU524339 FKQ524339 FUM524339 GEI524339 GOE524339 GYA524339 HHW524339 HRS524339 IBO524339 ILK524339 IVG524339 JFC524339 JOY524339 JYU524339 KIQ524339 KSM524339 LCI524339 LME524339 LWA524339 MFW524339 MPS524339 MZO524339 NJK524339 NTG524339 ODC524339 OMY524339 OWU524339 PGQ524339 PQM524339 QAI524339 QKE524339 QUA524339 RDW524339 RNS524339 RXO524339 SHK524339 SRG524339 TBC524339 TKY524339 TUU524339 UEQ524339 UOM524339 UYI524339 VIE524339 VSA524339 WBW524339 WLS524339 WVO524339 G589875 JC589875 SY589875 ACU589875 AMQ589875 AWM589875 BGI589875 BQE589875 CAA589875 CJW589875 CTS589875 DDO589875 DNK589875 DXG589875 EHC589875 EQY589875 FAU589875 FKQ589875 FUM589875 GEI589875 GOE589875 GYA589875 HHW589875 HRS589875 IBO589875 ILK589875 IVG589875 JFC589875 JOY589875 JYU589875 KIQ589875 KSM589875 LCI589875 LME589875 LWA589875 MFW589875 MPS589875 MZO589875 NJK589875 NTG589875 ODC589875 OMY589875 OWU589875 PGQ589875 PQM589875 QAI589875 QKE589875 QUA589875 RDW589875 RNS589875 RXO589875 SHK589875 SRG589875 TBC589875 TKY589875 TUU589875 UEQ589875 UOM589875 UYI589875 VIE589875 VSA589875 WBW589875 WLS589875 WVO589875 G655411 JC655411 SY655411 ACU655411 AMQ655411 AWM655411 BGI655411 BQE655411 CAA655411 CJW655411 CTS655411 DDO655411 DNK655411 DXG655411 EHC655411 EQY655411 FAU655411 FKQ655411 FUM655411 GEI655411 GOE655411 GYA655411 HHW655411 HRS655411 IBO655411 ILK655411 IVG655411 JFC655411 JOY655411 JYU655411 KIQ655411 KSM655411 LCI655411 LME655411 LWA655411 MFW655411 MPS655411 MZO655411 NJK655411 NTG655411 ODC655411 OMY655411 OWU655411 PGQ655411 PQM655411 QAI655411 QKE655411 QUA655411 RDW655411 RNS655411 RXO655411 SHK655411 SRG655411 TBC655411 TKY655411 TUU655411 UEQ655411 UOM655411 UYI655411 VIE655411 VSA655411 WBW655411 WLS655411 WVO655411 G720947 JC720947 SY720947 ACU720947 AMQ720947 AWM720947 BGI720947 BQE720947 CAA720947 CJW720947 CTS720947 DDO720947 DNK720947 DXG720947 EHC720947 EQY720947 FAU720947 FKQ720947 FUM720947 GEI720947 GOE720947 GYA720947 HHW720947 HRS720947 IBO720947 ILK720947 IVG720947 JFC720947 JOY720947 JYU720947 KIQ720947 KSM720947 LCI720947 LME720947 LWA720947 MFW720947 MPS720947 MZO720947 NJK720947 NTG720947 ODC720947 OMY720947 OWU720947 PGQ720947 PQM720947 QAI720947 QKE720947 QUA720947 RDW720947 RNS720947 RXO720947 SHK720947 SRG720947 TBC720947 TKY720947 TUU720947 UEQ720947 UOM720947 UYI720947 VIE720947 VSA720947 WBW720947 WLS720947 WVO720947 G786483 JC786483 SY786483 ACU786483 AMQ786483 AWM786483 BGI786483 BQE786483 CAA786483 CJW786483 CTS786483 DDO786483 DNK786483 DXG786483 EHC786483 EQY786483 FAU786483 FKQ786483 FUM786483 GEI786483 GOE786483 GYA786483 HHW786483 HRS786483 IBO786483 ILK786483 IVG786483 JFC786483 JOY786483 JYU786483 KIQ786483 KSM786483 LCI786483 LME786483 LWA786483 MFW786483 MPS786483 MZO786483 NJK786483 NTG786483 ODC786483 OMY786483 OWU786483 PGQ786483 PQM786483 QAI786483 QKE786483 QUA786483 RDW786483 RNS786483 RXO786483 SHK786483 SRG786483 TBC786483 TKY786483 TUU786483 UEQ786483 UOM786483 UYI786483 VIE786483 VSA786483 WBW786483 WLS786483 WVO786483 G852019 JC852019 SY852019 ACU852019 AMQ852019 AWM852019 BGI852019 BQE852019 CAA852019 CJW852019 CTS852019 DDO852019 DNK852019 DXG852019 EHC852019 EQY852019 FAU852019 FKQ852019 FUM852019 GEI852019 GOE852019 GYA852019 HHW852019 HRS852019 IBO852019 ILK852019 IVG852019 JFC852019 JOY852019 JYU852019 KIQ852019 KSM852019 LCI852019 LME852019 LWA852019 MFW852019 MPS852019 MZO852019 NJK852019 NTG852019 ODC852019 OMY852019 OWU852019 PGQ852019 PQM852019 QAI852019 QKE852019 QUA852019 RDW852019 RNS852019 RXO852019 SHK852019 SRG852019 TBC852019 TKY852019 TUU852019 UEQ852019 UOM852019 UYI852019 VIE852019 VSA852019 WBW852019 WLS852019 WVO852019 G917555 JC917555 SY917555 ACU917555 AMQ917555 AWM917555 BGI917555 BQE917555 CAA917555 CJW917555 CTS917555 DDO917555 DNK917555 DXG917555 EHC917555 EQY917555 FAU917555 FKQ917555 FUM917555 GEI917555 GOE917555 GYA917555 HHW917555 HRS917555 IBO917555 ILK917555 IVG917555 JFC917555 JOY917555 JYU917555 KIQ917555 KSM917555 LCI917555 LME917555 LWA917555 MFW917555 MPS917555 MZO917555 NJK917555 NTG917555 ODC917555 OMY917555 OWU917555 PGQ917555 PQM917555 QAI917555 QKE917555 QUA917555 RDW917555 RNS917555 RXO917555 SHK917555 SRG917555 TBC917555 TKY917555 TUU917555 UEQ917555 UOM917555 UYI917555 VIE917555 VSA917555 WBW917555 WLS917555 WVO917555 G983091 JC983091 SY983091 ACU983091 AMQ983091 AWM983091 BGI983091 BQE983091 CAA983091 CJW983091 CTS983091 DDO983091 DNK983091 DXG983091 EHC983091 EQY983091 FAU983091 FKQ983091 FUM983091 GEI983091 GOE983091 GYA983091 HHW983091 HRS983091 IBO983091 ILK983091 IVG983091 JFC983091 JOY983091 JYU983091 KIQ983091 KSM983091 LCI983091 LME983091 LWA983091 MFW983091 MPS983091 MZO983091 NJK983091 NTG983091 ODC983091 OMY983091 OWU983091 PGQ983091 PQM983091 QAI983091 QKE983091 QUA983091 RDW983091 RNS983091 RXO983091 SHK983091 SRG983091 TBC983091 TKY983091 TUU983091 UEQ983091 UOM983091 UYI983091 VIE983091 VSA983091 WBW983091 WLS983091 WVO983091" xr:uid="{2C668121-74C7-4F94-B841-81E6CF206727}">
      <formula1>"AL, CU,"</formula1>
    </dataValidation>
  </dataValidations>
  <printOptions horizontalCentered="1" verticalCentered="1"/>
  <pageMargins left="0.5" right="0.5" top="0.5" bottom="0.5" header="0" footer="0"/>
  <pageSetup paperSize="9" scale="90" orientation="portrait" r:id="rId1"/>
  <headerFooter alignWithMargins="0"/>
  <rowBreaks count="3" manualBreakCount="3">
    <brk id="54" max="21" man="1"/>
    <brk id="94" max="21" man="1"/>
    <brk id="134"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5121"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913AF-9661-4DE4-91E4-F3683338A077}">
  <sheetPr codeName="Sheet227">
    <tabColor rgb="FF99CCFF"/>
  </sheetPr>
  <dimension ref="A1:Y44"/>
  <sheetViews>
    <sheetView view="pageBreakPreview" zoomScale="115" zoomScaleNormal="100" zoomScaleSheetLayoutView="115"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938" t="s">
        <v>847</v>
      </c>
      <c r="F22" s="938"/>
      <c r="G22" s="938"/>
      <c r="H22" s="938"/>
      <c r="I22" s="938"/>
      <c r="J22" s="938"/>
      <c r="K22" s="938"/>
      <c r="L22" s="938"/>
      <c r="M22" s="938"/>
      <c r="N22" s="938"/>
      <c r="O22" s="938"/>
      <c r="P22" s="938"/>
      <c r="Q22" s="938"/>
      <c r="R22" s="938"/>
      <c r="S22" s="27"/>
      <c r="T22" s="27"/>
      <c r="U22" s="27"/>
      <c r="V22" s="189"/>
      <c r="W22" s="27"/>
      <c r="X22" s="27"/>
    </row>
    <row r="23" spans="1:24" ht="18" customHeight="1">
      <c r="A23" s="69"/>
      <c r="B23" s="27"/>
      <c r="C23" s="27"/>
      <c r="D23" s="27"/>
      <c r="E23" s="938"/>
      <c r="F23" s="938"/>
      <c r="G23" s="938"/>
      <c r="H23" s="938"/>
      <c r="I23" s="938"/>
      <c r="J23" s="938"/>
      <c r="K23" s="938"/>
      <c r="L23" s="938"/>
      <c r="M23" s="938"/>
      <c r="N23" s="938"/>
      <c r="O23" s="938"/>
      <c r="P23" s="938"/>
      <c r="Q23" s="938"/>
      <c r="R23" s="938"/>
      <c r="S23" s="27"/>
      <c r="T23" s="27"/>
      <c r="U23" s="27"/>
      <c r="V23" s="189"/>
      <c r="W23" s="27"/>
      <c r="X23" s="27"/>
    </row>
    <row r="24" spans="1:24" ht="18" customHeight="1">
      <c r="A24" s="69"/>
      <c r="C24" s="190"/>
      <c r="D24" s="190"/>
      <c r="E24" s="938"/>
      <c r="F24" s="938"/>
      <c r="G24" s="938"/>
      <c r="H24" s="938"/>
      <c r="I24" s="938"/>
      <c r="J24" s="938"/>
      <c r="K24" s="938"/>
      <c r="L24" s="938"/>
      <c r="M24" s="938"/>
      <c r="N24" s="938"/>
      <c r="O24" s="938"/>
      <c r="P24" s="938"/>
      <c r="Q24" s="938"/>
      <c r="R24" s="938"/>
      <c r="S24" s="4"/>
      <c r="T24" s="4"/>
      <c r="U24" s="4"/>
      <c r="V24" s="71"/>
      <c r="W24" s="4"/>
      <c r="X24" s="4"/>
    </row>
    <row r="25" spans="1:24" ht="18" customHeight="1">
      <c r="A25" s="69"/>
      <c r="B25" s="26"/>
      <c r="C25" s="4"/>
      <c r="D25" s="73"/>
      <c r="E25" s="938"/>
      <c r="F25" s="938"/>
      <c r="G25" s="938"/>
      <c r="H25" s="938"/>
      <c r="I25" s="938"/>
      <c r="J25" s="938"/>
      <c r="K25" s="938"/>
      <c r="L25" s="938"/>
      <c r="M25" s="938"/>
      <c r="N25" s="938"/>
      <c r="O25" s="938"/>
      <c r="P25" s="938"/>
      <c r="Q25" s="938"/>
      <c r="R25" s="938"/>
      <c r="S25" s="4"/>
      <c r="T25" s="4"/>
      <c r="U25" s="4"/>
      <c r="V25" s="71"/>
      <c r="W25" s="4"/>
      <c r="X25" s="4"/>
    </row>
    <row r="26" spans="1:24" ht="18" customHeight="1">
      <c r="A26" s="69"/>
      <c r="E26" s="938"/>
      <c r="F26" s="938"/>
      <c r="G26" s="938"/>
      <c r="H26" s="938"/>
      <c r="I26" s="938"/>
      <c r="J26" s="938"/>
      <c r="K26" s="938"/>
      <c r="L26" s="938"/>
      <c r="M26" s="938"/>
      <c r="N26" s="938"/>
      <c r="O26" s="938"/>
      <c r="P26" s="938"/>
      <c r="Q26" s="938"/>
      <c r="R26" s="938"/>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6"/>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409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39F9A-931E-4F14-BC52-E09E61FBE6B4}">
  <sheetPr>
    <tabColor rgb="FFFFFF00"/>
  </sheetPr>
  <dimension ref="A1:AA134"/>
  <sheetViews>
    <sheetView showZeros="0" view="pageBreakPreview" zoomScale="114" zoomScaleNormal="100" zoomScaleSheetLayoutView="130" workbookViewId="0">
      <selection activeCell="L70" sqref="L70"/>
    </sheetView>
  </sheetViews>
  <sheetFormatPr defaultColWidth="4.33203125" defaultRowHeight="18" customHeight="1"/>
  <cols>
    <col min="1" max="9" width="4.33203125" style="30"/>
    <col min="10" max="10" width="4.33203125" style="30" customWidth="1"/>
    <col min="11" max="12" width="4.33203125" style="30"/>
    <col min="13" max="13" width="4.33203125" style="30" customWidth="1"/>
    <col min="14" max="14" width="8.5546875" style="30" bestFit="1" customWidth="1"/>
    <col min="15" max="15" width="4.33203125" style="30" customWidth="1"/>
    <col min="16" max="16" width="4.33203125" style="30"/>
    <col min="17" max="17" width="4.5546875" style="30" bestFit="1" customWidth="1"/>
    <col min="18" max="18" width="4.33203125" style="30"/>
    <col min="19" max="19" width="4.5546875" style="30" bestFit="1" customWidth="1"/>
    <col min="20" max="16384" width="4.33203125" style="30"/>
  </cols>
  <sheetData>
    <row r="1" spans="1:24"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Title!H2</f>
        <v>ADEQUACY CHECK</v>
      </c>
      <c r="I2" s="730"/>
      <c r="J2" s="730"/>
      <c r="K2" s="730"/>
      <c r="L2" s="730"/>
      <c r="M2" s="730"/>
      <c r="N2" s="731"/>
      <c r="O2" s="702" t="str">
        <f>Title!O2</f>
        <v>Date</v>
      </c>
      <c r="P2" s="703"/>
      <c r="Q2" s="704"/>
      <c r="R2" s="732">
        <f>Title!R2</f>
        <v>46106</v>
      </c>
      <c r="S2" s="706"/>
      <c r="T2" s="706"/>
      <c r="U2" s="706"/>
      <c r="V2" s="707"/>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14"/>
      <c r="X4" s="14"/>
    </row>
    <row r="5" spans="1:24" ht="18" customHeight="1">
      <c r="A5" s="708" t="str">
        <f>Title!A5</f>
        <v>Prep. By</v>
      </c>
      <c r="B5" s="709"/>
      <c r="C5" s="25" t="str">
        <f>Title!C5</f>
        <v>AP</v>
      </c>
      <c r="D5" s="708" t="str">
        <f>Title!D5</f>
        <v>Checked By</v>
      </c>
      <c r="E5" s="710"/>
      <c r="F5" s="709"/>
      <c r="G5" s="25" t="str">
        <f>Title!G5</f>
        <v>RB</v>
      </c>
      <c r="H5" s="711" t="s">
        <v>916</v>
      </c>
      <c r="I5" s="712"/>
      <c r="J5" s="712"/>
      <c r="K5" s="712"/>
      <c r="L5" s="712"/>
      <c r="M5" s="712"/>
      <c r="N5" s="713"/>
      <c r="O5" s="714" t="str">
        <f>Title!O5</f>
        <v>Contractor</v>
      </c>
      <c r="P5" s="715"/>
      <c r="Q5" s="716"/>
      <c r="R5" s="705" t="str">
        <f>Title!R5</f>
        <v>HITACHI</v>
      </c>
      <c r="S5" s="706"/>
      <c r="T5" s="706"/>
      <c r="U5" s="706"/>
      <c r="V5" s="707"/>
      <c r="W5" s="14"/>
      <c r="X5" s="14"/>
    </row>
    <row r="6" spans="1:24" ht="18" customHeight="1">
      <c r="A6" s="196"/>
      <c r="V6" s="197"/>
    </row>
    <row r="7" spans="1:24" ht="18" customHeight="1">
      <c r="A7" s="196"/>
      <c r="B7" s="940" t="s">
        <v>120</v>
      </c>
      <c r="C7" s="941"/>
      <c r="D7" s="944" t="s">
        <v>396</v>
      </c>
      <c r="E7" s="945"/>
      <c r="F7" s="468"/>
      <c r="H7" s="639" t="s">
        <v>518</v>
      </c>
      <c r="I7" s="639"/>
      <c r="J7" s="639"/>
      <c r="K7" s="639"/>
      <c r="L7" s="639"/>
      <c r="M7" s="639"/>
      <c r="P7" s="198"/>
      <c r="S7" s="199" t="s">
        <v>398</v>
      </c>
      <c r="T7" s="940" t="s">
        <v>519</v>
      </c>
      <c r="U7" s="941"/>
      <c r="V7" s="197"/>
    </row>
    <row r="8" spans="1:24" ht="18" customHeight="1">
      <c r="A8" s="469"/>
      <c r="F8" s="468"/>
      <c r="T8" s="940" t="s">
        <v>928</v>
      </c>
      <c r="U8" s="941"/>
      <c r="V8" s="197"/>
    </row>
    <row r="9" spans="1:24" ht="18" customHeight="1">
      <c r="A9" s="196"/>
      <c r="H9" s="662" t="s">
        <v>401</v>
      </c>
      <c r="I9" s="662"/>
      <c r="J9" s="701" t="s">
        <v>402</v>
      </c>
      <c r="K9" s="701"/>
      <c r="L9" s="701" t="s">
        <v>403</v>
      </c>
      <c r="M9" s="701"/>
      <c r="T9" s="940"/>
      <c r="U9" s="941"/>
      <c r="V9" s="197"/>
    </row>
    <row r="10" spans="1:24" ht="18" customHeight="1">
      <c r="A10" s="196"/>
      <c r="B10" s="47" t="s">
        <v>404</v>
      </c>
      <c r="H10" s="942">
        <v>2500</v>
      </c>
      <c r="I10" s="943"/>
      <c r="J10" s="940" t="s">
        <v>7</v>
      </c>
      <c r="K10" s="941"/>
      <c r="L10" s="940" t="s">
        <v>7</v>
      </c>
      <c r="M10" s="941"/>
      <c r="N10" s="203" t="s">
        <v>353</v>
      </c>
      <c r="O10" s="515">
        <v>1</v>
      </c>
      <c r="P10" s="27" t="s">
        <v>9</v>
      </c>
      <c r="R10" s="267"/>
      <c r="S10" s="267"/>
      <c r="V10" s="197"/>
    </row>
    <row r="11" spans="1:24" ht="18" customHeight="1">
      <c r="A11" s="196"/>
      <c r="B11" s="47" t="s">
        <v>405</v>
      </c>
      <c r="H11" s="940" t="s">
        <v>846</v>
      </c>
      <c r="I11" s="941"/>
      <c r="V11" s="197"/>
    </row>
    <row r="12" spans="1:24" ht="18" customHeight="1">
      <c r="A12" s="196"/>
      <c r="B12" s="47" t="s">
        <v>407</v>
      </c>
      <c r="G12" s="120" t="s">
        <v>508</v>
      </c>
      <c r="H12" s="940">
        <v>5</v>
      </c>
      <c r="I12" s="941"/>
      <c r="J12" s="204" t="s">
        <v>344</v>
      </c>
      <c r="V12" s="197"/>
    </row>
    <row r="13" spans="1:24" ht="18" customHeight="1">
      <c r="A13" s="196"/>
      <c r="B13" s="47" t="s">
        <v>409</v>
      </c>
      <c r="G13" s="120" t="s">
        <v>509</v>
      </c>
      <c r="H13" s="940">
        <v>750</v>
      </c>
      <c r="I13" s="941"/>
      <c r="J13" s="14" t="s">
        <v>316</v>
      </c>
      <c r="T13" s="307"/>
      <c r="U13" s="18"/>
      <c r="V13" s="197"/>
      <c r="W13" s="30" t="e">
        <f>#REF!</f>
        <v>#REF!</v>
      </c>
    </row>
    <row r="14" spans="1:24" ht="18" customHeight="1">
      <c r="A14" s="196"/>
      <c r="B14" s="14" t="s">
        <v>412</v>
      </c>
      <c r="G14" s="120" t="s">
        <v>413</v>
      </c>
      <c r="H14" s="940">
        <v>50</v>
      </c>
      <c r="I14" s="941"/>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REC670</v>
      </c>
      <c r="E18" s="239"/>
      <c r="F18" s="239"/>
      <c r="G18" s="239"/>
      <c r="H18" s="145"/>
      <c r="I18" s="272" t="s">
        <v>138</v>
      </c>
      <c r="J18" s="946">
        <f>'CT-VT Burdens'!Q48</f>
        <v>0.02</v>
      </c>
      <c r="K18" s="947"/>
      <c r="L18" s="3" t="s">
        <v>168</v>
      </c>
      <c r="N18" s="209" t="s">
        <v>521</v>
      </c>
      <c r="V18" s="197"/>
    </row>
    <row r="19" spans="1:25" ht="18" customHeight="1">
      <c r="A19" s="196"/>
      <c r="B19" s="96" t="s">
        <v>416</v>
      </c>
      <c r="C19" s="14"/>
      <c r="D19" s="47" t="str">
        <f>T8</f>
        <v>REF650</v>
      </c>
      <c r="H19" s="28"/>
      <c r="I19" s="101" t="s">
        <v>138</v>
      </c>
      <c r="J19" s="946">
        <f>'CT-VT Burdens'!Q48</f>
        <v>0.02</v>
      </c>
      <c r="K19" s="947"/>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948"/>
      <c r="K20" s="949"/>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950">
        <f>'CT-VT Burdens'!S22</f>
        <v>1.44186744</v>
      </c>
      <c r="K21" s="951"/>
      <c r="L21" s="309" t="s">
        <v>168</v>
      </c>
      <c r="O21" s="27" t="s">
        <v>138</v>
      </c>
      <c r="P21" s="637">
        <f>P20*R20*T20</f>
        <v>5</v>
      </c>
      <c r="Q21" s="639"/>
      <c r="R21" s="27" t="s">
        <v>168</v>
      </c>
      <c r="V21" s="197"/>
    </row>
    <row r="22" spans="1:25" ht="18" customHeight="1">
      <c r="A22" s="196"/>
      <c r="B22" s="1" t="s">
        <v>424</v>
      </c>
      <c r="C22" s="2"/>
      <c r="D22" s="2"/>
      <c r="E22" s="2"/>
      <c r="F22" s="208"/>
      <c r="G22" s="208"/>
      <c r="H22" s="236" t="s">
        <v>523</v>
      </c>
      <c r="I22" s="195" t="s">
        <v>138</v>
      </c>
      <c r="J22" s="648">
        <f>SUM(J18:J21)</f>
        <v>1.48186744</v>
      </c>
      <c r="K22" s="649"/>
      <c r="L22" s="3" t="s">
        <v>168</v>
      </c>
      <c r="V22" s="197"/>
    </row>
    <row r="23" spans="1:25" ht="18" customHeight="1">
      <c r="A23" s="196"/>
      <c r="B23" s="47"/>
      <c r="C23" s="47"/>
      <c r="D23" s="47"/>
      <c r="E23" s="47"/>
      <c r="H23" s="27"/>
      <c r="I23" s="28"/>
      <c r="J23" s="211"/>
      <c r="L23" s="47"/>
      <c r="S23" s="27"/>
      <c r="V23" s="197"/>
    </row>
    <row r="24" spans="1:25" ht="18" customHeight="1">
      <c r="A24" s="196"/>
      <c r="B24" s="117" t="s">
        <v>524</v>
      </c>
      <c r="Q24" s="223"/>
      <c r="R24" s="204"/>
      <c r="V24" s="197"/>
    </row>
    <row r="25" spans="1:25" ht="18" customHeight="1">
      <c r="A25" s="196"/>
      <c r="B25" s="955" t="s">
        <v>428</v>
      </c>
      <c r="C25" s="956"/>
      <c r="D25" s="956"/>
      <c r="E25" s="638">
        <v>1.5</v>
      </c>
      <c r="F25" s="638" t="s">
        <v>326</v>
      </c>
      <c r="G25" s="701" t="s">
        <v>492</v>
      </c>
      <c r="H25" s="701" t="s">
        <v>493</v>
      </c>
      <c r="I25" s="957"/>
      <c r="J25" s="638" t="s">
        <v>326</v>
      </c>
      <c r="K25" s="638" t="s">
        <v>430</v>
      </c>
      <c r="L25" s="638" t="s">
        <v>451</v>
      </c>
      <c r="M25" s="958" t="s">
        <v>358</v>
      </c>
      <c r="N25" s="638" t="s">
        <v>458</v>
      </c>
      <c r="O25" s="638" t="s">
        <v>358</v>
      </c>
      <c r="P25" s="953" t="s">
        <v>459</v>
      </c>
      <c r="Q25" s="953"/>
      <c r="R25" s="953"/>
      <c r="S25" s="952" t="s">
        <v>361</v>
      </c>
      <c r="T25" s="954" t="s">
        <v>433</v>
      </c>
      <c r="V25" s="197"/>
    </row>
    <row r="26" spans="1:25" ht="18" customHeight="1">
      <c r="A26" s="196"/>
      <c r="B26" s="956"/>
      <c r="C26" s="956"/>
      <c r="D26" s="956"/>
      <c r="E26" s="638"/>
      <c r="F26" s="638"/>
      <c r="G26" s="638"/>
      <c r="H26" s="639" t="s">
        <v>494</v>
      </c>
      <c r="I26" s="887"/>
      <c r="J26" s="638"/>
      <c r="K26" s="638"/>
      <c r="L26" s="638"/>
      <c r="M26" s="958"/>
      <c r="N26" s="638"/>
      <c r="O26" s="638"/>
      <c r="P26" s="28" t="s">
        <v>449</v>
      </c>
      <c r="Q26" s="28" t="s">
        <v>326</v>
      </c>
      <c r="R26" s="28" t="s">
        <v>449</v>
      </c>
      <c r="S26" s="952"/>
      <c r="T26" s="954"/>
      <c r="V26" s="112"/>
    </row>
    <row r="27" spans="1:25" ht="18" customHeight="1">
      <c r="A27" s="196"/>
      <c r="C27" s="28"/>
      <c r="D27" s="28"/>
      <c r="E27" s="28"/>
      <c r="F27" s="28"/>
      <c r="G27" s="28"/>
      <c r="H27" s="638"/>
      <c r="I27" s="920"/>
      <c r="J27" s="28"/>
      <c r="K27" s="28"/>
      <c r="L27" s="28"/>
      <c r="M27" s="28"/>
      <c r="N27" s="47"/>
      <c r="O27" s="28"/>
      <c r="V27" s="197"/>
    </row>
    <row r="28" spans="1:25" ht="18" customHeight="1">
      <c r="A28" s="196"/>
      <c r="C28" s="30" t="s">
        <v>525</v>
      </c>
      <c r="V28" s="197"/>
    </row>
    <row r="29" spans="1:25" ht="18" customHeight="1">
      <c r="A29" s="180"/>
      <c r="B29" s="5"/>
      <c r="C29" s="308" t="s">
        <v>526</v>
      </c>
      <c r="D29" s="14"/>
      <c r="E29" s="14"/>
      <c r="F29" s="14"/>
      <c r="G29" s="14"/>
      <c r="H29" s="291"/>
      <c r="I29" s="120"/>
      <c r="J29" s="291"/>
      <c r="K29" s="291"/>
      <c r="L29" s="14"/>
      <c r="M29" s="14"/>
      <c r="N29" s="14"/>
      <c r="O29" s="14"/>
      <c r="P29" s="14"/>
      <c r="Q29" s="256" t="s">
        <v>492</v>
      </c>
      <c r="R29" s="102" t="s">
        <v>138</v>
      </c>
      <c r="S29" s="638">
        <f>6*S30</f>
        <v>15000</v>
      </c>
      <c r="T29" s="638"/>
      <c r="U29" s="47" t="s">
        <v>9</v>
      </c>
      <c r="V29" s="197"/>
    </row>
    <row r="30" spans="1:25" ht="18" customHeight="1">
      <c r="A30" s="180"/>
      <c r="B30" s="5"/>
      <c r="C30" s="47" t="s">
        <v>527</v>
      </c>
      <c r="D30" s="14"/>
      <c r="E30" s="14"/>
      <c r="F30" s="18"/>
      <c r="G30" s="18"/>
      <c r="H30" s="291"/>
      <c r="I30" s="120"/>
      <c r="J30" s="291"/>
      <c r="K30" s="291"/>
      <c r="L30" s="14"/>
      <c r="M30" s="14"/>
      <c r="N30" s="14"/>
      <c r="O30" s="14"/>
      <c r="P30" s="14"/>
      <c r="Q30" s="256" t="s">
        <v>494</v>
      </c>
      <c r="R30" s="102" t="s">
        <v>138</v>
      </c>
      <c r="S30" s="638">
        <f>H10</f>
        <v>2500</v>
      </c>
      <c r="T30" s="638"/>
      <c r="U30" s="14" t="s">
        <v>9</v>
      </c>
      <c r="V30" s="197"/>
    </row>
    <row r="31" spans="1:25" ht="18" customHeight="1">
      <c r="A31" s="180"/>
      <c r="B31" s="5"/>
      <c r="C31" s="47" t="s">
        <v>528</v>
      </c>
      <c r="D31" s="14"/>
      <c r="E31" s="14"/>
      <c r="F31" s="18"/>
      <c r="G31" s="18"/>
      <c r="H31" s="291"/>
      <c r="I31" s="120"/>
      <c r="J31" s="291"/>
      <c r="K31" s="291"/>
      <c r="L31" s="14"/>
      <c r="M31" s="14"/>
      <c r="N31" s="14"/>
      <c r="O31" s="14"/>
      <c r="P31" s="14"/>
      <c r="Q31" s="256" t="s">
        <v>493</v>
      </c>
      <c r="R31" s="102" t="s">
        <v>138</v>
      </c>
      <c r="S31" s="638">
        <f>O10</f>
        <v>1</v>
      </c>
      <c r="T31" s="638"/>
      <c r="U31" s="30" t="s">
        <v>9</v>
      </c>
      <c r="V31" s="197"/>
    </row>
    <row r="32" spans="1:25" ht="18" customHeight="1">
      <c r="A32" s="180"/>
      <c r="B32" s="5"/>
      <c r="C32" s="47" t="s">
        <v>529</v>
      </c>
      <c r="D32" s="14"/>
      <c r="E32" s="14"/>
      <c r="F32" s="18"/>
      <c r="G32" s="18"/>
      <c r="H32" s="291"/>
      <c r="I32" s="120"/>
      <c r="J32" s="291"/>
      <c r="K32" s="291"/>
      <c r="L32" s="14"/>
      <c r="M32" s="14"/>
      <c r="N32" s="14"/>
      <c r="O32" s="14"/>
      <c r="P32" s="14"/>
      <c r="Q32" s="256" t="s">
        <v>157</v>
      </c>
      <c r="R32" s="102" t="s">
        <v>138</v>
      </c>
      <c r="S32" s="959">
        <f>O10</f>
        <v>1</v>
      </c>
      <c r="T32" s="959"/>
      <c r="U32" s="30" t="s">
        <v>9</v>
      </c>
      <c r="V32" s="197"/>
      <c r="W32" s="291"/>
      <c r="X32" s="291"/>
      <c r="Y32" s="291"/>
    </row>
    <row r="33" spans="1:25" ht="18" customHeight="1">
      <c r="A33" s="180"/>
      <c r="B33" s="5"/>
      <c r="C33" s="308" t="s">
        <v>530</v>
      </c>
      <c r="D33" s="14"/>
      <c r="E33" s="14"/>
      <c r="F33" s="18"/>
      <c r="G33" s="18"/>
      <c r="H33" s="291"/>
      <c r="I33" s="120"/>
      <c r="J33" s="291"/>
      <c r="K33" s="291"/>
      <c r="L33" s="14"/>
      <c r="M33" s="14"/>
      <c r="N33" s="14"/>
      <c r="O33" s="14"/>
      <c r="P33" s="14"/>
      <c r="Q33" s="256" t="s">
        <v>431</v>
      </c>
      <c r="R33" s="102" t="s">
        <v>138</v>
      </c>
      <c r="S33" s="641">
        <f>H12</f>
        <v>5</v>
      </c>
      <c r="T33" s="638"/>
      <c r="U33" s="30" t="s">
        <v>531</v>
      </c>
      <c r="V33" s="197"/>
      <c r="X33" s="291"/>
      <c r="Y33" s="291"/>
    </row>
    <row r="34" spans="1:25" ht="18" customHeight="1">
      <c r="A34" s="180"/>
      <c r="B34" s="5"/>
      <c r="C34" s="308" t="s">
        <v>532</v>
      </c>
      <c r="D34" s="14"/>
      <c r="E34" s="14"/>
      <c r="F34" s="14"/>
      <c r="G34" s="14"/>
      <c r="H34" s="291"/>
      <c r="I34" s="120"/>
      <c r="J34" s="291"/>
      <c r="K34" s="291"/>
      <c r="L34" s="14"/>
      <c r="M34" s="14"/>
      <c r="N34" s="14"/>
      <c r="O34" s="14"/>
      <c r="P34" s="14"/>
      <c r="Q34" s="256" t="s">
        <v>533</v>
      </c>
      <c r="R34" s="102" t="s">
        <v>138</v>
      </c>
      <c r="S34" s="641">
        <f>J22</f>
        <v>1.48186744</v>
      </c>
      <c r="T34" s="638"/>
      <c r="U34" s="30" t="s">
        <v>531</v>
      </c>
      <c r="V34" s="197"/>
      <c r="X34" s="291"/>
      <c r="Y34" s="291"/>
    </row>
    <row r="35" spans="1:25" ht="18" customHeight="1">
      <c r="A35" s="180"/>
      <c r="B35" s="5"/>
      <c r="C35" s="308" t="s">
        <v>534</v>
      </c>
      <c r="D35" s="14"/>
      <c r="E35" s="14"/>
      <c r="F35" s="14"/>
      <c r="G35" s="14"/>
      <c r="H35" s="291"/>
      <c r="I35" s="120"/>
      <c r="J35" s="291"/>
      <c r="K35" s="291"/>
      <c r="L35" s="14"/>
      <c r="M35" s="14"/>
      <c r="N35" s="14"/>
      <c r="O35" s="14"/>
      <c r="P35" s="14"/>
      <c r="Q35" s="256" t="s">
        <v>535</v>
      </c>
      <c r="R35" s="102" t="s">
        <v>138</v>
      </c>
      <c r="S35" s="641">
        <f>J18</f>
        <v>0.02</v>
      </c>
      <c r="T35" s="638"/>
      <c r="U35" s="308" t="s">
        <v>168</v>
      </c>
      <c r="V35" s="197"/>
    </row>
    <row r="36" spans="1:25" ht="18" customHeight="1">
      <c r="A36" s="311"/>
      <c r="B36" s="291"/>
      <c r="C36" s="47"/>
      <c r="D36" s="14"/>
      <c r="E36" s="14"/>
      <c r="F36" s="14"/>
      <c r="G36" s="14"/>
      <c r="H36" s="291"/>
      <c r="I36" s="120"/>
      <c r="J36" s="291"/>
      <c r="K36" s="291"/>
      <c r="L36" s="14"/>
      <c r="M36" s="14"/>
      <c r="N36" s="291"/>
      <c r="O36" s="291"/>
      <c r="P36" s="14"/>
      <c r="Q36" s="120"/>
      <c r="R36" s="14"/>
      <c r="S36" s="291"/>
      <c r="T36" s="291"/>
      <c r="U36" s="291"/>
      <c r="V36" s="312"/>
      <c r="W36" s="291"/>
      <c r="X36" s="291"/>
      <c r="Y36" s="291"/>
    </row>
    <row r="37" spans="1:25" ht="18" customHeight="1">
      <c r="A37" s="196"/>
      <c r="B37" s="639" t="s">
        <v>428</v>
      </c>
      <c r="C37" s="639"/>
      <c r="D37" s="638">
        <v>1.5</v>
      </c>
      <c r="E37" s="639" t="s">
        <v>326</v>
      </c>
      <c r="F37" s="638">
        <f>S29</f>
        <v>15000</v>
      </c>
      <c r="G37" s="638"/>
      <c r="H37" s="639" t="s">
        <v>326</v>
      </c>
      <c r="I37" s="701">
        <f>S31</f>
        <v>1</v>
      </c>
      <c r="J37" s="701"/>
      <c r="K37" s="639" t="s">
        <v>326</v>
      </c>
      <c r="L37" s="639" t="s">
        <v>430</v>
      </c>
      <c r="M37" s="637">
        <f>S33</f>
        <v>5</v>
      </c>
      <c r="N37" s="639" t="s">
        <v>358</v>
      </c>
      <c r="O37" s="637">
        <f>S34</f>
        <v>1.48186744</v>
      </c>
      <c r="P37" s="639" t="s">
        <v>358</v>
      </c>
      <c r="Q37" s="793">
        <f>S35</f>
        <v>0.02</v>
      </c>
      <c r="R37" s="701"/>
      <c r="S37" s="701"/>
      <c r="T37" s="639" t="s">
        <v>361</v>
      </c>
      <c r="V37" s="197"/>
    </row>
    <row r="38" spans="1:25" ht="18" customHeight="1">
      <c r="A38" s="196"/>
      <c r="B38" s="639"/>
      <c r="C38" s="639"/>
      <c r="D38" s="638"/>
      <c r="E38" s="639"/>
      <c r="F38" s="638"/>
      <c r="G38" s="638"/>
      <c r="H38" s="639"/>
      <c r="I38" s="639">
        <f>S30</f>
        <v>2500</v>
      </c>
      <c r="J38" s="639"/>
      <c r="K38" s="639"/>
      <c r="L38" s="639"/>
      <c r="M38" s="639"/>
      <c r="N38" s="639"/>
      <c r="O38" s="639"/>
      <c r="P38" s="639"/>
      <c r="Q38" s="517">
        <f>S32</f>
        <v>1</v>
      </c>
      <c r="R38" s="27" t="s">
        <v>326</v>
      </c>
      <c r="S38" s="517">
        <f>S32</f>
        <v>1</v>
      </c>
      <c r="T38" s="639"/>
      <c r="V38" s="197"/>
    </row>
    <row r="39" spans="1:25" ht="18" customHeight="1">
      <c r="A39" s="196"/>
      <c r="C39" s="120"/>
      <c r="D39" s="28"/>
      <c r="E39" s="28"/>
      <c r="F39" s="28"/>
      <c r="G39" s="28"/>
      <c r="H39" s="14"/>
      <c r="I39" s="14"/>
      <c r="J39" s="28"/>
      <c r="K39" s="28"/>
      <c r="L39" s="28"/>
      <c r="M39" s="28"/>
      <c r="N39" s="47"/>
      <c r="O39" s="516"/>
      <c r="V39" s="197"/>
    </row>
    <row r="40" spans="1:25" ht="18" customHeight="1">
      <c r="A40" s="196"/>
      <c r="C40" s="27" t="s">
        <v>138</v>
      </c>
      <c r="D40" s="960">
        <f>ROUNDUP(D37*F37*(I37/I38)*(M37+O37+(Q37/(Q38*S38))),2)</f>
        <v>58.519999999999996</v>
      </c>
      <c r="E40" s="960"/>
      <c r="F40" s="298" t="s">
        <v>316</v>
      </c>
      <c r="G40" s="27"/>
      <c r="V40" s="197"/>
    </row>
    <row r="41" spans="1:25" ht="18" customHeight="1">
      <c r="A41" s="196"/>
      <c r="C41" s="27"/>
      <c r="D41" s="489"/>
      <c r="E41" s="489"/>
      <c r="F41" s="298"/>
      <c r="G41" s="27"/>
      <c r="V41" s="197"/>
    </row>
    <row r="42" spans="1:25" ht="18" customHeight="1">
      <c r="A42" s="196"/>
      <c r="C42" s="27"/>
      <c r="D42" s="489"/>
      <c r="E42" s="489"/>
      <c r="F42" s="298"/>
      <c r="G42" s="27"/>
      <c r="V42" s="197"/>
    </row>
    <row r="43" spans="1:25" ht="18" customHeight="1">
      <c r="A43" s="196"/>
      <c r="C43" s="27"/>
      <c r="D43" s="489"/>
      <c r="E43" s="489"/>
      <c r="F43" s="298"/>
      <c r="G43" s="27"/>
      <c r="V43" s="197"/>
    </row>
    <row r="44" spans="1:25" ht="18" customHeight="1">
      <c r="A44" s="196"/>
      <c r="C44" s="27"/>
      <c r="D44" s="489"/>
      <c r="E44" s="489"/>
      <c r="F44" s="298"/>
      <c r="G44" s="27"/>
      <c r="V44" s="197"/>
    </row>
    <row r="45" spans="1:25" ht="18" customHeight="1">
      <c r="A45" s="196"/>
      <c r="C45" s="27"/>
      <c r="D45" s="489"/>
      <c r="E45" s="489"/>
      <c r="F45" s="298"/>
      <c r="G45" s="27"/>
      <c r="V45" s="197"/>
    </row>
    <row r="46" spans="1:25" ht="18" customHeight="1">
      <c r="A46" s="196"/>
      <c r="V46" s="197"/>
    </row>
    <row r="47" spans="1:25" ht="18" customHeight="1">
      <c r="A47" s="196"/>
      <c r="V47" s="197"/>
    </row>
    <row r="48" spans="1:25" ht="18"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5" ht="18" customHeight="1">
      <c r="A49" s="196"/>
      <c r="B49" s="117" t="s">
        <v>536</v>
      </c>
      <c r="U49" s="239"/>
      <c r="V49" s="240"/>
    </row>
    <row r="50" spans="1:25" ht="18" customHeight="1">
      <c r="A50" s="196"/>
      <c r="V50" s="197"/>
    </row>
    <row r="51" spans="1:25" ht="18" customHeight="1">
      <c r="A51" s="196"/>
      <c r="B51" s="955" t="s">
        <v>428</v>
      </c>
      <c r="C51" s="956"/>
      <c r="D51" s="956"/>
      <c r="E51" s="638">
        <v>20</v>
      </c>
      <c r="F51" s="638" t="s">
        <v>326</v>
      </c>
      <c r="G51" s="701" t="s">
        <v>492</v>
      </c>
      <c r="H51" s="701" t="s">
        <v>493</v>
      </c>
      <c r="I51" s="957"/>
      <c r="J51" s="638" t="s">
        <v>326</v>
      </c>
      <c r="K51" s="638" t="s">
        <v>430</v>
      </c>
      <c r="L51" s="638" t="s">
        <v>451</v>
      </c>
      <c r="M51" s="958" t="s">
        <v>358</v>
      </c>
      <c r="N51" s="638" t="s">
        <v>458</v>
      </c>
      <c r="O51" s="638" t="s">
        <v>358</v>
      </c>
      <c r="P51" s="953" t="s">
        <v>459</v>
      </c>
      <c r="Q51" s="953"/>
      <c r="R51" s="953"/>
      <c r="S51" s="952" t="s">
        <v>361</v>
      </c>
      <c r="T51" s="954" t="s">
        <v>433</v>
      </c>
      <c r="V51" s="197"/>
    </row>
    <row r="52" spans="1:25" ht="18" customHeight="1">
      <c r="A52" s="196"/>
      <c r="B52" s="956"/>
      <c r="C52" s="956"/>
      <c r="D52" s="956"/>
      <c r="E52" s="638"/>
      <c r="F52" s="638"/>
      <c r="G52" s="638"/>
      <c r="H52" s="639" t="s">
        <v>494</v>
      </c>
      <c r="I52" s="887"/>
      <c r="J52" s="638"/>
      <c r="K52" s="638"/>
      <c r="L52" s="638"/>
      <c r="M52" s="958"/>
      <c r="N52" s="638"/>
      <c r="O52" s="638"/>
      <c r="P52" s="28" t="s">
        <v>449</v>
      </c>
      <c r="Q52" s="28" t="s">
        <v>326</v>
      </c>
      <c r="R52" s="28" t="s">
        <v>449</v>
      </c>
      <c r="S52" s="952"/>
      <c r="T52" s="954"/>
      <c r="V52" s="112"/>
    </row>
    <row r="53" spans="1:25" ht="18" customHeight="1">
      <c r="A53" s="196"/>
      <c r="C53" s="28"/>
      <c r="D53" s="28"/>
      <c r="E53" s="28"/>
      <c r="F53" s="28"/>
      <c r="G53" s="28"/>
      <c r="H53" s="638"/>
      <c r="I53" s="920"/>
      <c r="J53" s="28"/>
      <c r="K53" s="28"/>
      <c r="L53" s="28"/>
      <c r="M53" s="28"/>
      <c r="N53" s="47"/>
      <c r="O53" s="28"/>
      <c r="V53" s="197"/>
    </row>
    <row r="54" spans="1:25" ht="18" customHeight="1">
      <c r="A54" s="196"/>
      <c r="C54" s="30" t="s">
        <v>537</v>
      </c>
      <c r="V54" s="197"/>
    </row>
    <row r="55" spans="1:25" ht="18" customHeight="1">
      <c r="A55" s="180"/>
      <c r="B55" s="5"/>
      <c r="C55" s="308" t="s">
        <v>526</v>
      </c>
      <c r="D55" s="14"/>
      <c r="E55" s="14"/>
      <c r="F55" s="14"/>
      <c r="G55" s="14"/>
      <c r="H55" s="291"/>
      <c r="I55" s="120"/>
      <c r="J55" s="291"/>
      <c r="K55" s="291"/>
      <c r="L55" s="14"/>
      <c r="M55" s="14"/>
      <c r="N55" s="14"/>
      <c r="O55" s="14"/>
      <c r="P55" s="14"/>
      <c r="Q55" s="256" t="s">
        <v>492</v>
      </c>
      <c r="R55" s="102" t="s">
        <v>138</v>
      </c>
      <c r="S55" s="638">
        <f>1.2*S56</f>
        <v>3000</v>
      </c>
      <c r="T55" s="638"/>
      <c r="U55" s="47" t="s">
        <v>9</v>
      </c>
      <c r="V55" s="197"/>
    </row>
    <row r="56" spans="1:25" ht="18" customHeight="1">
      <c r="A56" s="180"/>
      <c r="B56" s="5"/>
      <c r="C56" s="47" t="s">
        <v>527</v>
      </c>
      <c r="D56" s="14"/>
      <c r="E56" s="14"/>
      <c r="F56" s="18"/>
      <c r="G56" s="18"/>
      <c r="H56" s="291"/>
      <c r="I56" s="120"/>
      <c r="J56" s="291"/>
      <c r="K56" s="291"/>
      <c r="L56" s="14"/>
      <c r="M56" s="14"/>
      <c r="N56" s="14"/>
      <c r="O56" s="14"/>
      <c r="P56" s="14"/>
      <c r="Q56" s="256" t="s">
        <v>494</v>
      </c>
      <c r="R56" s="102" t="s">
        <v>138</v>
      </c>
      <c r="S56" s="638">
        <f>H10</f>
        <v>2500</v>
      </c>
      <c r="T56" s="638"/>
      <c r="U56" s="14" t="s">
        <v>9</v>
      </c>
      <c r="V56" s="197"/>
    </row>
    <row r="57" spans="1:25" ht="18" customHeight="1">
      <c r="A57" s="180"/>
      <c r="B57" s="5"/>
      <c r="C57" s="47" t="s">
        <v>528</v>
      </c>
      <c r="D57" s="14"/>
      <c r="E57" s="14"/>
      <c r="F57" s="18"/>
      <c r="G57" s="18"/>
      <c r="H57" s="291"/>
      <c r="I57" s="120"/>
      <c r="J57" s="291"/>
      <c r="K57" s="291"/>
      <c r="L57" s="14"/>
      <c r="M57" s="14"/>
      <c r="N57" s="14"/>
      <c r="O57" s="14"/>
      <c r="P57" s="14"/>
      <c r="Q57" s="256" t="s">
        <v>493</v>
      </c>
      <c r="R57" s="102" t="s">
        <v>138</v>
      </c>
      <c r="S57" s="638">
        <f>O10</f>
        <v>1</v>
      </c>
      <c r="T57" s="638"/>
      <c r="U57" s="30" t="s">
        <v>9</v>
      </c>
      <c r="V57" s="197"/>
    </row>
    <row r="58" spans="1:25" ht="18" customHeight="1">
      <c r="A58" s="180"/>
      <c r="B58" s="5"/>
      <c r="C58" s="47" t="s">
        <v>529</v>
      </c>
      <c r="D58" s="14"/>
      <c r="E58" s="14"/>
      <c r="F58" s="18"/>
      <c r="G58" s="18"/>
      <c r="H58" s="291"/>
      <c r="I58" s="120"/>
      <c r="J58" s="291"/>
      <c r="K58" s="291"/>
      <c r="L58" s="14"/>
      <c r="M58" s="14"/>
      <c r="N58" s="14"/>
      <c r="O58" s="14"/>
      <c r="P58" s="14"/>
      <c r="Q58" s="256" t="s">
        <v>157</v>
      </c>
      <c r="R58" s="102" t="s">
        <v>138</v>
      </c>
      <c r="S58" s="959">
        <f>S32</f>
        <v>1</v>
      </c>
      <c r="T58" s="959"/>
      <c r="U58" s="30" t="s">
        <v>9</v>
      </c>
      <c r="V58" s="197"/>
      <c r="W58" s="291"/>
      <c r="X58" s="291"/>
      <c r="Y58" s="291"/>
    </row>
    <row r="59" spans="1:25" ht="18" customHeight="1">
      <c r="A59" s="180"/>
      <c r="B59" s="5"/>
      <c r="C59" s="308" t="s">
        <v>530</v>
      </c>
      <c r="D59" s="14"/>
      <c r="E59" s="14"/>
      <c r="F59" s="18"/>
      <c r="G59" s="18"/>
      <c r="H59" s="291"/>
      <c r="I59" s="120"/>
      <c r="J59" s="291"/>
      <c r="K59" s="291"/>
      <c r="L59" s="14"/>
      <c r="M59" s="14"/>
      <c r="N59" s="14"/>
      <c r="O59" s="14"/>
      <c r="P59" s="14"/>
      <c r="Q59" s="256" t="s">
        <v>431</v>
      </c>
      <c r="R59" s="102" t="s">
        <v>138</v>
      </c>
      <c r="S59" s="641">
        <f>H12</f>
        <v>5</v>
      </c>
      <c r="T59" s="638"/>
      <c r="U59" s="30" t="s">
        <v>531</v>
      </c>
      <c r="V59" s="197"/>
      <c r="X59" s="291"/>
      <c r="Y59" s="291"/>
    </row>
    <row r="60" spans="1:25" ht="18" customHeight="1">
      <c r="A60" s="180"/>
      <c r="B60" s="5"/>
      <c r="C60" s="308" t="s">
        <v>532</v>
      </c>
      <c r="D60" s="14"/>
      <c r="E60" s="14"/>
      <c r="F60" s="14"/>
      <c r="G60" s="14"/>
      <c r="H60" s="291"/>
      <c r="I60" s="120"/>
      <c r="J60" s="291"/>
      <c r="K60" s="291"/>
      <c r="L60" s="14"/>
      <c r="M60" s="14"/>
      <c r="N60" s="14"/>
      <c r="O60" s="14"/>
      <c r="P60" s="14"/>
      <c r="Q60" s="256" t="s">
        <v>533</v>
      </c>
      <c r="R60" s="102" t="s">
        <v>138</v>
      </c>
      <c r="S60" s="641">
        <f>J22</f>
        <v>1.48186744</v>
      </c>
      <c r="T60" s="638"/>
      <c r="U60" s="30" t="s">
        <v>531</v>
      </c>
      <c r="V60" s="197"/>
      <c r="X60" s="291"/>
      <c r="Y60" s="291"/>
    </row>
    <row r="61" spans="1:25" ht="18" customHeight="1">
      <c r="A61" s="180"/>
      <c r="B61" s="5"/>
      <c r="C61" s="308" t="s">
        <v>534</v>
      </c>
      <c r="D61" s="14"/>
      <c r="E61" s="14"/>
      <c r="F61" s="14"/>
      <c r="G61" s="14"/>
      <c r="H61" s="291"/>
      <c r="I61" s="120"/>
      <c r="J61" s="291"/>
      <c r="K61" s="291"/>
      <c r="L61" s="14"/>
      <c r="M61" s="14"/>
      <c r="N61" s="14"/>
      <c r="O61" s="14"/>
      <c r="P61" s="14"/>
      <c r="Q61" s="256" t="s">
        <v>535</v>
      </c>
      <c r="R61" s="102" t="s">
        <v>138</v>
      </c>
      <c r="S61" s="637">
        <f>J18</f>
        <v>0.02</v>
      </c>
      <c r="T61" s="638"/>
      <c r="U61" s="308" t="s">
        <v>168</v>
      </c>
      <c r="V61" s="197"/>
    </row>
    <row r="62" spans="1:25" ht="18" customHeight="1">
      <c r="A62" s="311"/>
      <c r="B62" s="291"/>
      <c r="C62" s="47"/>
      <c r="D62" s="14"/>
      <c r="E62" s="14"/>
      <c r="F62" s="14"/>
      <c r="G62" s="14"/>
      <c r="H62" s="291"/>
      <c r="I62" s="120"/>
      <c r="J62" s="291"/>
      <c r="K62" s="291"/>
      <c r="L62" s="14"/>
      <c r="M62" s="14"/>
      <c r="N62" s="291"/>
      <c r="O62" s="291"/>
      <c r="P62" s="14"/>
      <c r="Q62" s="120"/>
      <c r="R62" s="14"/>
      <c r="S62" s="291"/>
      <c r="T62" s="291"/>
      <c r="U62" s="291"/>
      <c r="V62" s="312"/>
      <c r="W62" s="291"/>
      <c r="X62" s="291"/>
      <c r="Y62" s="291"/>
    </row>
    <row r="63" spans="1:25" ht="18" customHeight="1">
      <c r="A63" s="196"/>
      <c r="B63" s="639" t="s">
        <v>428</v>
      </c>
      <c r="C63" s="639"/>
      <c r="D63" s="638">
        <f>E51</f>
        <v>20</v>
      </c>
      <c r="E63" s="639" t="s">
        <v>326</v>
      </c>
      <c r="F63" s="638">
        <f>S55</f>
        <v>3000</v>
      </c>
      <c r="G63" s="638"/>
      <c r="H63" s="639" t="s">
        <v>326</v>
      </c>
      <c r="I63" s="701">
        <f>S57</f>
        <v>1</v>
      </c>
      <c r="J63" s="701"/>
      <c r="K63" s="639" t="s">
        <v>326</v>
      </c>
      <c r="L63" s="639" t="s">
        <v>430</v>
      </c>
      <c r="M63" s="637">
        <f>S59</f>
        <v>5</v>
      </c>
      <c r="N63" s="639" t="s">
        <v>358</v>
      </c>
      <c r="O63" s="637">
        <f>S60</f>
        <v>1.48186744</v>
      </c>
      <c r="P63" s="639" t="s">
        <v>358</v>
      </c>
      <c r="Q63" s="793">
        <f>S61</f>
        <v>0.02</v>
      </c>
      <c r="R63" s="701"/>
      <c r="S63" s="701"/>
      <c r="T63" s="639" t="s">
        <v>361</v>
      </c>
      <c r="V63" s="197"/>
    </row>
    <row r="64" spans="1:25" ht="18" customHeight="1">
      <c r="A64" s="196"/>
      <c r="B64" s="639"/>
      <c r="C64" s="639"/>
      <c r="D64" s="638"/>
      <c r="E64" s="639"/>
      <c r="F64" s="638"/>
      <c r="G64" s="638"/>
      <c r="H64" s="639"/>
      <c r="I64" s="639">
        <f>S56</f>
        <v>2500</v>
      </c>
      <c r="J64" s="639"/>
      <c r="K64" s="639"/>
      <c r="L64" s="639"/>
      <c r="M64" s="639"/>
      <c r="N64" s="639"/>
      <c r="O64" s="639"/>
      <c r="P64" s="639"/>
      <c r="Q64" s="517">
        <f>S58</f>
        <v>1</v>
      </c>
      <c r="R64" s="27" t="s">
        <v>326</v>
      </c>
      <c r="S64" s="517">
        <f>S58</f>
        <v>1</v>
      </c>
      <c r="T64" s="639"/>
      <c r="V64" s="197"/>
    </row>
    <row r="65" spans="1:27" ht="18" customHeight="1">
      <c r="A65" s="196"/>
      <c r="C65" s="120"/>
      <c r="D65" s="28"/>
      <c r="E65" s="28"/>
      <c r="F65" s="28"/>
      <c r="G65" s="28"/>
      <c r="H65" s="14"/>
      <c r="I65" s="14"/>
      <c r="J65" s="28"/>
      <c r="K65" s="28"/>
      <c r="L65" s="28"/>
      <c r="M65" s="28"/>
      <c r="N65" s="47"/>
      <c r="O65" s="516"/>
      <c r="V65" s="197"/>
    </row>
    <row r="66" spans="1:27" ht="18" customHeight="1">
      <c r="A66" s="196"/>
      <c r="C66" s="27" t="s">
        <v>138</v>
      </c>
      <c r="D66" s="960">
        <f>ROUNDUP(D63*F63*(I63/I64)*(M63+O63+(Q63/(Q64*S64))),2)</f>
        <v>156.04999999999998</v>
      </c>
      <c r="E66" s="960"/>
      <c r="F66" s="298" t="s">
        <v>316</v>
      </c>
      <c r="G66" s="27"/>
      <c r="V66" s="197"/>
    </row>
    <row r="67" spans="1:27" ht="18" customHeight="1">
      <c r="A67" s="196"/>
      <c r="V67" s="197"/>
    </row>
    <row r="68" spans="1:27" ht="18" customHeight="1">
      <c r="A68" s="196"/>
      <c r="D68" s="30" t="s">
        <v>538</v>
      </c>
      <c r="L68" s="30" t="s">
        <v>539</v>
      </c>
      <c r="M68" s="519" t="s">
        <v>540</v>
      </c>
      <c r="N68" s="30" t="str">
        <f>CONCATENATE(Y68,X68,D40,Z68,D66,AA68)</f>
        <v>max(58.52,156.05)</v>
      </c>
      <c r="V68" s="197"/>
      <c r="X68" s="30" t="s">
        <v>430</v>
      </c>
      <c r="Y68" s="30" t="s">
        <v>541</v>
      </c>
      <c r="Z68" s="30" t="s">
        <v>542</v>
      </c>
      <c r="AA68" s="30" t="s">
        <v>361</v>
      </c>
    </row>
    <row r="69" spans="1:27" ht="18" customHeight="1">
      <c r="A69" s="196"/>
      <c r="D69" s="14"/>
      <c r="E69"/>
      <c r="F69"/>
      <c r="G69" s="27"/>
      <c r="H69" s="14"/>
      <c r="I69"/>
      <c r="J69"/>
      <c r="K69"/>
      <c r="L69" s="30" t="s">
        <v>539</v>
      </c>
      <c r="M69" s="519" t="s">
        <v>540</v>
      </c>
      <c r="N69" s="489">
        <f>MAX(D66,D40)</f>
        <v>156.04999999999998</v>
      </c>
      <c r="V69" s="197"/>
    </row>
    <row r="70" spans="1:27" ht="18" customHeight="1">
      <c r="A70" s="196"/>
      <c r="D70"/>
      <c r="E70" s="939"/>
      <c r="F70" s="639"/>
      <c r="G70" s="27"/>
      <c r="H70" s="637"/>
      <c r="I70" s="639"/>
      <c r="J70"/>
      <c r="K70"/>
      <c r="L70" s="308">
        <f>H13</f>
        <v>750</v>
      </c>
      <c r="M70" s="519" t="s">
        <v>540</v>
      </c>
      <c r="N70" s="489">
        <f>N69</f>
        <v>156.04999999999998</v>
      </c>
      <c r="V70" s="197"/>
    </row>
    <row r="71" spans="1:27" ht="18" customHeight="1">
      <c r="A71" s="196"/>
      <c r="D71"/>
      <c r="E71" s="518"/>
      <c r="F71" s="27"/>
      <c r="G71" s="27"/>
      <c r="H71" s="223"/>
      <c r="I71" s="27"/>
      <c r="J71"/>
      <c r="K71"/>
      <c r="L71" s="308"/>
      <c r="M71" s="519"/>
      <c r="N71" s="489"/>
      <c r="V71" s="197"/>
    </row>
    <row r="72" spans="1:27" ht="18" customHeight="1">
      <c r="A72" s="196"/>
      <c r="D72"/>
      <c r="E72"/>
      <c r="F72" s="256" t="s">
        <v>489</v>
      </c>
      <c r="G72"/>
      <c r="H72" s="18" t="str">
        <f>IF(L70&gt;N70,"Suitably Dimensioned","Under Dimensioned")</f>
        <v>Suitably Dimensioned</v>
      </c>
      <c r="I72"/>
      <c r="J72"/>
      <c r="K72"/>
      <c r="L72"/>
      <c r="V72" s="197"/>
    </row>
    <row r="73" spans="1:27" ht="18" customHeight="1">
      <c r="A73" s="196"/>
      <c r="D73"/>
      <c r="E73"/>
      <c r="F73" s="256"/>
      <c r="G73"/>
      <c r="H73" s="18"/>
      <c r="I73"/>
      <c r="J73"/>
      <c r="K73"/>
      <c r="L73"/>
      <c r="V73" s="197"/>
    </row>
    <row r="74" spans="1:27" ht="18" customHeight="1">
      <c r="A74" s="196"/>
      <c r="D74"/>
      <c r="E74"/>
      <c r="F74" s="256"/>
      <c r="G74"/>
      <c r="H74" s="18"/>
      <c r="I74"/>
      <c r="J74"/>
      <c r="K74"/>
      <c r="L74"/>
      <c r="V74" s="197"/>
    </row>
    <row r="75" spans="1:27" ht="18" customHeight="1">
      <c r="A75" s="196"/>
      <c r="D75"/>
      <c r="E75"/>
      <c r="F75" s="256"/>
      <c r="G75"/>
      <c r="H75" s="18"/>
      <c r="I75"/>
      <c r="J75"/>
      <c r="K75"/>
      <c r="L75"/>
      <c r="V75" s="197"/>
    </row>
    <row r="76" spans="1:27" ht="18" customHeight="1">
      <c r="A76" s="196"/>
      <c r="D76"/>
      <c r="E76"/>
      <c r="F76" s="256"/>
      <c r="G76"/>
      <c r="H76" s="18"/>
      <c r="I76"/>
      <c r="J76"/>
      <c r="K76"/>
      <c r="L76"/>
      <c r="V76" s="197"/>
    </row>
    <row r="77" spans="1:27" ht="18" customHeight="1">
      <c r="A77" s="196"/>
      <c r="D77"/>
      <c r="E77"/>
      <c r="F77" s="256"/>
      <c r="G77"/>
      <c r="H77" s="18"/>
      <c r="I77"/>
      <c r="J77"/>
      <c r="K77"/>
      <c r="L77"/>
      <c r="V77" s="197"/>
    </row>
    <row r="78" spans="1:27" ht="18" customHeight="1">
      <c r="A78" s="196"/>
      <c r="D78"/>
      <c r="E78"/>
      <c r="F78" s="256"/>
      <c r="G78"/>
      <c r="H78" s="18"/>
      <c r="I78"/>
      <c r="J78"/>
      <c r="K78"/>
      <c r="L78"/>
      <c r="V78" s="197"/>
    </row>
    <row r="79" spans="1:27" ht="18" customHeight="1">
      <c r="A79" s="196"/>
      <c r="D79"/>
      <c r="E79"/>
      <c r="F79" s="256"/>
      <c r="G79"/>
      <c r="H79" s="18"/>
      <c r="I79"/>
      <c r="J79"/>
      <c r="K79"/>
      <c r="L79"/>
      <c r="V79" s="197"/>
    </row>
    <row r="80" spans="1:27" ht="18" customHeight="1">
      <c r="A80" s="196"/>
      <c r="D80"/>
      <c r="E80"/>
      <c r="F80" s="256"/>
      <c r="G80"/>
      <c r="H80" s="18"/>
      <c r="I80"/>
      <c r="J80"/>
      <c r="K80"/>
      <c r="L80"/>
      <c r="V80" s="197"/>
    </row>
    <row r="81" spans="1:22" ht="18" customHeight="1">
      <c r="A81" s="196"/>
      <c r="D81"/>
      <c r="E81"/>
      <c r="F81" s="256"/>
      <c r="G81"/>
      <c r="H81" s="18"/>
      <c r="I81"/>
      <c r="J81"/>
      <c r="K81"/>
      <c r="L81"/>
      <c r="V81" s="197"/>
    </row>
    <row r="82" spans="1:22" ht="18" customHeight="1">
      <c r="A82" s="196"/>
      <c r="D82"/>
      <c r="E82"/>
      <c r="F82" s="256"/>
      <c r="G82"/>
      <c r="H82" s="18"/>
      <c r="I82"/>
      <c r="J82"/>
      <c r="K82"/>
      <c r="L82"/>
      <c r="V82" s="197"/>
    </row>
    <row r="83" spans="1:22" ht="18" customHeight="1">
      <c r="A83" s="196"/>
      <c r="D83"/>
      <c r="E83"/>
      <c r="F83" s="256"/>
      <c r="G83"/>
      <c r="H83" s="18"/>
      <c r="I83"/>
      <c r="J83"/>
      <c r="K83"/>
      <c r="L83"/>
      <c r="V83" s="197"/>
    </row>
    <row r="84" spans="1:22" ht="18" customHeight="1">
      <c r="A84" s="196"/>
      <c r="D84"/>
      <c r="E84"/>
      <c r="F84" s="256"/>
      <c r="G84"/>
      <c r="H84" s="18"/>
      <c r="I84"/>
      <c r="J84"/>
      <c r="K84"/>
      <c r="L84"/>
      <c r="V84" s="197"/>
    </row>
    <row r="85" spans="1:22" ht="18" customHeight="1">
      <c r="A85" s="196"/>
      <c r="D85"/>
      <c r="E85"/>
      <c r="F85" s="256"/>
      <c r="G85"/>
      <c r="H85" s="18"/>
      <c r="I85"/>
      <c r="J85"/>
      <c r="K85"/>
      <c r="L85"/>
      <c r="V85" s="197"/>
    </row>
    <row r="86" spans="1:22" ht="18" customHeight="1">
      <c r="A86" s="196"/>
      <c r="D86"/>
      <c r="E86"/>
      <c r="F86" s="256"/>
      <c r="G86"/>
      <c r="H86" s="18"/>
      <c r="I86"/>
      <c r="J86"/>
      <c r="K86"/>
      <c r="L86"/>
      <c r="V86" s="197"/>
    </row>
    <row r="87" spans="1:22" ht="18" customHeight="1">
      <c r="A87" s="196"/>
      <c r="D87"/>
      <c r="E87"/>
      <c r="F87" s="256"/>
      <c r="G87"/>
      <c r="H87" s="18"/>
      <c r="I87"/>
      <c r="J87"/>
      <c r="K87"/>
      <c r="L87"/>
      <c r="V87" s="197"/>
    </row>
    <row r="88" spans="1:22" ht="18" customHeight="1">
      <c r="A88" s="196"/>
      <c r="D88"/>
      <c r="E88"/>
      <c r="F88" s="256"/>
      <c r="G88"/>
      <c r="H88" s="18"/>
      <c r="I88"/>
      <c r="J88"/>
      <c r="K88"/>
      <c r="L88"/>
      <c r="V88" s="197"/>
    </row>
    <row r="89" spans="1:22" ht="18" customHeight="1">
      <c r="A89" s="196"/>
      <c r="D89"/>
      <c r="E89"/>
      <c r="F89" s="256"/>
      <c r="G89"/>
      <c r="H89" s="18"/>
      <c r="I89"/>
      <c r="J89"/>
      <c r="K89"/>
      <c r="L89"/>
      <c r="V89" s="197"/>
    </row>
    <row r="90" spans="1:22" ht="18" customHeight="1">
      <c r="A90" s="196"/>
      <c r="D90"/>
      <c r="E90"/>
      <c r="F90" s="256"/>
      <c r="G90"/>
      <c r="H90" s="18"/>
      <c r="I90"/>
      <c r="J90"/>
      <c r="K90"/>
      <c r="L90"/>
      <c r="V90" s="197"/>
    </row>
    <row r="91" spans="1:22" ht="18" customHeight="1">
      <c r="A91" s="302"/>
      <c r="B91" s="208"/>
      <c r="C91" s="208"/>
      <c r="D91" s="436"/>
      <c r="E91" s="436"/>
      <c r="F91" s="318"/>
      <c r="G91" s="436"/>
      <c r="H91" s="527"/>
      <c r="I91" s="436"/>
      <c r="J91" s="436"/>
      <c r="K91" s="436"/>
      <c r="L91" s="436"/>
      <c r="M91" s="208"/>
      <c r="N91" s="208"/>
      <c r="O91" s="208"/>
      <c r="P91" s="208"/>
      <c r="Q91" s="208"/>
      <c r="R91" s="208"/>
      <c r="S91" s="208"/>
      <c r="T91" s="208"/>
      <c r="U91" s="208"/>
      <c r="V91" s="303"/>
    </row>
    <row r="92" spans="1:22" ht="18" customHeight="1">
      <c r="A92" s="238"/>
      <c r="B92" s="239"/>
      <c r="C92" s="239"/>
      <c r="D92" s="239"/>
      <c r="E92" s="239"/>
      <c r="F92" s="239"/>
      <c r="G92" s="239"/>
      <c r="H92" s="239"/>
      <c r="I92" s="239"/>
      <c r="J92" s="239"/>
      <c r="K92" s="239"/>
      <c r="L92" s="239"/>
      <c r="M92" s="239"/>
      <c r="N92" s="239"/>
      <c r="O92" s="239"/>
      <c r="P92" s="239"/>
      <c r="Q92" s="239"/>
      <c r="R92" s="239"/>
      <c r="S92" s="239"/>
      <c r="T92" s="239"/>
      <c r="U92" s="239"/>
      <c r="V92" s="240"/>
    </row>
    <row r="93" spans="1:22" ht="18" customHeight="1">
      <c r="A93" s="274" t="s">
        <v>543</v>
      </c>
      <c r="B93" s="14"/>
      <c r="C93" s="14"/>
      <c r="D93" s="120"/>
      <c r="E93" s="120"/>
      <c r="F93" s="18"/>
      <c r="G93" s="18"/>
      <c r="H93" s="14"/>
      <c r="I93" s="14"/>
      <c r="J93" s="14"/>
      <c r="K93" s="14"/>
      <c r="L93" s="14"/>
      <c r="M93" s="14"/>
      <c r="N93" s="14"/>
      <c r="O93" s="14"/>
      <c r="P93" s="28"/>
      <c r="Q93" s="120"/>
      <c r="R93" s="47"/>
      <c r="S93" s="218"/>
      <c r="T93" s="271"/>
      <c r="U93" s="14"/>
      <c r="V93" s="97"/>
    </row>
    <row r="94" spans="1:22" customFormat="1" ht="18" customHeight="1">
      <c r="A94" s="782" t="s">
        <v>97</v>
      </c>
      <c r="B94" s="782"/>
      <c r="C94" s="612"/>
      <c r="D94" s="782" t="s">
        <v>98</v>
      </c>
      <c r="E94" s="782"/>
      <c r="F94" s="782"/>
      <c r="G94" s="782" t="s">
        <v>99</v>
      </c>
      <c r="H94" s="782"/>
      <c r="I94" s="782" t="s">
        <v>100</v>
      </c>
      <c r="J94" s="782"/>
      <c r="K94" s="782" t="s">
        <v>513</v>
      </c>
      <c r="L94" s="782"/>
      <c r="M94" s="782" t="s">
        <v>514</v>
      </c>
      <c r="N94" s="782"/>
      <c r="O94" s="782" t="s">
        <v>515</v>
      </c>
      <c r="P94" s="782"/>
      <c r="Q94" s="782" t="s">
        <v>516</v>
      </c>
      <c r="R94" s="782"/>
      <c r="S94" s="782" t="s">
        <v>105</v>
      </c>
      <c r="T94" s="782"/>
      <c r="U94" s="782"/>
      <c r="V94" s="782"/>
    </row>
    <row r="95" spans="1:22" customFormat="1" ht="18" customHeight="1">
      <c r="A95" s="782"/>
      <c r="B95" s="782"/>
      <c r="C95" s="612"/>
      <c r="D95" s="782"/>
      <c r="E95" s="782"/>
      <c r="F95" s="782"/>
      <c r="G95" s="782"/>
      <c r="H95" s="782"/>
      <c r="I95" s="782"/>
      <c r="J95" s="782"/>
      <c r="K95" s="782"/>
      <c r="L95" s="782"/>
      <c r="M95" s="782"/>
      <c r="N95" s="782"/>
      <c r="O95" s="782"/>
      <c r="P95" s="782"/>
      <c r="Q95" s="782"/>
      <c r="R95" s="782"/>
      <c r="S95" s="782"/>
      <c r="T95" s="782"/>
      <c r="U95" s="782"/>
      <c r="V95" s="782"/>
    </row>
    <row r="96" spans="1:22" customFormat="1" ht="18" customHeight="1">
      <c r="A96" s="782"/>
      <c r="B96" s="782"/>
      <c r="C96" s="612"/>
      <c r="D96" s="782"/>
      <c r="E96" s="782"/>
      <c r="F96" s="782"/>
      <c r="G96" s="782"/>
      <c r="H96" s="782"/>
      <c r="I96" s="782"/>
      <c r="J96" s="782"/>
      <c r="K96" s="782"/>
      <c r="L96" s="782"/>
      <c r="M96" s="782"/>
      <c r="N96" s="782"/>
      <c r="O96" s="782"/>
      <c r="P96" s="782"/>
      <c r="Q96" s="782"/>
      <c r="R96" s="782"/>
      <c r="S96" s="782"/>
      <c r="T96" s="782"/>
      <c r="U96" s="782"/>
      <c r="V96" s="782"/>
    </row>
    <row r="97" spans="1:22" customFormat="1" ht="18" customHeight="1">
      <c r="A97" s="782"/>
      <c r="B97" s="782"/>
      <c r="C97" s="612"/>
      <c r="D97" s="782"/>
      <c r="E97" s="782"/>
      <c r="F97" s="782"/>
      <c r="G97" s="782"/>
      <c r="H97" s="782"/>
      <c r="I97" s="782"/>
      <c r="J97" s="782"/>
      <c r="K97" s="782"/>
      <c r="L97" s="782"/>
      <c r="M97" s="782"/>
      <c r="N97" s="782"/>
      <c r="O97" s="782"/>
      <c r="P97" s="782"/>
      <c r="Q97" s="782"/>
      <c r="R97" s="782"/>
      <c r="S97" s="782"/>
      <c r="T97" s="782"/>
      <c r="U97" s="782"/>
      <c r="V97" s="782"/>
    </row>
    <row r="98" spans="1:22" customFormat="1" ht="18" customHeight="1">
      <c r="A98" s="623" t="str">
        <f>B7</f>
        <v>T1</v>
      </c>
      <c r="B98" s="623" t="str">
        <f>D7</f>
        <v>Core1</v>
      </c>
      <c r="C98" s="623"/>
      <c r="D98" s="613">
        <f>H10</f>
        <v>2500</v>
      </c>
      <c r="E98" s="613"/>
      <c r="F98" s="624">
        <f>O10</f>
        <v>1</v>
      </c>
      <c r="G98" s="613">
        <f>'CT-VT Burdens'!S19</f>
        <v>80</v>
      </c>
      <c r="H98" s="783">
        <f>'CT-VT Burdens'!S10</f>
        <v>2.5</v>
      </c>
      <c r="I98" s="783" t="str">
        <f>H11</f>
        <v>5P20</v>
      </c>
      <c r="J98" s="783"/>
      <c r="K98" s="612">
        <f>H12</f>
        <v>5</v>
      </c>
      <c r="L98" s="612"/>
      <c r="M98" s="612">
        <f>H13</f>
        <v>750</v>
      </c>
      <c r="N98" s="612"/>
      <c r="O98" s="613">
        <f>H14</f>
        <v>50</v>
      </c>
      <c r="P98" s="613"/>
      <c r="Q98" s="629" t="str">
        <f>CONCATENATE(T7,"+",T8,"+",T9)</f>
        <v>REC670+REF650+</v>
      </c>
      <c r="R98" s="629"/>
      <c r="S98" s="786" t="s">
        <v>544</v>
      </c>
      <c r="T98" s="613"/>
      <c r="U98" s="613"/>
      <c r="V98" s="613"/>
    </row>
    <row r="99" spans="1:22" customFormat="1" ht="18" customHeight="1">
      <c r="A99" s="623"/>
      <c r="B99" s="623"/>
      <c r="C99" s="623"/>
      <c r="D99" s="786" t="s">
        <v>7</v>
      </c>
      <c r="E99" s="613"/>
      <c r="F99" s="625"/>
      <c r="G99" s="613"/>
      <c r="H99" s="613"/>
      <c r="I99" s="783"/>
      <c r="J99" s="783"/>
      <c r="K99" s="785" t="s">
        <v>7</v>
      </c>
      <c r="L99" s="612"/>
      <c r="M99" s="785" t="s">
        <v>7</v>
      </c>
      <c r="N99" s="612"/>
      <c r="O99" s="786" t="s">
        <v>7</v>
      </c>
      <c r="P99" s="613"/>
      <c r="Q99" s="629"/>
      <c r="R99" s="629"/>
      <c r="S99" s="786" t="s">
        <v>7</v>
      </c>
      <c r="T99" s="613"/>
      <c r="U99" s="613"/>
      <c r="V99" s="613"/>
    </row>
    <row r="100" spans="1:22" customFormat="1" ht="18" customHeight="1">
      <c r="A100" s="623"/>
      <c r="B100" s="623"/>
      <c r="C100" s="623"/>
      <c r="D100" s="786" t="s">
        <v>7</v>
      </c>
      <c r="E100" s="613"/>
      <c r="F100" s="626"/>
      <c r="G100" s="613"/>
      <c r="H100" s="613"/>
      <c r="I100" s="783"/>
      <c r="J100" s="783"/>
      <c r="K100" s="785" t="s">
        <v>7</v>
      </c>
      <c r="L100" s="612"/>
      <c r="M100" s="785" t="s">
        <v>7</v>
      </c>
      <c r="N100" s="612"/>
      <c r="O100" s="786" t="s">
        <v>7</v>
      </c>
      <c r="P100" s="613"/>
      <c r="Q100" s="629"/>
      <c r="R100" s="629"/>
      <c r="S100" s="613" t="s">
        <v>7</v>
      </c>
      <c r="T100" s="613"/>
      <c r="U100" s="613"/>
      <c r="V100" s="613"/>
    </row>
    <row r="101" spans="1:22" ht="18" customHeight="1">
      <c r="A101" s="196"/>
      <c r="V101" s="197"/>
    </row>
    <row r="102" spans="1:22" ht="18" customHeight="1">
      <c r="A102" s="196"/>
      <c r="V102" s="197"/>
    </row>
    <row r="103" spans="1:22" ht="18" customHeight="1">
      <c r="A103" s="196"/>
      <c r="V103" s="197"/>
    </row>
    <row r="104" spans="1:22" ht="18" customHeight="1">
      <c r="A104" s="196"/>
      <c r="V104" s="197"/>
    </row>
    <row r="105" spans="1:22" ht="18" customHeight="1">
      <c r="A105" s="196"/>
      <c r="V105" s="197"/>
    </row>
    <row r="106" spans="1:22" ht="18" customHeight="1">
      <c r="A106" s="196"/>
      <c r="V106" s="197"/>
    </row>
    <row r="107" spans="1:22" ht="18" customHeight="1">
      <c r="A107" s="196"/>
      <c r="V107" s="197"/>
    </row>
    <row r="108" spans="1:22" ht="18" customHeight="1">
      <c r="A108" s="196"/>
      <c r="V108" s="197"/>
    </row>
    <row r="109" spans="1:22" ht="18" customHeight="1">
      <c r="A109" s="196"/>
      <c r="V109" s="197"/>
    </row>
    <row r="110" spans="1:22" ht="18" customHeight="1">
      <c r="A110" s="196"/>
      <c r="V110" s="197"/>
    </row>
    <row r="111" spans="1:22" ht="18" customHeight="1">
      <c r="A111" s="196"/>
      <c r="V111" s="197"/>
    </row>
    <row r="112" spans="1:22"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196"/>
      <c r="V126" s="197"/>
    </row>
    <row r="127" spans="1:22" ht="18" customHeight="1">
      <c r="A127" s="196"/>
      <c r="V127" s="197"/>
    </row>
    <row r="128" spans="1:22" ht="18" customHeight="1">
      <c r="A128" s="196"/>
      <c r="V128" s="197"/>
    </row>
    <row r="129" spans="1:22" ht="18" customHeight="1">
      <c r="A129" s="196"/>
      <c r="V129" s="197"/>
    </row>
    <row r="130" spans="1:22" ht="18" customHeight="1">
      <c r="A130" s="196"/>
      <c r="V130" s="197"/>
    </row>
    <row r="131" spans="1:22" ht="18" customHeight="1">
      <c r="A131" s="196"/>
      <c r="V131" s="197"/>
    </row>
    <row r="132" spans="1:22" ht="18" customHeight="1">
      <c r="A132" s="196"/>
      <c r="V132" s="197"/>
    </row>
    <row r="133" spans="1:22" ht="18" customHeight="1">
      <c r="A133" s="196"/>
      <c r="V133" s="197"/>
    </row>
    <row r="134" spans="1:22" s="14" customFormat="1" ht="18" customHeight="1">
      <c r="A134" s="206"/>
      <c r="B134" s="207"/>
      <c r="C134" s="207"/>
      <c r="D134" s="207"/>
      <c r="E134" s="207"/>
      <c r="F134" s="207"/>
      <c r="G134" s="207"/>
      <c r="H134" s="207"/>
      <c r="I134" s="207"/>
      <c r="J134" s="207"/>
      <c r="K134" s="207"/>
      <c r="L134" s="207"/>
      <c r="M134" s="207"/>
      <c r="N134" s="207"/>
      <c r="O134" s="207"/>
      <c r="P134" s="207"/>
      <c r="Q134" s="236"/>
      <c r="R134" s="194"/>
      <c r="S134" s="237"/>
      <c r="T134" s="207"/>
      <c r="U134" s="207"/>
      <c r="V134" s="140"/>
    </row>
  </sheetData>
  <mergeCells count="150">
    <mergeCell ref="H51:I51"/>
    <mergeCell ref="J51:J52"/>
    <mergeCell ref="O63:O64"/>
    <mergeCell ref="P63:P64"/>
    <mergeCell ref="Q63:S63"/>
    <mergeCell ref="T63:T64"/>
    <mergeCell ref="D66:E66"/>
    <mergeCell ref="B63:C64"/>
    <mergeCell ref="D63:D64"/>
    <mergeCell ref="E63:E64"/>
    <mergeCell ref="F63:G64"/>
    <mergeCell ref="H63:H64"/>
    <mergeCell ref="I63:J63"/>
    <mergeCell ref="K63:K64"/>
    <mergeCell ref="L63:L64"/>
    <mergeCell ref="M63:M64"/>
    <mergeCell ref="N63:N64"/>
    <mergeCell ref="I64:J64"/>
    <mergeCell ref="F37:G38"/>
    <mergeCell ref="E37:E38"/>
    <mergeCell ref="D37:D38"/>
    <mergeCell ref="S56:T56"/>
    <mergeCell ref="S57:T57"/>
    <mergeCell ref="S58:T58"/>
    <mergeCell ref="S59:T59"/>
    <mergeCell ref="S60:T60"/>
    <mergeCell ref="S61:T61"/>
    <mergeCell ref="H53:I53"/>
    <mergeCell ref="K51:K52"/>
    <mergeCell ref="L51:L52"/>
    <mergeCell ref="M51:M52"/>
    <mergeCell ref="N51:N52"/>
    <mergeCell ref="O51:O52"/>
    <mergeCell ref="P51:R51"/>
    <mergeCell ref="S51:S52"/>
    <mergeCell ref="T51:T52"/>
    <mergeCell ref="H52:I52"/>
    <mergeCell ref="S55:T55"/>
    <mergeCell ref="B51:D52"/>
    <mergeCell ref="E51:E52"/>
    <mergeCell ref="F51:F52"/>
    <mergeCell ref="G51:G52"/>
    <mergeCell ref="M37:M38"/>
    <mergeCell ref="N37:N38"/>
    <mergeCell ref="O37:O38"/>
    <mergeCell ref="P37:P38"/>
    <mergeCell ref="Q37:S37"/>
    <mergeCell ref="I37:J37"/>
    <mergeCell ref="I38:J38"/>
    <mergeCell ref="K37:K38"/>
    <mergeCell ref="H37:H38"/>
    <mergeCell ref="K94:L97"/>
    <mergeCell ref="B37:C38"/>
    <mergeCell ref="S25:S26"/>
    <mergeCell ref="H26:I26"/>
    <mergeCell ref="E25:E26"/>
    <mergeCell ref="G25:G26"/>
    <mergeCell ref="P25:R25"/>
    <mergeCell ref="T25:T26"/>
    <mergeCell ref="B25:D26"/>
    <mergeCell ref="F25:F26"/>
    <mergeCell ref="H25:I25"/>
    <mergeCell ref="J25:J26"/>
    <mergeCell ref="K25:K26"/>
    <mergeCell ref="L25:L26"/>
    <mergeCell ref="M25:M26"/>
    <mergeCell ref="N25:N26"/>
    <mergeCell ref="O25:O26"/>
    <mergeCell ref="S32:T32"/>
    <mergeCell ref="S33:T33"/>
    <mergeCell ref="S34:T34"/>
    <mergeCell ref="S35:T35"/>
    <mergeCell ref="T37:T38"/>
    <mergeCell ref="D40:E40"/>
    <mergeCell ref="L37:L38"/>
    <mergeCell ref="H27:I27"/>
    <mergeCell ref="S29:T29"/>
    <mergeCell ref="S30:T30"/>
    <mergeCell ref="S31:T31"/>
    <mergeCell ref="H14:I14"/>
    <mergeCell ref="J18:K18"/>
    <mergeCell ref="J19:K19"/>
    <mergeCell ref="J20:K20"/>
    <mergeCell ref="J21:K21"/>
    <mergeCell ref="P21:Q21"/>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K100:L100"/>
    <mergeCell ref="M100:N100"/>
    <mergeCell ref="E70:F70"/>
    <mergeCell ref="H70:I70"/>
    <mergeCell ref="A94:C97"/>
    <mergeCell ref="D94:F97"/>
    <mergeCell ref="G94:H97"/>
    <mergeCell ref="I94:J97"/>
    <mergeCell ref="T7:U7"/>
    <mergeCell ref="T8:U8"/>
    <mergeCell ref="H9:I9"/>
    <mergeCell ref="J9:K9"/>
    <mergeCell ref="L9:M9"/>
    <mergeCell ref="T9:U9"/>
    <mergeCell ref="H10:I10"/>
    <mergeCell ref="J10:K10"/>
    <mergeCell ref="L10:M10"/>
    <mergeCell ref="H11:I11"/>
    <mergeCell ref="H12:I12"/>
    <mergeCell ref="H13:I13"/>
    <mergeCell ref="B7:C7"/>
    <mergeCell ref="D7:E7"/>
    <mergeCell ref="H7:M7"/>
    <mergeCell ref="J22:K22"/>
    <mergeCell ref="O100:P100"/>
    <mergeCell ref="S100:V100"/>
    <mergeCell ref="M94:N97"/>
    <mergeCell ref="O94:P97"/>
    <mergeCell ref="Q94:R97"/>
    <mergeCell ref="S94:V97"/>
    <mergeCell ref="A98:A100"/>
    <mergeCell ref="B98:C100"/>
    <mergeCell ref="D98:E98"/>
    <mergeCell ref="F98:F100"/>
    <mergeCell ref="G98:G100"/>
    <mergeCell ref="H98:H100"/>
    <mergeCell ref="I98:J100"/>
    <mergeCell ref="K98:L98"/>
    <mergeCell ref="M98:N98"/>
    <mergeCell ref="O98:P98"/>
    <mergeCell ref="Q98:R100"/>
    <mergeCell ref="S98:V98"/>
    <mergeCell ref="D99:E99"/>
    <mergeCell ref="K99:L99"/>
    <mergeCell ref="M99:N99"/>
    <mergeCell ref="O99:P99"/>
    <mergeCell ref="S99:V99"/>
    <mergeCell ref="D100:E100"/>
  </mergeCells>
  <conditionalFormatting sqref="H72:H91">
    <cfRule type="cellIs" dxfId="97" priority="3" stopIfTrue="1" operator="equal">
      <formula>"Under Dimentioned"</formula>
    </cfRule>
  </conditionalFormatting>
  <dataValidations count="1">
    <dataValidation type="list" allowBlank="1" showInputMessage="1" showErrorMessage="1" sqref="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369 IZ65369 SV65369 ACR65369 AMN65369 AWJ65369 BGF65369 BQB65369 BZX65369 CJT65369 CTP65369 DDL65369 DNH65369 DXD65369 EGZ65369 EQV65369 FAR65369 FKN65369 FUJ65369 GEF65369 GOB65369 GXX65369 HHT65369 HRP65369 IBL65369 ILH65369 IVD65369 JEZ65369 JOV65369 JYR65369 KIN65369 KSJ65369 LCF65369 LMB65369 LVX65369 MFT65369 MPP65369 MZL65369 NJH65369 NTD65369 OCZ65369 OMV65369 OWR65369 PGN65369 PQJ65369 QAF65369 QKB65369 QTX65369 RDT65369 RNP65369 RXL65369 SHH65369 SRD65369 TAZ65369 TKV65369 TUR65369 UEN65369 UOJ65369 UYF65369 VIB65369 VRX65369 WBT65369 WLP65369 WVL65369 D130905 IZ130905 SV130905 ACR130905 AMN130905 AWJ130905 BGF130905 BQB130905 BZX130905 CJT130905 CTP130905 DDL130905 DNH130905 DXD130905 EGZ130905 EQV130905 FAR130905 FKN130905 FUJ130905 GEF130905 GOB130905 GXX130905 HHT130905 HRP130905 IBL130905 ILH130905 IVD130905 JEZ130905 JOV130905 JYR130905 KIN130905 KSJ130905 LCF130905 LMB130905 LVX130905 MFT130905 MPP130905 MZL130905 NJH130905 NTD130905 OCZ130905 OMV130905 OWR130905 PGN130905 PQJ130905 QAF130905 QKB130905 QTX130905 RDT130905 RNP130905 RXL130905 SHH130905 SRD130905 TAZ130905 TKV130905 TUR130905 UEN130905 UOJ130905 UYF130905 VIB130905 VRX130905 WBT130905 WLP130905 WVL130905 D196441 IZ196441 SV196441 ACR196441 AMN196441 AWJ196441 BGF196441 BQB196441 BZX196441 CJT196441 CTP196441 DDL196441 DNH196441 DXD196441 EGZ196441 EQV196441 FAR196441 FKN196441 FUJ196441 GEF196441 GOB196441 GXX196441 HHT196441 HRP196441 IBL196441 ILH196441 IVD196441 JEZ196441 JOV196441 JYR196441 KIN196441 KSJ196441 LCF196441 LMB196441 LVX196441 MFT196441 MPP196441 MZL196441 NJH196441 NTD196441 OCZ196441 OMV196441 OWR196441 PGN196441 PQJ196441 QAF196441 QKB196441 QTX196441 RDT196441 RNP196441 RXL196441 SHH196441 SRD196441 TAZ196441 TKV196441 TUR196441 UEN196441 UOJ196441 UYF196441 VIB196441 VRX196441 WBT196441 WLP196441 WVL196441 D261977 IZ261977 SV261977 ACR261977 AMN261977 AWJ261977 BGF261977 BQB261977 BZX261977 CJT261977 CTP261977 DDL261977 DNH261977 DXD261977 EGZ261977 EQV261977 FAR261977 FKN261977 FUJ261977 GEF261977 GOB261977 GXX261977 HHT261977 HRP261977 IBL261977 ILH261977 IVD261977 JEZ261977 JOV261977 JYR261977 KIN261977 KSJ261977 LCF261977 LMB261977 LVX261977 MFT261977 MPP261977 MZL261977 NJH261977 NTD261977 OCZ261977 OMV261977 OWR261977 PGN261977 PQJ261977 QAF261977 QKB261977 QTX261977 RDT261977 RNP261977 RXL261977 SHH261977 SRD261977 TAZ261977 TKV261977 TUR261977 UEN261977 UOJ261977 UYF261977 VIB261977 VRX261977 WBT261977 WLP261977 WVL261977 D327513 IZ327513 SV327513 ACR327513 AMN327513 AWJ327513 BGF327513 BQB327513 BZX327513 CJT327513 CTP327513 DDL327513 DNH327513 DXD327513 EGZ327513 EQV327513 FAR327513 FKN327513 FUJ327513 GEF327513 GOB327513 GXX327513 HHT327513 HRP327513 IBL327513 ILH327513 IVD327513 JEZ327513 JOV327513 JYR327513 KIN327513 KSJ327513 LCF327513 LMB327513 LVX327513 MFT327513 MPP327513 MZL327513 NJH327513 NTD327513 OCZ327513 OMV327513 OWR327513 PGN327513 PQJ327513 QAF327513 QKB327513 QTX327513 RDT327513 RNP327513 RXL327513 SHH327513 SRD327513 TAZ327513 TKV327513 TUR327513 UEN327513 UOJ327513 UYF327513 VIB327513 VRX327513 WBT327513 WLP327513 WVL327513 D393049 IZ393049 SV393049 ACR393049 AMN393049 AWJ393049 BGF393049 BQB393049 BZX393049 CJT393049 CTP393049 DDL393049 DNH393049 DXD393049 EGZ393049 EQV393049 FAR393049 FKN393049 FUJ393049 GEF393049 GOB393049 GXX393049 HHT393049 HRP393049 IBL393049 ILH393049 IVD393049 JEZ393049 JOV393049 JYR393049 KIN393049 KSJ393049 LCF393049 LMB393049 LVX393049 MFT393049 MPP393049 MZL393049 NJH393049 NTD393049 OCZ393049 OMV393049 OWR393049 PGN393049 PQJ393049 QAF393049 QKB393049 QTX393049 RDT393049 RNP393049 RXL393049 SHH393049 SRD393049 TAZ393049 TKV393049 TUR393049 UEN393049 UOJ393049 UYF393049 VIB393049 VRX393049 WBT393049 WLP393049 WVL393049 D458585 IZ458585 SV458585 ACR458585 AMN458585 AWJ458585 BGF458585 BQB458585 BZX458585 CJT458585 CTP458585 DDL458585 DNH458585 DXD458585 EGZ458585 EQV458585 FAR458585 FKN458585 FUJ458585 GEF458585 GOB458585 GXX458585 HHT458585 HRP458585 IBL458585 ILH458585 IVD458585 JEZ458585 JOV458585 JYR458585 KIN458585 KSJ458585 LCF458585 LMB458585 LVX458585 MFT458585 MPP458585 MZL458585 NJH458585 NTD458585 OCZ458585 OMV458585 OWR458585 PGN458585 PQJ458585 QAF458585 QKB458585 QTX458585 RDT458585 RNP458585 RXL458585 SHH458585 SRD458585 TAZ458585 TKV458585 TUR458585 UEN458585 UOJ458585 UYF458585 VIB458585 VRX458585 WBT458585 WLP458585 WVL458585 D524121 IZ524121 SV524121 ACR524121 AMN524121 AWJ524121 BGF524121 BQB524121 BZX524121 CJT524121 CTP524121 DDL524121 DNH524121 DXD524121 EGZ524121 EQV524121 FAR524121 FKN524121 FUJ524121 GEF524121 GOB524121 GXX524121 HHT524121 HRP524121 IBL524121 ILH524121 IVD524121 JEZ524121 JOV524121 JYR524121 KIN524121 KSJ524121 LCF524121 LMB524121 LVX524121 MFT524121 MPP524121 MZL524121 NJH524121 NTD524121 OCZ524121 OMV524121 OWR524121 PGN524121 PQJ524121 QAF524121 QKB524121 QTX524121 RDT524121 RNP524121 RXL524121 SHH524121 SRD524121 TAZ524121 TKV524121 TUR524121 UEN524121 UOJ524121 UYF524121 VIB524121 VRX524121 WBT524121 WLP524121 WVL524121 D589657 IZ589657 SV589657 ACR589657 AMN589657 AWJ589657 BGF589657 BQB589657 BZX589657 CJT589657 CTP589657 DDL589657 DNH589657 DXD589657 EGZ589657 EQV589657 FAR589657 FKN589657 FUJ589657 GEF589657 GOB589657 GXX589657 HHT589657 HRP589657 IBL589657 ILH589657 IVD589657 JEZ589657 JOV589657 JYR589657 KIN589657 KSJ589657 LCF589657 LMB589657 LVX589657 MFT589657 MPP589657 MZL589657 NJH589657 NTD589657 OCZ589657 OMV589657 OWR589657 PGN589657 PQJ589657 QAF589657 QKB589657 QTX589657 RDT589657 RNP589657 RXL589657 SHH589657 SRD589657 TAZ589657 TKV589657 TUR589657 UEN589657 UOJ589657 UYF589657 VIB589657 VRX589657 WBT589657 WLP589657 WVL589657 D655193 IZ655193 SV655193 ACR655193 AMN655193 AWJ655193 BGF655193 BQB655193 BZX655193 CJT655193 CTP655193 DDL655193 DNH655193 DXD655193 EGZ655193 EQV655193 FAR655193 FKN655193 FUJ655193 GEF655193 GOB655193 GXX655193 HHT655193 HRP655193 IBL655193 ILH655193 IVD655193 JEZ655193 JOV655193 JYR655193 KIN655193 KSJ655193 LCF655193 LMB655193 LVX655193 MFT655193 MPP655193 MZL655193 NJH655193 NTD655193 OCZ655193 OMV655193 OWR655193 PGN655193 PQJ655193 QAF655193 QKB655193 QTX655193 RDT655193 RNP655193 RXL655193 SHH655193 SRD655193 TAZ655193 TKV655193 TUR655193 UEN655193 UOJ655193 UYF655193 VIB655193 VRX655193 WBT655193 WLP655193 WVL655193 D720729 IZ720729 SV720729 ACR720729 AMN720729 AWJ720729 BGF720729 BQB720729 BZX720729 CJT720729 CTP720729 DDL720729 DNH720729 DXD720729 EGZ720729 EQV720729 FAR720729 FKN720729 FUJ720729 GEF720729 GOB720729 GXX720729 HHT720729 HRP720729 IBL720729 ILH720729 IVD720729 JEZ720729 JOV720729 JYR720729 KIN720729 KSJ720729 LCF720729 LMB720729 LVX720729 MFT720729 MPP720729 MZL720729 NJH720729 NTD720729 OCZ720729 OMV720729 OWR720729 PGN720729 PQJ720729 QAF720729 QKB720729 QTX720729 RDT720729 RNP720729 RXL720729 SHH720729 SRD720729 TAZ720729 TKV720729 TUR720729 UEN720729 UOJ720729 UYF720729 VIB720729 VRX720729 WBT720729 WLP720729 WVL720729 D786265 IZ786265 SV786265 ACR786265 AMN786265 AWJ786265 BGF786265 BQB786265 BZX786265 CJT786265 CTP786265 DDL786265 DNH786265 DXD786265 EGZ786265 EQV786265 FAR786265 FKN786265 FUJ786265 GEF786265 GOB786265 GXX786265 HHT786265 HRP786265 IBL786265 ILH786265 IVD786265 JEZ786265 JOV786265 JYR786265 KIN786265 KSJ786265 LCF786265 LMB786265 LVX786265 MFT786265 MPP786265 MZL786265 NJH786265 NTD786265 OCZ786265 OMV786265 OWR786265 PGN786265 PQJ786265 QAF786265 QKB786265 QTX786265 RDT786265 RNP786265 RXL786265 SHH786265 SRD786265 TAZ786265 TKV786265 TUR786265 UEN786265 UOJ786265 UYF786265 VIB786265 VRX786265 WBT786265 WLP786265 WVL786265 D851801 IZ851801 SV851801 ACR851801 AMN851801 AWJ851801 BGF851801 BQB851801 BZX851801 CJT851801 CTP851801 DDL851801 DNH851801 DXD851801 EGZ851801 EQV851801 FAR851801 FKN851801 FUJ851801 GEF851801 GOB851801 GXX851801 HHT851801 HRP851801 IBL851801 ILH851801 IVD851801 JEZ851801 JOV851801 JYR851801 KIN851801 KSJ851801 LCF851801 LMB851801 LVX851801 MFT851801 MPP851801 MZL851801 NJH851801 NTD851801 OCZ851801 OMV851801 OWR851801 PGN851801 PQJ851801 QAF851801 QKB851801 QTX851801 RDT851801 RNP851801 RXL851801 SHH851801 SRD851801 TAZ851801 TKV851801 TUR851801 UEN851801 UOJ851801 UYF851801 VIB851801 VRX851801 WBT851801 WLP851801 WVL851801 D917337 IZ917337 SV917337 ACR917337 AMN917337 AWJ917337 BGF917337 BQB917337 BZX917337 CJT917337 CTP917337 DDL917337 DNH917337 DXD917337 EGZ917337 EQV917337 FAR917337 FKN917337 FUJ917337 GEF917337 GOB917337 GXX917337 HHT917337 HRP917337 IBL917337 ILH917337 IVD917337 JEZ917337 JOV917337 JYR917337 KIN917337 KSJ917337 LCF917337 LMB917337 LVX917337 MFT917337 MPP917337 MZL917337 NJH917337 NTD917337 OCZ917337 OMV917337 OWR917337 PGN917337 PQJ917337 QAF917337 QKB917337 QTX917337 RDT917337 RNP917337 RXL917337 SHH917337 SRD917337 TAZ917337 TKV917337 TUR917337 UEN917337 UOJ917337 UYF917337 VIB917337 VRX917337 WBT917337 WLP917337 WVL917337 D982873 IZ982873 SV982873 ACR982873 AMN982873 AWJ982873 BGF982873 BQB982873 BZX982873 CJT982873 CTP982873 DDL982873 DNH982873 DXD982873 EGZ982873 EQV982873 FAR982873 FKN982873 FUJ982873 GEF982873 GOB982873 GXX982873 HHT982873 HRP982873 IBL982873 ILH982873 IVD982873 JEZ982873 JOV982873 JYR982873 KIN982873 KSJ982873 LCF982873 LMB982873 LVX982873 MFT982873 MPP982873 MZL982873 NJH982873 NTD982873 OCZ982873 OMV982873 OWR982873 PGN982873 PQJ982873 QAF982873 QKB982873 QTX982873 RDT982873 RNP982873 RXL982873 SHH982873 SRD982873 TAZ982873 TKV982873 TUR982873 UEN982873 UOJ982873 UYF982873 VIB982873 VRX982873 WBT982873 WLP982873 WVL982873 D65452 IZ65452 SV65452 ACR65452 AMN65452 AWJ65452 BGF65452 BQB65452 BZX65452 CJT65452 CTP65452 DDL65452 DNH65452 DXD65452 EGZ65452 EQV65452 FAR65452 FKN65452 FUJ65452 GEF65452 GOB65452 GXX65452 HHT65452 HRP65452 IBL65452 ILH65452 IVD65452 JEZ65452 JOV65452 JYR65452 KIN65452 KSJ65452 LCF65452 LMB65452 LVX65452 MFT65452 MPP65452 MZL65452 NJH65452 NTD65452 OCZ65452 OMV65452 OWR65452 PGN65452 PQJ65452 QAF65452 QKB65452 QTX65452 RDT65452 RNP65452 RXL65452 SHH65452 SRD65452 TAZ65452 TKV65452 TUR65452 UEN65452 UOJ65452 UYF65452 VIB65452 VRX65452 WBT65452 WLP65452 WVL65452 D130988 IZ130988 SV130988 ACR130988 AMN130988 AWJ130988 BGF130988 BQB130988 BZX130988 CJT130988 CTP130988 DDL130988 DNH130988 DXD130988 EGZ130988 EQV130988 FAR130988 FKN130988 FUJ130988 GEF130988 GOB130988 GXX130988 HHT130988 HRP130988 IBL130988 ILH130988 IVD130988 JEZ130988 JOV130988 JYR130988 KIN130988 KSJ130988 LCF130988 LMB130988 LVX130988 MFT130988 MPP130988 MZL130988 NJH130988 NTD130988 OCZ130988 OMV130988 OWR130988 PGN130988 PQJ130988 QAF130988 QKB130988 QTX130988 RDT130988 RNP130988 RXL130988 SHH130988 SRD130988 TAZ130988 TKV130988 TUR130988 UEN130988 UOJ130988 UYF130988 VIB130988 VRX130988 WBT130988 WLP130988 WVL130988 D196524 IZ196524 SV196524 ACR196524 AMN196524 AWJ196524 BGF196524 BQB196524 BZX196524 CJT196524 CTP196524 DDL196524 DNH196524 DXD196524 EGZ196524 EQV196524 FAR196524 FKN196524 FUJ196524 GEF196524 GOB196524 GXX196524 HHT196524 HRP196524 IBL196524 ILH196524 IVD196524 JEZ196524 JOV196524 JYR196524 KIN196524 KSJ196524 LCF196524 LMB196524 LVX196524 MFT196524 MPP196524 MZL196524 NJH196524 NTD196524 OCZ196524 OMV196524 OWR196524 PGN196524 PQJ196524 QAF196524 QKB196524 QTX196524 RDT196524 RNP196524 RXL196524 SHH196524 SRD196524 TAZ196524 TKV196524 TUR196524 UEN196524 UOJ196524 UYF196524 VIB196524 VRX196524 WBT196524 WLP196524 WVL196524 D262060 IZ262060 SV262060 ACR262060 AMN262060 AWJ262060 BGF262060 BQB262060 BZX262060 CJT262060 CTP262060 DDL262060 DNH262060 DXD262060 EGZ262060 EQV262060 FAR262060 FKN262060 FUJ262060 GEF262060 GOB262060 GXX262060 HHT262060 HRP262060 IBL262060 ILH262060 IVD262060 JEZ262060 JOV262060 JYR262060 KIN262060 KSJ262060 LCF262060 LMB262060 LVX262060 MFT262060 MPP262060 MZL262060 NJH262060 NTD262060 OCZ262060 OMV262060 OWR262060 PGN262060 PQJ262060 QAF262060 QKB262060 QTX262060 RDT262060 RNP262060 RXL262060 SHH262060 SRD262060 TAZ262060 TKV262060 TUR262060 UEN262060 UOJ262060 UYF262060 VIB262060 VRX262060 WBT262060 WLP262060 WVL262060 D327596 IZ327596 SV327596 ACR327596 AMN327596 AWJ327596 BGF327596 BQB327596 BZX327596 CJT327596 CTP327596 DDL327596 DNH327596 DXD327596 EGZ327596 EQV327596 FAR327596 FKN327596 FUJ327596 GEF327596 GOB327596 GXX327596 HHT327596 HRP327596 IBL327596 ILH327596 IVD327596 JEZ327596 JOV327596 JYR327596 KIN327596 KSJ327596 LCF327596 LMB327596 LVX327596 MFT327596 MPP327596 MZL327596 NJH327596 NTD327596 OCZ327596 OMV327596 OWR327596 PGN327596 PQJ327596 QAF327596 QKB327596 QTX327596 RDT327596 RNP327596 RXL327596 SHH327596 SRD327596 TAZ327596 TKV327596 TUR327596 UEN327596 UOJ327596 UYF327596 VIB327596 VRX327596 WBT327596 WLP327596 WVL327596 D393132 IZ393132 SV393132 ACR393132 AMN393132 AWJ393132 BGF393132 BQB393132 BZX393132 CJT393132 CTP393132 DDL393132 DNH393132 DXD393132 EGZ393132 EQV393132 FAR393132 FKN393132 FUJ393132 GEF393132 GOB393132 GXX393132 HHT393132 HRP393132 IBL393132 ILH393132 IVD393132 JEZ393132 JOV393132 JYR393132 KIN393132 KSJ393132 LCF393132 LMB393132 LVX393132 MFT393132 MPP393132 MZL393132 NJH393132 NTD393132 OCZ393132 OMV393132 OWR393132 PGN393132 PQJ393132 QAF393132 QKB393132 QTX393132 RDT393132 RNP393132 RXL393132 SHH393132 SRD393132 TAZ393132 TKV393132 TUR393132 UEN393132 UOJ393132 UYF393132 VIB393132 VRX393132 WBT393132 WLP393132 WVL393132 D458668 IZ458668 SV458668 ACR458668 AMN458668 AWJ458668 BGF458668 BQB458668 BZX458668 CJT458668 CTP458668 DDL458668 DNH458668 DXD458668 EGZ458668 EQV458668 FAR458668 FKN458668 FUJ458668 GEF458668 GOB458668 GXX458668 HHT458668 HRP458668 IBL458668 ILH458668 IVD458668 JEZ458668 JOV458668 JYR458668 KIN458668 KSJ458668 LCF458668 LMB458668 LVX458668 MFT458668 MPP458668 MZL458668 NJH458668 NTD458668 OCZ458668 OMV458668 OWR458668 PGN458668 PQJ458668 QAF458668 QKB458668 QTX458668 RDT458668 RNP458668 RXL458668 SHH458668 SRD458668 TAZ458668 TKV458668 TUR458668 UEN458668 UOJ458668 UYF458668 VIB458668 VRX458668 WBT458668 WLP458668 WVL458668 D524204 IZ524204 SV524204 ACR524204 AMN524204 AWJ524204 BGF524204 BQB524204 BZX524204 CJT524204 CTP524204 DDL524204 DNH524204 DXD524204 EGZ524204 EQV524204 FAR524204 FKN524204 FUJ524204 GEF524204 GOB524204 GXX524204 HHT524204 HRP524204 IBL524204 ILH524204 IVD524204 JEZ524204 JOV524204 JYR524204 KIN524204 KSJ524204 LCF524204 LMB524204 LVX524204 MFT524204 MPP524204 MZL524204 NJH524204 NTD524204 OCZ524204 OMV524204 OWR524204 PGN524204 PQJ524204 QAF524204 QKB524204 QTX524204 RDT524204 RNP524204 RXL524204 SHH524204 SRD524204 TAZ524204 TKV524204 TUR524204 UEN524204 UOJ524204 UYF524204 VIB524204 VRX524204 WBT524204 WLP524204 WVL524204 D589740 IZ589740 SV589740 ACR589740 AMN589740 AWJ589740 BGF589740 BQB589740 BZX589740 CJT589740 CTP589740 DDL589740 DNH589740 DXD589740 EGZ589740 EQV589740 FAR589740 FKN589740 FUJ589740 GEF589740 GOB589740 GXX589740 HHT589740 HRP589740 IBL589740 ILH589740 IVD589740 JEZ589740 JOV589740 JYR589740 KIN589740 KSJ589740 LCF589740 LMB589740 LVX589740 MFT589740 MPP589740 MZL589740 NJH589740 NTD589740 OCZ589740 OMV589740 OWR589740 PGN589740 PQJ589740 QAF589740 QKB589740 QTX589740 RDT589740 RNP589740 RXL589740 SHH589740 SRD589740 TAZ589740 TKV589740 TUR589740 UEN589740 UOJ589740 UYF589740 VIB589740 VRX589740 WBT589740 WLP589740 WVL589740 D655276 IZ655276 SV655276 ACR655276 AMN655276 AWJ655276 BGF655276 BQB655276 BZX655276 CJT655276 CTP655276 DDL655276 DNH655276 DXD655276 EGZ655276 EQV655276 FAR655276 FKN655276 FUJ655276 GEF655276 GOB655276 GXX655276 HHT655276 HRP655276 IBL655276 ILH655276 IVD655276 JEZ655276 JOV655276 JYR655276 KIN655276 KSJ655276 LCF655276 LMB655276 LVX655276 MFT655276 MPP655276 MZL655276 NJH655276 NTD655276 OCZ655276 OMV655276 OWR655276 PGN655276 PQJ655276 QAF655276 QKB655276 QTX655276 RDT655276 RNP655276 RXL655276 SHH655276 SRD655276 TAZ655276 TKV655276 TUR655276 UEN655276 UOJ655276 UYF655276 VIB655276 VRX655276 WBT655276 WLP655276 WVL655276 D720812 IZ720812 SV720812 ACR720812 AMN720812 AWJ720812 BGF720812 BQB720812 BZX720812 CJT720812 CTP720812 DDL720812 DNH720812 DXD720812 EGZ720812 EQV720812 FAR720812 FKN720812 FUJ720812 GEF720812 GOB720812 GXX720812 HHT720812 HRP720812 IBL720812 ILH720812 IVD720812 JEZ720812 JOV720812 JYR720812 KIN720812 KSJ720812 LCF720812 LMB720812 LVX720812 MFT720812 MPP720812 MZL720812 NJH720812 NTD720812 OCZ720812 OMV720812 OWR720812 PGN720812 PQJ720812 QAF720812 QKB720812 QTX720812 RDT720812 RNP720812 RXL720812 SHH720812 SRD720812 TAZ720812 TKV720812 TUR720812 UEN720812 UOJ720812 UYF720812 VIB720812 VRX720812 WBT720812 WLP720812 WVL720812 D786348 IZ786348 SV786348 ACR786348 AMN786348 AWJ786348 BGF786348 BQB786348 BZX786348 CJT786348 CTP786348 DDL786348 DNH786348 DXD786348 EGZ786348 EQV786348 FAR786348 FKN786348 FUJ786348 GEF786348 GOB786348 GXX786348 HHT786348 HRP786348 IBL786348 ILH786348 IVD786348 JEZ786348 JOV786348 JYR786348 KIN786348 KSJ786348 LCF786348 LMB786348 LVX786348 MFT786348 MPP786348 MZL786348 NJH786348 NTD786348 OCZ786348 OMV786348 OWR786348 PGN786348 PQJ786348 QAF786348 QKB786348 QTX786348 RDT786348 RNP786348 RXL786348 SHH786348 SRD786348 TAZ786348 TKV786348 TUR786348 UEN786348 UOJ786348 UYF786348 VIB786348 VRX786348 WBT786348 WLP786348 WVL786348 D851884 IZ851884 SV851884 ACR851884 AMN851884 AWJ851884 BGF851884 BQB851884 BZX851884 CJT851884 CTP851884 DDL851884 DNH851884 DXD851884 EGZ851884 EQV851884 FAR851884 FKN851884 FUJ851884 GEF851884 GOB851884 GXX851884 HHT851884 HRP851884 IBL851884 ILH851884 IVD851884 JEZ851884 JOV851884 JYR851884 KIN851884 KSJ851884 LCF851884 LMB851884 LVX851884 MFT851884 MPP851884 MZL851884 NJH851884 NTD851884 OCZ851884 OMV851884 OWR851884 PGN851884 PQJ851884 QAF851884 QKB851884 QTX851884 RDT851884 RNP851884 RXL851884 SHH851884 SRD851884 TAZ851884 TKV851884 TUR851884 UEN851884 UOJ851884 UYF851884 VIB851884 VRX851884 WBT851884 WLP851884 WVL851884 D917420 IZ917420 SV917420 ACR917420 AMN917420 AWJ917420 BGF917420 BQB917420 BZX917420 CJT917420 CTP917420 DDL917420 DNH917420 DXD917420 EGZ917420 EQV917420 FAR917420 FKN917420 FUJ917420 GEF917420 GOB917420 GXX917420 HHT917420 HRP917420 IBL917420 ILH917420 IVD917420 JEZ917420 JOV917420 JYR917420 KIN917420 KSJ917420 LCF917420 LMB917420 LVX917420 MFT917420 MPP917420 MZL917420 NJH917420 NTD917420 OCZ917420 OMV917420 OWR917420 PGN917420 PQJ917420 QAF917420 QKB917420 QTX917420 RDT917420 RNP917420 RXL917420 SHH917420 SRD917420 TAZ917420 TKV917420 TUR917420 UEN917420 UOJ917420 UYF917420 VIB917420 VRX917420 WBT917420 WLP917420 WVL917420 D982956 IZ982956 SV982956 ACR982956 AMN982956 AWJ982956 BGF982956 BQB982956 BZX982956 CJT982956 CTP982956 DDL982956 DNH982956 DXD982956 EGZ982956 EQV982956 FAR982956 FKN982956 FUJ982956 GEF982956 GOB982956 GXX982956 HHT982956 HRP982956 IBL982956 ILH982956 IVD982956 JEZ982956 JOV982956 JYR982956 KIN982956 KSJ982956 LCF982956 LMB982956 LVX982956 MFT982956 MPP982956 MZL982956 NJH982956 NTD982956 OCZ982956 OMV982956 OWR982956 PGN982956 PQJ982956 QAF982956 QKB982956 QTX982956 RDT982956 RNP982956 RXL982956 SHH982956 SRD982956 TAZ982956 TKV982956 TUR982956 UEN982956 UOJ982956 UYF982956 VIB982956 VRX982956 WBT982956 WLP982956 WVL982956" xr:uid="{93798DDB-E339-4F04-A79F-685947B76AE0}">
      <formula1>"Core1,Core2,Core3"</formula1>
    </dataValidation>
  </dataValidations>
  <printOptions horizontalCentered="1" verticalCentered="1"/>
  <pageMargins left="0.51181102362204722" right="0.51181102362204722" top="0.51181102362204722" bottom="0.51181102362204722" header="0" footer="0"/>
  <pageSetup paperSize="9" scale="94" orientation="portrait" r:id="rId1"/>
  <headerFooter alignWithMargins="0">
    <oddFooter>Page &amp;P of &amp;N</oddFooter>
  </headerFooter>
  <rowBreaks count="1" manualBreakCount="1">
    <brk id="48" max="21"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A4E2D-3599-4986-A181-FE783BB9C1CE}">
  <sheetPr codeName="Sheet22">
    <tabColor rgb="FFFFFF00"/>
  </sheetPr>
  <dimension ref="A1:AR131"/>
  <sheetViews>
    <sheetView showZeros="0" view="pageBreakPreview" zoomScaleNormal="100" zoomScaleSheetLayoutView="100" workbookViewId="0">
      <selection activeCell="K13" sqref="K13"/>
    </sheetView>
  </sheetViews>
  <sheetFormatPr defaultColWidth="4.33203125" defaultRowHeight="18" customHeight="1"/>
  <cols>
    <col min="1" max="13" width="4.33203125" style="30"/>
    <col min="14" max="14" width="4.88671875" style="30" customWidth="1"/>
    <col min="15" max="20" width="4.33203125" style="30"/>
    <col min="21" max="21" width="3.6640625" style="30" customWidth="1"/>
    <col min="22" max="22" width="3.5546875" style="30" customWidth="1"/>
    <col min="23" max="16384" width="4.33203125" style="30"/>
  </cols>
  <sheetData>
    <row r="1" spans="1:24" ht="18" customHeight="1">
      <c r="A1" s="717" t="s">
        <v>0</v>
      </c>
      <c r="B1" s="718"/>
      <c r="C1" s="718"/>
      <c r="D1" s="718"/>
      <c r="E1" s="718"/>
      <c r="F1" s="718"/>
      <c r="G1" s="719"/>
      <c r="H1" s="726" t="str">
        <f>[3]Title!H1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[3]Title!H2</f>
        <v>ADEQUACY CHECK</v>
      </c>
      <c r="I2" s="730"/>
      <c r="J2" s="730"/>
      <c r="K2" s="730"/>
      <c r="L2" s="730"/>
      <c r="M2" s="730"/>
      <c r="N2" s="731"/>
      <c r="O2" s="702" t="str">
        <f>Title!O2</f>
        <v>Date</v>
      </c>
      <c r="P2" s="703"/>
      <c r="Q2" s="704"/>
      <c r="R2" s="732">
        <f>Title!R2</f>
        <v>46106</v>
      </c>
      <c r="S2" s="706"/>
      <c r="T2" s="706"/>
      <c r="U2" s="706"/>
      <c r="V2" s="707"/>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14"/>
      <c r="X4" s="14"/>
    </row>
    <row r="5" spans="1:24" ht="18" customHeight="1">
      <c r="A5" s="708" t="str">
        <f>[3]Title!A5</f>
        <v>Prep. By</v>
      </c>
      <c r="B5" s="709"/>
      <c r="C5" s="25" t="str">
        <f>[3]Title!C5</f>
        <v>AK</v>
      </c>
      <c r="D5" s="708" t="str">
        <f>Title!D5</f>
        <v>Checked By</v>
      </c>
      <c r="E5" s="710"/>
      <c r="F5" s="709"/>
      <c r="G5" s="25" t="str">
        <f>[3]Title!G5</f>
        <v>LN</v>
      </c>
      <c r="H5" s="973" t="s">
        <v>916</v>
      </c>
      <c r="I5" s="974"/>
      <c r="J5" s="974"/>
      <c r="K5" s="974"/>
      <c r="L5" s="974"/>
      <c r="M5" s="974"/>
      <c r="N5" s="975"/>
      <c r="O5" s="714" t="str">
        <f>Title!O5</f>
        <v>Contractor</v>
      </c>
      <c r="P5" s="715"/>
      <c r="Q5" s="716"/>
      <c r="R5" s="705" t="str">
        <f>[3]Title!R5</f>
        <v>HITACHI ENERGY</v>
      </c>
      <c r="S5" s="706"/>
      <c r="T5" s="706"/>
      <c r="U5" s="706"/>
      <c r="V5" s="707"/>
      <c r="W5" s="14"/>
      <c r="X5" s="14"/>
    </row>
    <row r="6" spans="1:24" ht="18" customHeight="1">
      <c r="A6" s="196"/>
      <c r="V6" s="197"/>
    </row>
    <row r="7" spans="1:24" ht="18" customHeight="1">
      <c r="A7" s="196"/>
      <c r="B7" s="940" t="s">
        <v>120</v>
      </c>
      <c r="C7" s="941"/>
      <c r="D7" s="577" t="s">
        <v>396</v>
      </c>
      <c r="E7" s="579"/>
      <c r="F7" s="267"/>
      <c r="H7" s="582"/>
      <c r="I7" s="582"/>
      <c r="J7" s="582"/>
      <c r="K7" s="582"/>
      <c r="L7" s="582"/>
      <c r="M7" s="582"/>
      <c r="P7" s="198"/>
      <c r="S7" s="199" t="s">
        <v>398</v>
      </c>
      <c r="T7" s="978" t="s">
        <v>928</v>
      </c>
      <c r="U7" s="979"/>
      <c r="V7" s="197"/>
    </row>
    <row r="8" spans="1:24" ht="18" customHeight="1">
      <c r="A8" s="196"/>
      <c r="B8" s="980"/>
      <c r="C8" s="980"/>
      <c r="D8" s="580"/>
      <c r="E8" s="580"/>
      <c r="F8" s="267"/>
      <c r="T8" s="978" t="s">
        <v>519</v>
      </c>
      <c r="U8" s="979"/>
      <c r="V8" s="197"/>
    </row>
    <row r="9" spans="1:24" ht="18" customHeight="1">
      <c r="A9" s="196"/>
      <c r="H9" s="662" t="s">
        <v>401</v>
      </c>
      <c r="I9" s="662"/>
      <c r="J9" s="701" t="s">
        <v>402</v>
      </c>
      <c r="K9" s="701"/>
      <c r="L9" s="701" t="s">
        <v>403</v>
      </c>
      <c r="M9" s="701"/>
      <c r="T9" s="978"/>
      <c r="U9" s="979"/>
      <c r="V9" s="197"/>
    </row>
    <row r="10" spans="1:24" ht="18" customHeight="1">
      <c r="A10" s="196"/>
      <c r="B10" s="47" t="s">
        <v>404</v>
      </c>
      <c r="H10" s="942">
        <v>2500</v>
      </c>
      <c r="I10" s="943"/>
      <c r="J10" s="940" t="s">
        <v>7</v>
      </c>
      <c r="K10" s="941"/>
      <c r="L10" s="940" t="s">
        <v>7</v>
      </c>
      <c r="M10" s="941"/>
      <c r="N10" s="203" t="s">
        <v>353</v>
      </c>
      <c r="O10" s="515">
        <v>1</v>
      </c>
      <c r="P10" s="27" t="s">
        <v>9</v>
      </c>
      <c r="R10" s="267"/>
      <c r="S10" s="267"/>
      <c r="V10" s="197"/>
    </row>
    <row r="11" spans="1:24" ht="18" customHeight="1">
      <c r="A11" s="196"/>
      <c r="B11" s="47" t="s">
        <v>405</v>
      </c>
      <c r="H11" s="940" t="s">
        <v>846</v>
      </c>
      <c r="I11" s="941"/>
      <c r="V11" s="197"/>
    </row>
    <row r="12" spans="1:24" ht="18" customHeight="1">
      <c r="A12" s="196"/>
      <c r="B12" s="47" t="s">
        <v>407</v>
      </c>
      <c r="G12" s="120" t="s">
        <v>508</v>
      </c>
      <c r="H12" s="940">
        <v>5</v>
      </c>
      <c r="I12" s="941"/>
      <c r="J12" s="204" t="s">
        <v>344</v>
      </c>
      <c r="V12" s="197"/>
    </row>
    <row r="13" spans="1:24" ht="18" customHeight="1">
      <c r="A13" s="196"/>
      <c r="B13" s="47" t="s">
        <v>409</v>
      </c>
      <c r="G13" s="120" t="s">
        <v>509</v>
      </c>
      <c r="H13" s="940"/>
      <c r="I13" s="941"/>
      <c r="J13" s="14" t="s">
        <v>316</v>
      </c>
      <c r="T13" s="307"/>
      <c r="U13" s="18"/>
      <c r="V13" s="197"/>
      <c r="W13" s="30" t="str">
        <f>G61</f>
        <v>Suitably Dimentioned</v>
      </c>
    </row>
    <row r="14" spans="1:24" ht="18" customHeight="1">
      <c r="A14" s="196"/>
      <c r="B14" s="14" t="s">
        <v>412</v>
      </c>
      <c r="G14" s="120" t="s">
        <v>413</v>
      </c>
      <c r="H14" s="940"/>
      <c r="I14" s="941"/>
      <c r="J14" s="14" t="s">
        <v>414</v>
      </c>
      <c r="V14" s="197"/>
    </row>
    <row r="15" spans="1:24" ht="18" customHeight="1">
      <c r="A15" s="196"/>
      <c r="V15" s="197"/>
    </row>
    <row r="16" spans="1:24" ht="18" customHeight="1">
      <c r="A16" s="205" t="s">
        <v>415</v>
      </c>
      <c r="V16" s="197"/>
    </row>
    <row r="17" spans="1:23" ht="18" customHeight="1">
      <c r="A17" s="196"/>
      <c r="V17" s="197"/>
    </row>
    <row r="18" spans="1:23" ht="18" customHeight="1">
      <c r="A18" s="196"/>
      <c r="B18" s="141" t="s">
        <v>416</v>
      </c>
      <c r="C18" s="285"/>
      <c r="D18" s="146" t="str">
        <f>T7</f>
        <v>REF650</v>
      </c>
      <c r="E18" s="239"/>
      <c r="F18" s="239"/>
      <c r="G18" s="239"/>
      <c r="H18" s="145"/>
      <c r="I18" s="272" t="s">
        <v>138</v>
      </c>
      <c r="J18" s="946">
        <f>'CT-VT Burdens'!Q48</f>
        <v>0.02</v>
      </c>
      <c r="K18" s="947"/>
      <c r="L18" s="3" t="s">
        <v>168</v>
      </c>
      <c r="N18" s="209" t="s">
        <v>521</v>
      </c>
      <c r="V18" s="197"/>
    </row>
    <row r="19" spans="1:23" ht="18" customHeight="1">
      <c r="A19" s="196"/>
      <c r="B19" s="96" t="s">
        <v>416</v>
      </c>
      <c r="D19" s="308" t="str">
        <f>T8</f>
        <v>REC670</v>
      </c>
      <c r="I19" s="189" t="s">
        <v>138</v>
      </c>
      <c r="J19" s="976">
        <f>'CT-VT Burdens'!Q48</f>
        <v>0.02</v>
      </c>
      <c r="K19" s="977"/>
      <c r="L19" s="210" t="s">
        <v>168</v>
      </c>
      <c r="P19" s="256"/>
      <c r="V19" s="197"/>
    </row>
    <row r="20" spans="1:23" ht="18" customHeight="1">
      <c r="A20" s="196"/>
      <c r="B20" s="96" t="s">
        <v>416</v>
      </c>
      <c r="C20" s="14"/>
      <c r="D20" s="47">
        <f>T9</f>
        <v>0</v>
      </c>
      <c r="E20" s="14"/>
      <c r="G20" s="211"/>
      <c r="H20" s="27"/>
      <c r="I20" s="101" t="s">
        <v>138</v>
      </c>
      <c r="J20" s="971"/>
      <c r="K20" s="972"/>
      <c r="L20" s="214" t="s">
        <v>168</v>
      </c>
      <c r="N20" s="120" t="s">
        <v>502</v>
      </c>
      <c r="O20" s="27" t="s">
        <v>138</v>
      </c>
      <c r="P20" s="27" t="s">
        <v>522</v>
      </c>
      <c r="Q20" s="27" t="s">
        <v>326</v>
      </c>
      <c r="R20" s="27" t="s">
        <v>522</v>
      </c>
      <c r="S20" s="27" t="s">
        <v>326</v>
      </c>
      <c r="T20" s="27" t="s">
        <v>431</v>
      </c>
      <c r="V20" s="197"/>
    </row>
    <row r="21" spans="1:23" ht="18" customHeight="1">
      <c r="A21" s="196"/>
      <c r="B21" s="196" t="s">
        <v>423</v>
      </c>
      <c r="C21" s="14"/>
      <c r="D21" s="14"/>
      <c r="E21" s="14"/>
      <c r="H21" s="27"/>
      <c r="I21" s="101" t="s">
        <v>138</v>
      </c>
      <c r="J21" s="950">
        <f>'CT-VT Burdens'!S22</f>
        <v>1.44186744</v>
      </c>
      <c r="K21" s="951"/>
      <c r="L21" s="309" t="s">
        <v>168</v>
      </c>
      <c r="O21" s="27" t="s">
        <v>138</v>
      </c>
      <c r="P21" s="27">
        <f>O10</f>
        <v>1</v>
      </c>
      <c r="Q21" s="27" t="s">
        <v>326</v>
      </c>
      <c r="R21" s="27">
        <f>O10</f>
        <v>1</v>
      </c>
      <c r="S21" s="27" t="s">
        <v>326</v>
      </c>
      <c r="T21" s="27">
        <f>H12</f>
        <v>5</v>
      </c>
      <c r="V21" s="197"/>
    </row>
    <row r="22" spans="1:23" ht="18" customHeight="1">
      <c r="A22" s="196"/>
      <c r="B22" s="1" t="s">
        <v>424</v>
      </c>
      <c r="C22" s="2"/>
      <c r="D22" s="2"/>
      <c r="E22" s="2"/>
      <c r="F22" s="208"/>
      <c r="G22" s="208"/>
      <c r="H22" s="236" t="s">
        <v>523</v>
      </c>
      <c r="I22" s="195" t="s">
        <v>138</v>
      </c>
      <c r="J22" s="648">
        <f>SUM(J18:J21)</f>
        <v>1.48186744</v>
      </c>
      <c r="K22" s="649"/>
      <c r="L22" s="3" t="s">
        <v>168</v>
      </c>
      <c r="O22" s="27" t="s">
        <v>138</v>
      </c>
      <c r="P22" s="637">
        <f>P21*R21*T21</f>
        <v>5</v>
      </c>
      <c r="Q22" s="639"/>
      <c r="R22" s="27" t="s">
        <v>168</v>
      </c>
      <c r="S22" s="27"/>
      <c r="T22" s="27"/>
      <c r="V22" s="197"/>
    </row>
    <row r="23" spans="1:23" ht="18" customHeight="1">
      <c r="A23" s="196"/>
      <c r="B23" s="47"/>
      <c r="C23" s="47"/>
      <c r="D23" s="47"/>
      <c r="E23" s="47"/>
      <c r="H23" s="27"/>
      <c r="I23" s="28"/>
      <c r="J23" s="211"/>
      <c r="L23" s="47"/>
      <c r="O23" s="27"/>
      <c r="P23" s="223"/>
      <c r="Q23" s="27"/>
      <c r="R23" s="216"/>
      <c r="S23" s="27"/>
      <c r="V23" s="197"/>
    </row>
    <row r="24" spans="1:23" ht="18" customHeight="1">
      <c r="A24" s="964" t="s">
        <v>547</v>
      </c>
      <c r="B24" s="965"/>
      <c r="C24" s="965"/>
      <c r="D24" s="965"/>
      <c r="E24" s="965"/>
      <c r="F24" s="965"/>
      <c r="G24" s="965"/>
      <c r="H24" s="965"/>
      <c r="I24" s="965"/>
      <c r="J24" s="965"/>
      <c r="K24" s="965"/>
      <c r="L24" s="965"/>
      <c r="M24" s="965"/>
      <c r="N24" s="965"/>
      <c r="O24" s="965"/>
      <c r="P24" s="965"/>
      <c r="Q24" s="965"/>
      <c r="R24" s="965"/>
      <c r="S24" s="965"/>
      <c r="T24" s="965"/>
      <c r="U24" s="965"/>
      <c r="V24" s="966"/>
      <c r="W24" s="30" t="s">
        <v>547</v>
      </c>
    </row>
    <row r="25" spans="1:23" ht="18" customHeight="1">
      <c r="A25" s="967"/>
      <c r="B25" s="965"/>
      <c r="C25" s="965"/>
      <c r="D25" s="965"/>
      <c r="E25" s="965"/>
      <c r="F25" s="965"/>
      <c r="G25" s="965"/>
      <c r="H25" s="965"/>
      <c r="I25" s="965"/>
      <c r="J25" s="965"/>
      <c r="K25" s="965"/>
      <c r="L25" s="965"/>
      <c r="M25" s="965"/>
      <c r="N25" s="965"/>
      <c r="O25" s="965"/>
      <c r="P25" s="965"/>
      <c r="Q25" s="965"/>
      <c r="R25" s="965"/>
      <c r="S25" s="965"/>
      <c r="T25" s="965"/>
      <c r="U25" s="965"/>
      <c r="V25" s="966"/>
    </row>
    <row r="26" spans="1:23" ht="18" customHeight="1">
      <c r="A26" s="196"/>
      <c r="Q26" s="223"/>
      <c r="R26" s="204"/>
      <c r="V26" s="197"/>
    </row>
    <row r="27" spans="1:23" ht="18" customHeight="1">
      <c r="A27" s="196"/>
      <c r="C27" s="28" t="s">
        <v>484</v>
      </c>
      <c r="D27" s="28" t="s">
        <v>138</v>
      </c>
      <c r="E27" s="28" t="s">
        <v>548</v>
      </c>
      <c r="F27" s="120" t="s">
        <v>504</v>
      </c>
      <c r="G27" s="28" t="s">
        <v>358</v>
      </c>
      <c r="H27" s="120" t="s">
        <v>502</v>
      </c>
      <c r="I27" s="28" t="s">
        <v>549</v>
      </c>
      <c r="J27" s="28" t="s">
        <v>506</v>
      </c>
      <c r="K27" s="28" t="s">
        <v>550</v>
      </c>
      <c r="L27" s="28" t="s">
        <v>522</v>
      </c>
      <c r="M27" s="28" t="s">
        <v>326</v>
      </c>
      <c r="N27" s="28">
        <v>1.3</v>
      </c>
      <c r="O27" s="47" t="s">
        <v>361</v>
      </c>
      <c r="V27" s="197"/>
    </row>
    <row r="28" spans="1:23" ht="18" customHeight="1">
      <c r="A28" s="196" t="s">
        <v>551</v>
      </c>
      <c r="C28" s="28"/>
      <c r="D28" s="28"/>
      <c r="E28" s="14"/>
      <c r="F28" s="14"/>
      <c r="G28" s="14"/>
      <c r="H28" s="14"/>
      <c r="I28" s="14"/>
      <c r="J28" s="14"/>
      <c r="K28" s="14"/>
      <c r="L28" s="14"/>
      <c r="M28" s="14"/>
      <c r="N28" s="14"/>
      <c r="O28" s="14"/>
      <c r="V28" s="197"/>
    </row>
    <row r="29" spans="1:23" ht="18" customHeight="1">
      <c r="A29" s="196"/>
      <c r="C29" s="28" t="s">
        <v>504</v>
      </c>
      <c r="D29" s="28" t="s">
        <v>138</v>
      </c>
      <c r="E29" s="28" t="s">
        <v>548</v>
      </c>
      <c r="F29" s="28">
        <v>1.3</v>
      </c>
      <c r="G29" s="28" t="s">
        <v>326</v>
      </c>
      <c r="H29" s="638" t="s">
        <v>484</v>
      </c>
      <c r="I29" s="920"/>
      <c r="J29" s="28" t="s">
        <v>326</v>
      </c>
      <c r="K29" s="28" t="s">
        <v>522</v>
      </c>
      <c r="L29" s="28" t="s">
        <v>552</v>
      </c>
      <c r="M29" s="28" t="s">
        <v>506</v>
      </c>
      <c r="N29" s="47" t="s">
        <v>553</v>
      </c>
      <c r="O29" s="120" t="s">
        <v>502</v>
      </c>
      <c r="V29" s="197"/>
    </row>
    <row r="30" spans="1:23" ht="18" customHeight="1">
      <c r="A30" s="196"/>
      <c r="V30" s="197"/>
    </row>
    <row r="31" spans="1:23" ht="18" customHeight="1">
      <c r="A31" s="180"/>
      <c r="B31" s="5"/>
      <c r="C31" s="47" t="s">
        <v>554</v>
      </c>
      <c r="D31" s="14"/>
      <c r="E31" s="14"/>
      <c r="F31" s="14"/>
      <c r="G31" s="14"/>
      <c r="H31" s="291"/>
      <c r="I31" s="120"/>
      <c r="J31" s="291"/>
      <c r="K31" s="291"/>
      <c r="L31" s="14"/>
      <c r="M31" s="14"/>
      <c r="N31" s="14"/>
      <c r="O31" s="14"/>
      <c r="P31" s="14"/>
      <c r="Q31" s="120" t="s">
        <v>555</v>
      </c>
      <c r="R31" s="102" t="s">
        <v>138</v>
      </c>
      <c r="S31" s="638">
        <f>'Parameters &amp; Fault Cal. (4)'!Q32</f>
        <v>40000</v>
      </c>
      <c r="T31" s="638"/>
      <c r="U31" s="47" t="s">
        <v>9</v>
      </c>
      <c r="V31" s="197"/>
    </row>
    <row r="32" spans="1:23" ht="18" customHeight="1">
      <c r="A32" s="180"/>
      <c r="B32" s="5"/>
      <c r="C32" s="47" t="s">
        <v>556</v>
      </c>
      <c r="D32" s="14"/>
      <c r="E32" s="14"/>
      <c r="F32" s="18"/>
      <c r="G32" s="18"/>
      <c r="H32" s="291"/>
      <c r="I32" s="120"/>
      <c r="J32" s="291"/>
      <c r="K32" s="291"/>
      <c r="L32" s="14"/>
      <c r="M32" s="14"/>
      <c r="N32" s="14"/>
      <c r="O32" s="14"/>
      <c r="P32" s="14"/>
      <c r="Q32" s="120" t="s">
        <v>434</v>
      </c>
      <c r="R32" s="102" t="s">
        <v>138</v>
      </c>
      <c r="S32" s="638">
        <f>H10</f>
        <v>2500</v>
      </c>
      <c r="T32" s="638"/>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638">
        <f>H13</f>
        <v>0</v>
      </c>
      <c r="T33" s="638"/>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641">
        <f>P22</f>
        <v>5</v>
      </c>
      <c r="T34" s="638"/>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641">
        <f>J22</f>
        <v>1.48186744</v>
      </c>
      <c r="T35" s="638"/>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638">
        <f>O10</f>
        <v>1</v>
      </c>
      <c r="T36" s="638"/>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638">
        <v>20</v>
      </c>
      <c r="T37" s="638"/>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639">
        <v>30</v>
      </c>
      <c r="T38" s="639"/>
      <c r="U38" s="291"/>
      <c r="V38" s="312"/>
      <c r="W38" s="291"/>
      <c r="X38" s="291"/>
      <c r="Y38" s="291"/>
    </row>
    <row r="39" spans="1:25" ht="18" customHeight="1">
      <c r="A39" s="311"/>
      <c r="B39" s="291"/>
      <c r="C39" s="47"/>
      <c r="D39" s="14"/>
      <c r="E39" s="14"/>
      <c r="F39" s="14"/>
      <c r="G39" s="14"/>
      <c r="H39" s="291"/>
      <c r="I39" s="120"/>
      <c r="J39" s="291"/>
      <c r="K39" s="291"/>
      <c r="L39" s="14"/>
      <c r="M39" s="14"/>
      <c r="N39" s="291"/>
      <c r="O39" s="291"/>
      <c r="P39" s="14"/>
      <c r="Q39" s="120"/>
      <c r="R39" s="27"/>
      <c r="S39" s="27"/>
      <c r="T39" s="27"/>
      <c r="U39" s="291"/>
      <c r="V39" s="312"/>
      <c r="W39" s="291"/>
      <c r="X39" s="291"/>
      <c r="Y39" s="291"/>
    </row>
    <row r="40" spans="1:25" ht="18" customHeight="1">
      <c r="A40" s="311"/>
      <c r="B40" s="291"/>
      <c r="C40" s="47"/>
      <c r="D40" s="14"/>
      <c r="E40" s="14"/>
      <c r="F40" s="14"/>
      <c r="G40" s="14"/>
      <c r="H40" s="291"/>
      <c r="I40" s="120"/>
      <c r="J40" s="291"/>
      <c r="K40" s="291"/>
      <c r="L40" s="14"/>
      <c r="M40" s="14"/>
      <c r="N40" s="291"/>
      <c r="O40" s="291"/>
      <c r="P40" s="14"/>
      <c r="Q40" s="120"/>
      <c r="R40" s="27"/>
      <c r="S40" s="27"/>
      <c r="T40" s="27"/>
      <c r="U40" s="291"/>
      <c r="V40" s="312"/>
      <c r="W40" s="291"/>
      <c r="X40" s="291"/>
      <c r="Y40" s="291"/>
    </row>
    <row r="41" spans="1:25" ht="18" customHeight="1">
      <c r="A41" s="311"/>
      <c r="B41" s="291"/>
      <c r="C41" s="47"/>
      <c r="D41" s="14"/>
      <c r="E41" s="14"/>
      <c r="F41" s="14"/>
      <c r="G41" s="14"/>
      <c r="H41" s="291"/>
      <c r="I41" s="120"/>
      <c r="J41" s="291"/>
      <c r="K41" s="291"/>
      <c r="L41" s="14"/>
      <c r="M41" s="14"/>
      <c r="N41" s="291"/>
      <c r="O41" s="291"/>
      <c r="P41" s="14"/>
      <c r="Q41" s="120"/>
      <c r="R41" s="27"/>
      <c r="S41" s="27"/>
      <c r="T41" s="27"/>
      <c r="U41" s="291"/>
      <c r="V41" s="312"/>
      <c r="W41" s="291"/>
      <c r="X41" s="291"/>
      <c r="Y41" s="291"/>
    </row>
    <row r="42" spans="1:25" ht="18" customHeight="1">
      <c r="A42" s="311"/>
      <c r="B42" s="291"/>
      <c r="C42" s="47"/>
      <c r="D42" s="14"/>
      <c r="E42" s="14"/>
      <c r="F42" s="14"/>
      <c r="G42" s="14"/>
      <c r="H42" s="291"/>
      <c r="I42" s="120"/>
      <c r="J42" s="291"/>
      <c r="K42" s="291"/>
      <c r="L42" s="14"/>
      <c r="M42" s="14"/>
      <c r="N42" s="291"/>
      <c r="O42" s="291"/>
      <c r="P42" s="14"/>
      <c r="Q42" s="120"/>
      <c r="R42" s="27"/>
      <c r="S42" s="27"/>
      <c r="T42" s="27"/>
      <c r="U42" s="291"/>
      <c r="V42" s="312"/>
      <c r="W42" s="291"/>
      <c r="X42" s="291"/>
      <c r="Y42" s="291"/>
    </row>
    <row r="43" spans="1:25" ht="18" customHeight="1">
      <c r="A43" s="311"/>
      <c r="B43" s="291"/>
      <c r="C43" s="47"/>
      <c r="D43" s="14"/>
      <c r="E43" s="14"/>
      <c r="F43" s="14"/>
      <c r="G43" s="14"/>
      <c r="H43" s="291"/>
      <c r="I43" s="120"/>
      <c r="J43" s="291"/>
      <c r="K43" s="291"/>
      <c r="L43" s="14"/>
      <c r="M43" s="14"/>
      <c r="N43" s="291"/>
      <c r="O43" s="291"/>
      <c r="P43" s="14"/>
      <c r="Q43" s="120"/>
      <c r="R43" s="27"/>
      <c r="S43" s="27"/>
      <c r="T43" s="27"/>
      <c r="U43" s="291"/>
      <c r="V43" s="312"/>
      <c r="W43" s="291"/>
      <c r="X43" s="291"/>
      <c r="Y43" s="291"/>
    </row>
    <row r="44" spans="1:25" ht="18" customHeight="1">
      <c r="A44" s="196"/>
      <c r="V44" s="197"/>
    </row>
    <row r="45" spans="1:25" ht="18" hidden="1" customHeight="1">
      <c r="A45" s="196"/>
      <c r="C45" s="120" t="s">
        <v>504</v>
      </c>
      <c r="D45" s="28" t="s">
        <v>138</v>
      </c>
      <c r="E45" s="28" t="s">
        <v>548</v>
      </c>
      <c r="F45" s="233">
        <v>1.3</v>
      </c>
      <c r="G45" s="233" t="s">
        <v>326</v>
      </c>
      <c r="H45" s="861" t="s">
        <v>484</v>
      </c>
      <c r="I45" s="968"/>
      <c r="J45" s="233" t="s">
        <v>326</v>
      </c>
      <c r="K45" s="233" t="s">
        <v>522</v>
      </c>
      <c r="L45" s="233" t="s">
        <v>552</v>
      </c>
      <c r="M45" s="233" t="s">
        <v>506</v>
      </c>
      <c r="N45" s="560" t="s">
        <v>553</v>
      </c>
      <c r="O45" s="575" t="s">
        <v>502</v>
      </c>
      <c r="V45" s="197"/>
    </row>
    <row r="46" spans="1:25" ht="18" hidden="1" customHeight="1">
      <c r="A46" s="196"/>
      <c r="C46" s="120"/>
      <c r="D46" s="27" t="s">
        <v>138</v>
      </c>
      <c r="E46" s="27" t="s">
        <v>548</v>
      </c>
      <c r="F46" s="257">
        <v>1.3</v>
      </c>
      <c r="G46" s="257" t="s">
        <v>326</v>
      </c>
      <c r="H46" s="969">
        <f>S33</f>
        <v>0</v>
      </c>
      <c r="I46" s="970"/>
      <c r="J46" s="257" t="s">
        <v>326</v>
      </c>
      <c r="K46" s="257">
        <f>S36</f>
        <v>1</v>
      </c>
      <c r="L46" s="257" t="s">
        <v>552</v>
      </c>
      <c r="M46" s="257">
        <f>S37</f>
        <v>20</v>
      </c>
      <c r="N46" s="474" t="s">
        <v>553</v>
      </c>
      <c r="O46" s="516">
        <f>S34</f>
        <v>5</v>
      </c>
      <c r="V46" s="197"/>
    </row>
    <row r="47" spans="1:25" ht="18" hidden="1" customHeight="1">
      <c r="A47" s="196"/>
      <c r="D47" s="27" t="s">
        <v>138</v>
      </c>
      <c r="E47" s="639">
        <f>((F46*H46)/(K46*M46))-O46</f>
        <v>-5</v>
      </c>
      <c r="F47" s="639"/>
      <c r="G47" s="27" t="s">
        <v>168</v>
      </c>
      <c r="V47" s="197"/>
    </row>
    <row r="48" spans="1:25" ht="18" customHeight="1">
      <c r="A48" s="196"/>
      <c r="V48" s="197"/>
    </row>
    <row r="49" spans="1:22" s="14" customFormat="1" ht="18" customHeight="1">
      <c r="A49" s="206"/>
      <c r="B49" s="207"/>
      <c r="C49" s="207"/>
      <c r="D49" s="207"/>
      <c r="E49" s="207"/>
      <c r="F49" s="207"/>
      <c r="G49" s="207"/>
      <c r="H49" s="207"/>
      <c r="I49" s="207"/>
      <c r="J49" s="207"/>
      <c r="K49" s="207"/>
      <c r="L49" s="207"/>
      <c r="M49" s="207"/>
      <c r="N49" s="207"/>
      <c r="O49" s="207"/>
      <c r="P49" s="207"/>
      <c r="Q49" s="236"/>
      <c r="R49" s="194"/>
      <c r="S49" s="237"/>
      <c r="T49" s="207"/>
      <c r="U49" s="207"/>
      <c r="V49" s="140"/>
    </row>
    <row r="50" spans="1:22" ht="18" customHeight="1">
      <c r="A50" s="238"/>
      <c r="B50" s="239"/>
      <c r="C50" s="239"/>
      <c r="D50" s="239"/>
      <c r="E50" s="239"/>
      <c r="F50" s="239"/>
      <c r="G50" s="239"/>
      <c r="H50" s="239"/>
      <c r="I50" s="239"/>
      <c r="J50" s="239"/>
      <c r="K50" s="239"/>
      <c r="L50" s="239"/>
      <c r="M50" s="239"/>
      <c r="N50" s="239"/>
      <c r="O50" s="239"/>
      <c r="P50" s="239"/>
      <c r="Q50" s="239"/>
      <c r="R50" s="239"/>
      <c r="S50" s="239"/>
      <c r="T50" s="239"/>
      <c r="U50" s="239"/>
      <c r="V50" s="240"/>
    </row>
    <row r="51" spans="1:22" ht="18" customHeight="1">
      <c r="A51" s="196"/>
      <c r="E51" s="256" t="s">
        <v>123</v>
      </c>
      <c r="F51" s="27" t="s">
        <v>138</v>
      </c>
      <c r="G51" s="638" t="s">
        <v>555</v>
      </c>
      <c r="H51" s="638"/>
      <c r="I51" s="203" t="s">
        <v>353</v>
      </c>
      <c r="J51" s="639" t="s">
        <v>434</v>
      </c>
      <c r="K51" s="639"/>
      <c r="V51" s="197"/>
    </row>
    <row r="52" spans="1:22" ht="18" customHeight="1">
      <c r="A52" s="196"/>
      <c r="F52" s="27" t="s">
        <v>138</v>
      </c>
      <c r="G52" s="639">
        <f>S31</f>
        <v>40000</v>
      </c>
      <c r="H52" s="639"/>
      <c r="I52" s="203" t="s">
        <v>353</v>
      </c>
      <c r="J52" s="639">
        <f>S32</f>
        <v>2500</v>
      </c>
      <c r="K52" s="639"/>
      <c r="V52" s="197"/>
    </row>
    <row r="53" spans="1:22" ht="18" customHeight="1">
      <c r="A53" s="196"/>
      <c r="F53" s="27" t="s">
        <v>138</v>
      </c>
      <c r="G53" s="637">
        <f>G52/J52</f>
        <v>16</v>
      </c>
      <c r="H53" s="637"/>
      <c r="I53" s="27"/>
      <c r="J53" s="27"/>
      <c r="K53" s="27"/>
      <c r="V53" s="197"/>
    </row>
    <row r="54" spans="1:22" ht="18" customHeight="1">
      <c r="A54" s="196"/>
      <c r="V54" s="197"/>
    </row>
    <row r="55" spans="1:22" ht="17.399999999999999" customHeight="1">
      <c r="A55" s="196"/>
      <c r="E55" s="256" t="s">
        <v>564</v>
      </c>
      <c r="F55" s="27" t="s">
        <v>138</v>
      </c>
      <c r="G55" s="233" t="s">
        <v>506</v>
      </c>
      <c r="H55" s="233" t="s">
        <v>565</v>
      </c>
      <c r="I55" s="575" t="s">
        <v>502</v>
      </c>
      <c r="J55" s="233" t="s">
        <v>358</v>
      </c>
      <c r="K55" s="575" t="s">
        <v>504</v>
      </c>
      <c r="L55" s="233" t="s">
        <v>550</v>
      </c>
      <c r="M55" s="575" t="s">
        <v>502</v>
      </c>
      <c r="N55" s="233" t="s">
        <v>358</v>
      </c>
      <c r="O55" s="575" t="s">
        <v>523</v>
      </c>
      <c r="P55" s="28" t="s">
        <v>361</v>
      </c>
      <c r="V55" s="197"/>
    </row>
    <row r="56" spans="1:22" ht="18" customHeight="1">
      <c r="A56" s="196"/>
      <c r="F56" s="27" t="s">
        <v>138</v>
      </c>
      <c r="G56" s="254">
        <f>S37</f>
        <v>20</v>
      </c>
      <c r="H56" s="257" t="s">
        <v>565</v>
      </c>
      <c r="I56" s="313">
        <f>S34</f>
        <v>5</v>
      </c>
      <c r="J56" s="257" t="s">
        <v>358</v>
      </c>
      <c r="K56" s="313">
        <f>S38</f>
        <v>30</v>
      </c>
      <c r="L56" s="257" t="s">
        <v>550</v>
      </c>
      <c r="M56" s="313">
        <f>S34</f>
        <v>5</v>
      </c>
      <c r="N56" s="257" t="s">
        <v>358</v>
      </c>
      <c r="O56" s="313">
        <f>S35</f>
        <v>1.48186744</v>
      </c>
      <c r="P56" s="27" t="s">
        <v>361</v>
      </c>
      <c r="V56" s="197"/>
    </row>
    <row r="57" spans="1:22" ht="18" customHeight="1">
      <c r="A57" s="196"/>
      <c r="F57" s="27" t="s">
        <v>138</v>
      </c>
      <c r="G57" s="640">
        <f>G56*((I56+K56)/(M56+O56))</f>
        <v>107.99356921128272</v>
      </c>
      <c r="H57" s="640"/>
      <c r="I57" s="254"/>
      <c r="J57" s="254"/>
      <c r="K57" s="254"/>
      <c r="L57" s="254"/>
      <c r="M57" s="254"/>
      <c r="N57" s="254"/>
      <c r="O57" s="254"/>
      <c r="V57" s="197"/>
    </row>
    <row r="58" spans="1:22" ht="18" customHeight="1">
      <c r="A58" s="196"/>
      <c r="V58" s="197"/>
    </row>
    <row r="59" spans="1:22" ht="18" customHeight="1">
      <c r="A59" s="196"/>
      <c r="E59" s="256" t="s">
        <v>566</v>
      </c>
      <c r="F59" s="27" t="str">
        <f>IF(D60&gt;G60,"&gt;","&lt;")</f>
        <v>&gt;</v>
      </c>
      <c r="G59" s="308" t="s">
        <v>123</v>
      </c>
      <c r="V59" s="197"/>
    </row>
    <row r="60" spans="1:22" ht="18" customHeight="1">
      <c r="A60" s="196"/>
      <c r="D60" s="637">
        <f>G57</f>
        <v>107.99356921128272</v>
      </c>
      <c r="E60" s="637"/>
      <c r="F60" s="27" t="str">
        <f>F59</f>
        <v>&gt;</v>
      </c>
      <c r="G60" s="637">
        <f>G53</f>
        <v>16</v>
      </c>
      <c r="H60" s="637"/>
      <c r="V60" s="197"/>
    </row>
    <row r="61" spans="1:22" ht="18" customHeight="1">
      <c r="A61" s="196"/>
      <c r="E61" s="256" t="s">
        <v>489</v>
      </c>
      <c r="G61" s="18" t="str">
        <f>IF(F59="&gt;","Suitably Dimentioned","Under Dimentioned")</f>
        <v>Suitably Dimentioned</v>
      </c>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44" ht="18" customHeight="1">
      <c r="A81" s="196"/>
      <c r="V81" s="197"/>
    </row>
    <row r="82" spans="1:44" ht="18" customHeight="1">
      <c r="A82" s="196"/>
      <c r="V82" s="197"/>
    </row>
    <row r="83" spans="1:44" ht="18" customHeight="1">
      <c r="A83" s="196"/>
      <c r="V83" s="197"/>
    </row>
    <row r="84" spans="1:44" ht="18" customHeight="1">
      <c r="A84" s="196"/>
      <c r="V84" s="197"/>
    </row>
    <row r="85" spans="1:44" ht="18" customHeight="1">
      <c r="A85" s="196"/>
      <c r="V85" s="197"/>
    </row>
    <row r="86" spans="1:44" ht="18" customHeight="1">
      <c r="A86" s="196"/>
      <c r="V86" s="197"/>
    </row>
    <row r="87" spans="1:44" ht="18" customHeight="1">
      <c r="A87" s="196"/>
      <c r="V87" s="197"/>
    </row>
    <row r="88" spans="1:44" ht="18" customHeight="1">
      <c r="A88" s="196"/>
      <c r="V88" s="197"/>
    </row>
    <row r="89" spans="1:44" ht="18" customHeight="1">
      <c r="A89" s="196"/>
      <c r="V89" s="197"/>
    </row>
    <row r="90" spans="1:44" ht="18" customHeight="1">
      <c r="A90" s="302"/>
      <c r="B90" s="208"/>
      <c r="C90" s="208"/>
      <c r="D90" s="208"/>
      <c r="E90" s="208"/>
      <c r="F90" s="208"/>
      <c r="G90" s="208"/>
      <c r="H90" s="208"/>
      <c r="I90" s="208"/>
      <c r="J90" s="208"/>
      <c r="K90" s="208"/>
      <c r="L90" s="208"/>
      <c r="M90" s="208"/>
      <c r="N90" s="208"/>
      <c r="O90" s="208"/>
      <c r="P90" s="208"/>
      <c r="Q90" s="208"/>
      <c r="R90" s="208"/>
      <c r="S90" s="208"/>
      <c r="T90" s="208"/>
      <c r="U90" s="208"/>
      <c r="V90" s="303"/>
    </row>
    <row r="91" spans="1:44" ht="18" customHeight="1">
      <c r="A91" s="141"/>
      <c r="B91" s="285"/>
      <c r="C91" s="285"/>
      <c r="D91" s="286"/>
      <c r="E91" s="286"/>
      <c r="F91" s="570"/>
      <c r="G91" s="570"/>
      <c r="H91" s="285"/>
      <c r="I91" s="285"/>
      <c r="J91" s="285"/>
      <c r="K91" s="285"/>
      <c r="L91" s="285"/>
      <c r="M91" s="285"/>
      <c r="N91" s="285"/>
      <c r="O91" s="285"/>
      <c r="P91" s="145"/>
      <c r="Q91" s="286"/>
      <c r="R91" s="146"/>
      <c r="S91" s="146"/>
      <c r="T91" s="285"/>
      <c r="U91" s="285"/>
      <c r="V91" s="554"/>
    </row>
    <row r="92" spans="1:44" ht="18" customHeight="1">
      <c r="A92" s="274" t="s">
        <v>512</v>
      </c>
      <c r="B92" s="14"/>
      <c r="C92" s="14"/>
      <c r="D92" s="120"/>
      <c r="E92" s="120"/>
      <c r="F92" s="18"/>
      <c r="G92" s="18"/>
      <c r="H92" s="14"/>
      <c r="I92" s="14"/>
      <c r="J92" s="14"/>
      <c r="S92" s="219"/>
      <c r="T92" s="219"/>
      <c r="V92" s="197"/>
    </row>
    <row r="93" spans="1:44" ht="18" customHeight="1">
      <c r="A93" s="614" t="s">
        <v>97</v>
      </c>
      <c r="B93" s="620"/>
      <c r="C93" s="615"/>
      <c r="D93" s="614" t="s">
        <v>98</v>
      </c>
      <c r="E93" s="620"/>
      <c r="F93" s="615"/>
      <c r="G93" s="614" t="s">
        <v>99</v>
      </c>
      <c r="H93" s="615"/>
      <c r="I93" s="614" t="s">
        <v>100</v>
      </c>
      <c r="J93" s="615"/>
      <c r="K93" s="614" t="s">
        <v>513</v>
      </c>
      <c r="L93" s="615"/>
      <c r="M93" s="614" t="s">
        <v>123</v>
      </c>
      <c r="N93" s="615"/>
      <c r="O93" s="614" t="s">
        <v>942</v>
      </c>
      <c r="P93" s="615"/>
      <c r="Q93" s="614" t="s">
        <v>516</v>
      </c>
      <c r="R93" s="615"/>
      <c r="S93" s="614" t="s">
        <v>105</v>
      </c>
      <c r="T93" s="620"/>
      <c r="U93" s="620"/>
      <c r="V93" s="615"/>
      <c r="W93" s="196"/>
      <c r="AR93" s="197"/>
    </row>
    <row r="94" spans="1:44" ht="18" customHeight="1">
      <c r="A94" s="616"/>
      <c r="B94" s="621"/>
      <c r="C94" s="617"/>
      <c r="D94" s="616"/>
      <c r="E94" s="621"/>
      <c r="F94" s="617"/>
      <c r="G94" s="616"/>
      <c r="H94" s="617"/>
      <c r="I94" s="616"/>
      <c r="J94" s="617"/>
      <c r="K94" s="616"/>
      <c r="L94" s="617"/>
      <c r="M94" s="616"/>
      <c r="N94" s="617"/>
      <c r="O94" s="616"/>
      <c r="P94" s="617"/>
      <c r="Q94" s="616"/>
      <c r="R94" s="617"/>
      <c r="S94" s="616"/>
      <c r="T94" s="621"/>
      <c r="U94" s="621"/>
      <c r="V94" s="617"/>
      <c r="W94" s="196"/>
      <c r="AR94" s="197"/>
    </row>
    <row r="95" spans="1:44" ht="18" customHeight="1">
      <c r="A95" s="616"/>
      <c r="B95" s="621"/>
      <c r="C95" s="617"/>
      <c r="D95" s="616"/>
      <c r="E95" s="621"/>
      <c r="F95" s="617"/>
      <c r="G95" s="616"/>
      <c r="H95" s="617"/>
      <c r="I95" s="616"/>
      <c r="J95" s="617"/>
      <c r="K95" s="616"/>
      <c r="L95" s="617"/>
      <c r="M95" s="616"/>
      <c r="N95" s="617"/>
      <c r="O95" s="616"/>
      <c r="P95" s="617"/>
      <c r="Q95" s="616"/>
      <c r="R95" s="617"/>
      <c r="S95" s="616"/>
      <c r="T95" s="621"/>
      <c r="U95" s="621"/>
      <c r="V95" s="617"/>
      <c r="W95" s="196"/>
      <c r="AR95" s="197"/>
    </row>
    <row r="96" spans="1:44" ht="18" customHeight="1">
      <c r="A96" s="618"/>
      <c r="B96" s="622"/>
      <c r="C96" s="619"/>
      <c r="D96" s="618"/>
      <c r="E96" s="622"/>
      <c r="F96" s="619"/>
      <c r="G96" s="618"/>
      <c r="H96" s="619"/>
      <c r="I96" s="618"/>
      <c r="J96" s="619"/>
      <c r="K96" s="618"/>
      <c r="L96" s="619"/>
      <c r="M96" s="618"/>
      <c r="N96" s="619"/>
      <c r="O96" s="618"/>
      <c r="P96" s="619"/>
      <c r="Q96" s="618"/>
      <c r="R96" s="619"/>
      <c r="S96" s="618"/>
      <c r="T96" s="622"/>
      <c r="U96" s="622"/>
      <c r="V96" s="619"/>
      <c r="W96" s="196"/>
      <c r="AR96" s="197"/>
    </row>
    <row r="97" spans="1:44" ht="18" customHeight="1">
      <c r="A97" s="623" t="str">
        <f>B7</f>
        <v>T1</v>
      </c>
      <c r="B97" s="623" t="str">
        <f>D7</f>
        <v>Core1</v>
      </c>
      <c r="C97" s="623"/>
      <c r="D97" s="613">
        <f>H10</f>
        <v>2500</v>
      </c>
      <c r="E97" s="613"/>
      <c r="F97" s="624">
        <f>O10</f>
        <v>1</v>
      </c>
      <c r="G97" s="613">
        <f>'CT-VT Burdens'!S19</f>
        <v>80</v>
      </c>
      <c r="H97" s="783">
        <f>'CT-VT Burdens'!S10</f>
        <v>2.5</v>
      </c>
      <c r="I97" s="783" t="str">
        <f>H11</f>
        <v>5P20</v>
      </c>
      <c r="J97" s="783" t="e">
        <f>#REF!</f>
        <v>#REF!</v>
      </c>
      <c r="K97" s="612">
        <f>H12</f>
        <v>5</v>
      </c>
      <c r="L97" s="612"/>
      <c r="M97" s="962">
        <f>G60</f>
        <v>16</v>
      </c>
      <c r="N97" s="612"/>
      <c r="O97" s="963">
        <f>D60</f>
        <v>107.99356921128272</v>
      </c>
      <c r="P97" s="613"/>
      <c r="Q97" s="629" t="str">
        <f>IF(T8="",T7,IF(T9="",T7&amp;" "&amp;T8,T7&amp;" "&amp;T8&amp;" "&amp;T9))</f>
        <v>REF650 REC670</v>
      </c>
      <c r="R97" s="629"/>
      <c r="S97" s="628" t="str">
        <f>G61</f>
        <v>Suitably Dimentioned</v>
      </c>
      <c r="T97" s="628"/>
      <c r="U97" s="628"/>
      <c r="V97" s="628"/>
      <c r="W97" s="196"/>
      <c r="AR97" s="197"/>
    </row>
    <row r="98" spans="1:44" ht="18" customHeight="1">
      <c r="A98" s="623"/>
      <c r="B98" s="623"/>
      <c r="C98" s="623"/>
      <c r="D98" s="786" t="s">
        <v>7</v>
      </c>
      <c r="E98" s="613"/>
      <c r="F98" s="625"/>
      <c r="G98" s="613"/>
      <c r="H98" s="613"/>
      <c r="I98" s="783"/>
      <c r="J98" s="783"/>
      <c r="K98" s="785" t="s">
        <v>7</v>
      </c>
      <c r="L98" s="612"/>
      <c r="M98" s="785" t="s">
        <v>7</v>
      </c>
      <c r="N98" s="612"/>
      <c r="O98" s="786" t="s">
        <v>7</v>
      </c>
      <c r="P98" s="613"/>
      <c r="Q98" s="629"/>
      <c r="R98" s="629"/>
      <c r="S98" s="961" t="s">
        <v>7</v>
      </c>
      <c r="T98" s="628"/>
      <c r="U98" s="628"/>
      <c r="V98" s="628"/>
      <c r="W98" s="196"/>
      <c r="AR98" s="197"/>
    </row>
    <row r="99" spans="1:44" ht="18" customHeight="1">
      <c r="A99" s="623"/>
      <c r="B99" s="623"/>
      <c r="C99" s="623"/>
      <c r="D99" s="786" t="s">
        <v>7</v>
      </c>
      <c r="E99" s="613"/>
      <c r="F99" s="626"/>
      <c r="G99" s="613"/>
      <c r="H99" s="613"/>
      <c r="I99" s="783"/>
      <c r="J99" s="783"/>
      <c r="K99" s="785" t="s">
        <v>7</v>
      </c>
      <c r="L99" s="612"/>
      <c r="M99" s="785" t="s">
        <v>7</v>
      </c>
      <c r="N99" s="612"/>
      <c r="O99" s="786" t="s">
        <v>7</v>
      </c>
      <c r="P99" s="613"/>
      <c r="Q99" s="629"/>
      <c r="R99" s="629"/>
      <c r="S99" s="628" t="s">
        <v>7</v>
      </c>
      <c r="T99" s="628"/>
      <c r="U99" s="628"/>
      <c r="V99" s="628"/>
      <c r="W99" s="196"/>
      <c r="AR99" s="197"/>
    </row>
    <row r="100" spans="1:44" ht="18" customHeight="1">
      <c r="A100" s="196"/>
      <c r="V100" s="197"/>
    </row>
    <row r="101" spans="1:44" ht="18" customHeight="1">
      <c r="A101" s="196"/>
      <c r="V101" s="197"/>
    </row>
    <row r="102" spans="1:44" ht="18" customHeight="1">
      <c r="A102" s="196"/>
      <c r="V102" s="197"/>
    </row>
    <row r="103" spans="1:44" ht="18" customHeight="1">
      <c r="A103" s="196"/>
      <c r="V103" s="197"/>
    </row>
    <row r="104" spans="1:44" ht="18" customHeight="1">
      <c r="A104" s="196"/>
      <c r="V104" s="197"/>
    </row>
    <row r="105" spans="1:44" ht="18" customHeight="1">
      <c r="A105" s="196"/>
      <c r="V105" s="197"/>
    </row>
    <row r="106" spans="1:44" ht="18" customHeight="1">
      <c r="A106" s="196"/>
      <c r="V106" s="197"/>
    </row>
    <row r="107" spans="1:44" ht="18" customHeight="1">
      <c r="A107" s="196"/>
      <c r="V107" s="197"/>
    </row>
    <row r="108" spans="1:44" ht="18" customHeight="1">
      <c r="A108" s="196"/>
      <c r="V108" s="197"/>
    </row>
    <row r="109" spans="1:44" ht="18" customHeight="1">
      <c r="A109" s="196"/>
      <c r="V109" s="197"/>
    </row>
    <row r="110" spans="1:44" ht="18" customHeight="1">
      <c r="A110" s="196"/>
      <c r="V110" s="197"/>
    </row>
    <row r="111" spans="1:44" ht="18" customHeight="1">
      <c r="A111" s="196"/>
      <c r="V111" s="197"/>
    </row>
    <row r="112" spans="1:44"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196"/>
      <c r="V126" s="197"/>
    </row>
    <row r="127" spans="1:22" ht="18" customHeight="1">
      <c r="A127" s="196"/>
      <c r="V127" s="197"/>
    </row>
    <row r="128" spans="1:22" ht="18" customHeight="1">
      <c r="A128" s="196"/>
      <c r="V128" s="197"/>
    </row>
    <row r="129" spans="1:22" ht="18" customHeight="1">
      <c r="A129" s="196"/>
      <c r="V129" s="197"/>
    </row>
    <row r="130" spans="1:22" ht="18" customHeight="1">
      <c r="A130" s="196"/>
      <c r="V130" s="197"/>
    </row>
    <row r="131" spans="1:22" s="14" customFormat="1" ht="18" customHeight="1">
      <c r="A131" s="206"/>
      <c r="B131" s="207"/>
      <c r="C131" s="207"/>
      <c r="D131" s="207"/>
      <c r="E131" s="207"/>
      <c r="F131" s="207"/>
      <c r="G131" s="207"/>
      <c r="H131" s="207"/>
      <c r="I131" s="207"/>
      <c r="J131" s="207"/>
      <c r="K131" s="207"/>
      <c r="L131" s="207"/>
      <c r="M131" s="207"/>
      <c r="N131" s="207"/>
      <c r="O131" s="207"/>
      <c r="P131" s="207"/>
      <c r="Q131" s="236"/>
      <c r="R131" s="194"/>
      <c r="S131" s="237"/>
      <c r="T131" s="207"/>
      <c r="U131" s="207"/>
      <c r="V131" s="140"/>
    </row>
  </sheetData>
  <mergeCells count="90">
    <mergeCell ref="O5:Q5"/>
    <mergeCell ref="R5:V5"/>
    <mergeCell ref="A1:G4"/>
    <mergeCell ref="H1:N1"/>
    <mergeCell ref="O1:Q1"/>
    <mergeCell ref="R1:V1"/>
    <mergeCell ref="H2:N2"/>
    <mergeCell ref="O2:Q2"/>
    <mergeCell ref="R2:V2"/>
    <mergeCell ref="H3:N4"/>
    <mergeCell ref="O3:Q3"/>
    <mergeCell ref="R3:V3"/>
    <mergeCell ref="O4:Q4"/>
    <mergeCell ref="R4:V4"/>
    <mergeCell ref="T7:U7"/>
    <mergeCell ref="B8:C8"/>
    <mergeCell ref="H10:I10"/>
    <mergeCell ref="J10:K10"/>
    <mergeCell ref="L10:M10"/>
    <mergeCell ref="T8:U8"/>
    <mergeCell ref="H9:I9"/>
    <mergeCell ref="J9:K9"/>
    <mergeCell ref="L9:M9"/>
    <mergeCell ref="T9:U9"/>
    <mergeCell ref="J20:K20"/>
    <mergeCell ref="J21:K21"/>
    <mergeCell ref="J22:K22"/>
    <mergeCell ref="A5:B5"/>
    <mergeCell ref="D5:F5"/>
    <mergeCell ref="H5:N5"/>
    <mergeCell ref="B7:C7"/>
    <mergeCell ref="H11:I11"/>
    <mergeCell ref="H12:I12"/>
    <mergeCell ref="H13:I13"/>
    <mergeCell ref="H14:I14"/>
    <mergeCell ref="J18:K18"/>
    <mergeCell ref="J19:K19"/>
    <mergeCell ref="P22:Q22"/>
    <mergeCell ref="A24:V25"/>
    <mergeCell ref="G51:H51"/>
    <mergeCell ref="J51:K51"/>
    <mergeCell ref="S31:T31"/>
    <mergeCell ref="S32:T32"/>
    <mergeCell ref="S33:T33"/>
    <mergeCell ref="S34:T34"/>
    <mergeCell ref="S35:T35"/>
    <mergeCell ref="S36:T36"/>
    <mergeCell ref="S37:T37"/>
    <mergeCell ref="S38:T38"/>
    <mergeCell ref="H45:I45"/>
    <mergeCell ref="H46:I46"/>
    <mergeCell ref="E47:F47"/>
    <mergeCell ref="H29:I29"/>
    <mergeCell ref="G52:H52"/>
    <mergeCell ref="J52:K52"/>
    <mergeCell ref="G53:H53"/>
    <mergeCell ref="G57:H57"/>
    <mergeCell ref="D60:E60"/>
    <mergeCell ref="G60:H60"/>
    <mergeCell ref="A93:C96"/>
    <mergeCell ref="D93:F96"/>
    <mergeCell ref="G93:H96"/>
    <mergeCell ref="I93:J96"/>
    <mergeCell ref="D99:E99"/>
    <mergeCell ref="A97:A99"/>
    <mergeCell ref="B97:C99"/>
    <mergeCell ref="D97:E97"/>
    <mergeCell ref="F97:F99"/>
    <mergeCell ref="G97:G99"/>
    <mergeCell ref="O93:P96"/>
    <mergeCell ref="Q93:R96"/>
    <mergeCell ref="S93:V96"/>
    <mergeCell ref="K93:L96"/>
    <mergeCell ref="M93:N96"/>
    <mergeCell ref="Q97:R99"/>
    <mergeCell ref="S97:V97"/>
    <mergeCell ref="D98:E98"/>
    <mergeCell ref="K98:L98"/>
    <mergeCell ref="M98:N98"/>
    <mergeCell ref="O98:P98"/>
    <mergeCell ref="S98:V98"/>
    <mergeCell ref="K99:L99"/>
    <mergeCell ref="M99:N99"/>
    <mergeCell ref="O99:P99"/>
    <mergeCell ref="S99:V99"/>
    <mergeCell ref="K97:L97"/>
    <mergeCell ref="M97:N97"/>
    <mergeCell ref="O97:P97"/>
    <mergeCell ref="H97:H99"/>
    <mergeCell ref="I97:J99"/>
  </mergeCells>
  <conditionalFormatting sqref="G61">
    <cfRule type="cellIs" dxfId="96" priority="1" stopIfTrue="1" operator="equal">
      <formula>"Under Dimentioned"</formula>
    </cfRule>
  </conditionalFormatting>
  <dataValidations count="2">
    <dataValidation type="list" allowBlank="1" showInputMessage="1" showErrorMessage="1" sqref="D7" xr:uid="{29A70F97-BCC1-4925-ABB3-9BB516BC4A5C}">
      <formula1>"Core1,Core2,Core3"</formula1>
    </dataValidation>
    <dataValidation type="decimal" operator="equal" allowBlank="1" showInputMessage="1" showErrorMessage="1" sqref="K56" xr:uid="{9F6CB77E-634A-4E1A-B9AA-662E3A8792F7}">
      <formula1>0</formula1>
    </dataValidation>
  </dataValidations>
  <printOptions horizontalCentered="1" verticalCentered="1"/>
  <pageMargins left="0.5" right="0.5" top="0.5" bottom="0.5" header="0" footer="0"/>
  <pageSetup paperSize="9" scale="90" orientation="portrait" r:id="rId1"/>
  <headerFooter alignWithMargins="0"/>
  <rowBreaks count="2" manualBreakCount="2">
    <brk id="49" max="21" man="1"/>
    <brk id="90" max="21"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1E3D5-0747-4DCE-B4DC-65E925C96453}">
  <sheetPr>
    <tabColor rgb="FFFFFF00"/>
  </sheetPr>
  <dimension ref="A1:Y304"/>
  <sheetViews>
    <sheetView showZeros="0" view="pageBreakPreview" zoomScale="85" zoomScaleNormal="100" zoomScaleSheetLayoutView="85" workbookViewId="0">
      <selection activeCell="K13" sqref="K1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717" t="s">
        <v>0</v>
      </c>
      <c r="B1" s="718"/>
      <c r="C1" s="718"/>
      <c r="D1" s="718"/>
      <c r="E1" s="718"/>
      <c r="F1" s="718"/>
      <c r="G1" s="719"/>
      <c r="H1" s="726" t="str">
        <f>[4]Title!H1</f>
        <v>CT / VT</v>
      </c>
      <c r="I1" s="727"/>
      <c r="J1" s="727"/>
      <c r="K1" s="727"/>
      <c r="L1" s="727"/>
      <c r="M1" s="727"/>
      <c r="N1" s="728"/>
      <c r="O1" s="702" t="str">
        <f>[4]Title!O1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[4]Title!H2</f>
        <v>ADEQUACY CHECK</v>
      </c>
      <c r="I2" s="730"/>
      <c r="J2" s="730"/>
      <c r="K2" s="730"/>
      <c r="L2" s="730"/>
      <c r="M2" s="730"/>
      <c r="N2" s="731"/>
      <c r="O2" s="702" t="str">
        <f>[4]Title!O2</f>
        <v>Date</v>
      </c>
      <c r="P2" s="703"/>
      <c r="Q2" s="704"/>
      <c r="R2" s="732">
        <f>Title!R2</f>
        <v>46106</v>
      </c>
      <c r="S2" s="706"/>
      <c r="T2" s="706"/>
      <c r="U2" s="706"/>
      <c r="V2" s="707"/>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[4]Title!O3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[4]Title!O4</f>
        <v>Revision No.</v>
      </c>
      <c r="P4" s="703"/>
      <c r="Q4" s="704"/>
      <c r="R4" s="705" t="str">
        <f>Title!R4</f>
        <v>A</v>
      </c>
      <c r="S4" s="706"/>
      <c r="T4" s="706"/>
      <c r="U4" s="706"/>
      <c r="V4" s="707"/>
      <c r="W4" s="14"/>
      <c r="X4" s="14"/>
    </row>
    <row r="5" spans="1:24" ht="18" customHeight="1">
      <c r="A5" s="708" t="str">
        <f>[4]Title!A5</f>
        <v>Prep. By</v>
      </c>
      <c r="B5" s="709"/>
      <c r="C5" s="25" t="str">
        <f>[4]Title!C5</f>
        <v>AP</v>
      </c>
      <c r="D5" s="708" t="str">
        <f>[4]Title!D5</f>
        <v>Checked By</v>
      </c>
      <c r="E5" s="710"/>
      <c r="F5" s="709"/>
      <c r="G5" s="25" t="str">
        <f>[4]Title!G5</f>
        <v>RB</v>
      </c>
      <c r="H5" s="711" t="s">
        <v>916</v>
      </c>
      <c r="I5" s="712"/>
      <c r="J5" s="712"/>
      <c r="K5" s="712"/>
      <c r="L5" s="712"/>
      <c r="M5" s="712"/>
      <c r="N5" s="713"/>
      <c r="O5" s="714" t="str">
        <f>[4]Title!O5</f>
        <v>Contractor</v>
      </c>
      <c r="P5" s="715"/>
      <c r="Q5" s="716"/>
      <c r="R5" s="705" t="str">
        <f>Title!R5</f>
        <v>HITACHI</v>
      </c>
      <c r="S5" s="706"/>
      <c r="T5" s="706"/>
      <c r="U5" s="706"/>
      <c r="V5" s="707"/>
      <c r="W5" s="14"/>
      <c r="X5" s="14"/>
    </row>
    <row r="6" spans="1:24" ht="18" customHeight="1">
      <c r="A6" s="196"/>
      <c r="V6" s="197"/>
    </row>
    <row r="7" spans="1:24" ht="18" customHeight="1">
      <c r="A7" s="196"/>
      <c r="B7" s="940" t="s">
        <v>120</v>
      </c>
      <c r="C7" s="941"/>
      <c r="D7" s="944" t="s">
        <v>517</v>
      </c>
      <c r="E7" s="945"/>
      <c r="F7" s="468"/>
      <c r="H7" s="639"/>
      <c r="I7" s="639"/>
      <c r="J7" s="639"/>
      <c r="K7" s="639"/>
      <c r="L7" s="639"/>
      <c r="M7" s="639"/>
      <c r="P7" s="198"/>
      <c r="S7" s="199" t="s">
        <v>398</v>
      </c>
      <c r="T7" s="940" t="s">
        <v>917</v>
      </c>
      <c r="U7" s="941"/>
      <c r="V7" s="197"/>
    </row>
    <row r="8" spans="1:24" ht="18" customHeight="1">
      <c r="A8" s="469"/>
      <c r="F8" s="468"/>
      <c r="T8" s="940"/>
      <c r="U8" s="941"/>
      <c r="V8" s="197"/>
    </row>
    <row r="9" spans="1:24" ht="18" customHeight="1">
      <c r="A9" s="196"/>
      <c r="H9" s="662" t="s">
        <v>401</v>
      </c>
      <c r="I9" s="662"/>
      <c r="J9" s="701" t="s">
        <v>402</v>
      </c>
      <c r="K9" s="701"/>
      <c r="L9" s="701" t="s">
        <v>403</v>
      </c>
      <c r="M9" s="701"/>
      <c r="T9" s="940"/>
      <c r="U9" s="941"/>
      <c r="V9" s="197"/>
    </row>
    <row r="10" spans="1:24" ht="18" customHeight="1">
      <c r="A10" s="196"/>
      <c r="B10" s="47" t="s">
        <v>404</v>
      </c>
      <c r="H10" s="942">
        <v>2500</v>
      </c>
      <c r="I10" s="943"/>
      <c r="J10" s="940" t="s">
        <v>7</v>
      </c>
      <c r="K10" s="941"/>
      <c r="L10" s="940" t="s">
        <v>7</v>
      </c>
      <c r="M10" s="941"/>
      <c r="N10" s="203" t="s">
        <v>353</v>
      </c>
      <c r="O10" s="515">
        <v>1</v>
      </c>
      <c r="P10" s="27" t="s">
        <v>9</v>
      </c>
      <c r="R10" s="267"/>
      <c r="S10" s="267"/>
      <c r="V10" s="197"/>
    </row>
    <row r="11" spans="1:24" ht="18" customHeight="1">
      <c r="A11" s="196"/>
      <c r="B11" s="47" t="s">
        <v>405</v>
      </c>
      <c r="H11" s="940" t="s">
        <v>849</v>
      </c>
      <c r="I11" s="941"/>
      <c r="V11" s="197"/>
    </row>
    <row r="12" spans="1:24" ht="18" customHeight="1">
      <c r="A12" s="196"/>
      <c r="B12" s="47" t="s">
        <v>407</v>
      </c>
      <c r="G12" s="120" t="s">
        <v>508</v>
      </c>
      <c r="H12" s="981">
        <v>5</v>
      </c>
      <c r="I12" s="982"/>
      <c r="J12" s="204" t="s">
        <v>344</v>
      </c>
      <c r="V12" s="197"/>
    </row>
    <row r="13" spans="1:24" ht="18" customHeight="1">
      <c r="A13" s="196"/>
      <c r="B13" s="47" t="s">
        <v>409</v>
      </c>
      <c r="G13" s="120" t="s">
        <v>509</v>
      </c>
      <c r="H13" s="940">
        <v>750</v>
      </c>
      <c r="I13" s="941"/>
      <c r="J13" s="14" t="s">
        <v>316</v>
      </c>
      <c r="U13" s="18"/>
      <c r="V13" s="197"/>
      <c r="W13" s="30" t="str">
        <f>H59</f>
        <v>Suitably Dimentioned</v>
      </c>
    </row>
    <row r="14" spans="1:24" ht="18" customHeight="1">
      <c r="A14" s="196"/>
      <c r="B14" s="14" t="s">
        <v>412</v>
      </c>
      <c r="G14" s="120" t="s">
        <v>413</v>
      </c>
      <c r="H14" s="940">
        <v>60</v>
      </c>
      <c r="I14" s="941"/>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P743</v>
      </c>
      <c r="E18" s="239"/>
      <c r="F18" s="239"/>
      <c r="G18" s="239"/>
      <c r="H18" s="145"/>
      <c r="I18" s="272" t="s">
        <v>138</v>
      </c>
      <c r="J18" s="946">
        <f>'CT-VT Burdens'!Q98</f>
        <v>0.1</v>
      </c>
      <c r="K18" s="947"/>
      <c r="L18" s="3" t="s">
        <v>168</v>
      </c>
      <c r="N18" s="209"/>
      <c r="V18" s="197"/>
    </row>
    <row r="19" spans="1:25" ht="18" customHeight="1">
      <c r="A19" s="196"/>
      <c r="B19" s="96" t="s">
        <v>416</v>
      </c>
      <c r="C19" s="14"/>
      <c r="D19" s="47">
        <f>T8</f>
        <v>0</v>
      </c>
      <c r="E19" s="14"/>
      <c r="G19" s="211"/>
      <c r="H19" s="27"/>
      <c r="I19" s="101" t="s">
        <v>138</v>
      </c>
      <c r="J19" s="971"/>
      <c r="K19" s="972"/>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71"/>
      <c r="K20" s="972"/>
      <c r="L20" s="214" t="s">
        <v>168</v>
      </c>
      <c r="N20" s="27"/>
      <c r="O20" s="27"/>
      <c r="P20" s="27"/>
      <c r="Q20" s="102"/>
      <c r="R20" s="27"/>
      <c r="S20" s="27"/>
      <c r="T20" s="27"/>
      <c r="V20" s="197"/>
    </row>
    <row r="21" spans="1:25" ht="18" customHeight="1">
      <c r="A21" s="196"/>
      <c r="B21" s="196" t="s">
        <v>423</v>
      </c>
      <c r="C21" s="14"/>
      <c r="D21" s="14"/>
      <c r="E21" s="14"/>
      <c r="H21" s="27"/>
      <c r="I21" s="101" t="s">
        <v>138</v>
      </c>
      <c r="J21" s="950">
        <f>'CT-VT Burdens'!S22</f>
        <v>1.44186744</v>
      </c>
      <c r="K21" s="951"/>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648">
        <f>SUM(J18:J21)</f>
        <v>1.5418674400000001</v>
      </c>
      <c r="K22" s="649"/>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852</v>
      </c>
      <c r="D24" s="14"/>
      <c r="E24" s="14"/>
      <c r="F24" s="14"/>
      <c r="G24" s="14"/>
      <c r="H24" s="291"/>
      <c r="I24" s="120"/>
      <c r="J24" s="291"/>
      <c r="K24" s="291"/>
      <c r="L24" s="14"/>
      <c r="M24" s="14"/>
      <c r="N24" s="14"/>
      <c r="O24" s="14"/>
      <c r="P24" s="14"/>
      <c r="Q24" s="120" t="s">
        <v>853</v>
      </c>
      <c r="R24" s="102" t="s">
        <v>138</v>
      </c>
      <c r="S24" s="983">
        <f>'Parameters &amp; Fault Cal. (4)'!Q10 *1000</f>
        <v>40000</v>
      </c>
      <c r="T24" s="984"/>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638">
        <f>H10</f>
        <v>2500</v>
      </c>
      <c r="T25" s="638"/>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641">
        <f>S24/S25*O10</f>
        <v>16</v>
      </c>
      <c r="T26" s="641"/>
      <c r="U26" s="14" t="s">
        <v>9</v>
      </c>
      <c r="V26" s="197"/>
    </row>
    <row r="27" spans="1:25" ht="18" customHeight="1">
      <c r="A27" s="180"/>
      <c r="B27" s="5"/>
      <c r="C27" s="47" t="s">
        <v>856</v>
      </c>
      <c r="D27" s="14"/>
      <c r="E27" s="14"/>
      <c r="F27" s="18"/>
      <c r="G27" s="18"/>
      <c r="H27" s="291"/>
      <c r="I27" s="120"/>
      <c r="J27" s="291"/>
      <c r="K27" s="291"/>
      <c r="L27" s="14"/>
      <c r="M27" s="14"/>
      <c r="N27" s="14"/>
      <c r="O27" s="14"/>
      <c r="P27" s="14"/>
      <c r="Q27" s="120" t="s">
        <v>700</v>
      </c>
      <c r="R27" s="28" t="s">
        <v>138</v>
      </c>
      <c r="S27" s="641">
        <f>J22/O10*O10</f>
        <v>1.5418674400000001</v>
      </c>
      <c r="T27" s="641"/>
      <c r="U27" s="204" t="s">
        <v>344</v>
      </c>
      <c r="V27" s="197"/>
      <c r="X27" s="291"/>
      <c r="Y27" s="291"/>
    </row>
    <row r="28" spans="1:25" ht="18" customHeight="1">
      <c r="A28" s="180"/>
      <c r="B28" s="5"/>
      <c r="C28" s="47" t="s">
        <v>857</v>
      </c>
      <c r="Q28" s="120" t="s">
        <v>858</v>
      </c>
      <c r="R28" s="28" t="s">
        <v>138</v>
      </c>
      <c r="S28" s="983">
        <f>20*S25</f>
        <v>50000</v>
      </c>
      <c r="T28" s="984"/>
      <c r="U28" s="14" t="s">
        <v>9</v>
      </c>
      <c r="V28" s="197"/>
      <c r="X28" s="291"/>
      <c r="Y28" s="291"/>
    </row>
    <row r="29" spans="1:25" ht="18" customHeight="1">
      <c r="A29" s="311"/>
      <c r="B29" s="291"/>
      <c r="C29" s="47" t="s">
        <v>859</v>
      </c>
      <c r="Q29" s="256" t="s">
        <v>860</v>
      </c>
      <c r="R29" s="28" t="s">
        <v>138</v>
      </c>
      <c r="S29" s="637">
        <f>S28/S25</f>
        <v>20</v>
      </c>
      <c r="T29" s="637"/>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2" ht="18" customHeight="1">
      <c r="A33" s="205" t="s">
        <v>861</v>
      </c>
      <c r="H33" s="28"/>
      <c r="I33" s="28"/>
      <c r="J33" s="28"/>
      <c r="K33" s="28"/>
      <c r="T33" s="14"/>
      <c r="U33" s="14"/>
      <c r="V33" s="197"/>
    </row>
    <row r="34" spans="1:22" ht="18" customHeight="1">
      <c r="A34" s="205"/>
      <c r="H34" s="28"/>
      <c r="I34" s="28"/>
      <c r="J34" s="28"/>
      <c r="K34" s="28"/>
      <c r="T34" s="14"/>
      <c r="U34" s="14"/>
      <c r="V34" s="197"/>
    </row>
    <row r="35" spans="1:22" ht="18" customHeight="1">
      <c r="A35" s="196"/>
      <c r="B35" s="638" t="s">
        <v>484</v>
      </c>
      <c r="C35" s="638"/>
      <c r="D35" s="28" t="s">
        <v>862</v>
      </c>
      <c r="E35" s="28">
        <v>0.5</v>
      </c>
      <c r="F35" s="28" t="s">
        <v>326</v>
      </c>
      <c r="G35" s="638" t="s">
        <v>855</v>
      </c>
      <c r="H35" s="638"/>
      <c r="I35" s="28" t="s">
        <v>683</v>
      </c>
      <c r="J35" s="638" t="s">
        <v>431</v>
      </c>
      <c r="K35" s="638"/>
      <c r="L35" s="28" t="s">
        <v>358</v>
      </c>
      <c r="M35" s="638" t="s">
        <v>700</v>
      </c>
      <c r="N35" s="638"/>
      <c r="O35" s="14" t="s">
        <v>361</v>
      </c>
      <c r="P35" s="14"/>
      <c r="Q35" s="14"/>
      <c r="R35" s="14"/>
      <c r="T35" s="14"/>
      <c r="U35" s="14"/>
      <c r="V35" s="197"/>
    </row>
    <row r="36" spans="1:22" ht="18" customHeight="1">
      <c r="A36" s="196"/>
      <c r="B36" s="14"/>
      <c r="C36" s="14"/>
      <c r="D36" s="102" t="s">
        <v>138</v>
      </c>
      <c r="E36" s="28">
        <v>0.5</v>
      </c>
      <c r="F36" s="28" t="s">
        <v>326</v>
      </c>
      <c r="G36" s="641">
        <f>S26</f>
        <v>16</v>
      </c>
      <c r="H36" s="638"/>
      <c r="I36" s="28" t="s">
        <v>683</v>
      </c>
      <c r="J36" s="638">
        <f>H12</f>
        <v>5</v>
      </c>
      <c r="K36" s="638"/>
      <c r="L36" s="28" t="s">
        <v>358</v>
      </c>
      <c r="M36" s="641">
        <f>S27</f>
        <v>1.5418674400000001</v>
      </c>
      <c r="N36" s="638"/>
      <c r="O36" s="14" t="s">
        <v>361</v>
      </c>
      <c r="S36" s="14"/>
      <c r="T36" s="14"/>
      <c r="U36" s="14"/>
      <c r="V36" s="197"/>
    </row>
    <row r="37" spans="1:22" ht="18" customHeight="1">
      <c r="A37" s="196"/>
      <c r="B37" s="14"/>
      <c r="C37" s="14"/>
      <c r="D37" s="102" t="s">
        <v>138</v>
      </c>
      <c r="E37" s="641">
        <f>E36*G36*(J36+M36)</f>
        <v>52.334939519999999</v>
      </c>
      <c r="F37" s="641"/>
      <c r="G37" s="223"/>
      <c r="H37" s="230"/>
      <c r="I37" s="14"/>
      <c r="J37" s="14"/>
      <c r="K37" s="14"/>
      <c r="L37" s="14"/>
      <c r="M37" s="14"/>
      <c r="N37" s="14"/>
      <c r="O37" s="14"/>
      <c r="P37" s="14"/>
      <c r="Q37" s="14"/>
      <c r="R37" s="14"/>
      <c r="V37" s="197"/>
    </row>
    <row r="38" spans="1:22" ht="18" customHeight="1">
      <c r="A38" s="196"/>
      <c r="B38" s="14"/>
      <c r="C38" s="14"/>
      <c r="D38" s="28"/>
      <c r="E38" s="230"/>
      <c r="F38" s="230"/>
      <c r="G38" s="223"/>
      <c r="H38" s="230"/>
      <c r="I38" s="14"/>
      <c r="J38" s="14"/>
      <c r="K38" s="14"/>
      <c r="L38" s="14"/>
      <c r="M38" s="14"/>
      <c r="N38" s="14"/>
      <c r="O38" s="14"/>
      <c r="P38" s="14"/>
      <c r="Q38" s="14"/>
      <c r="R38" s="14"/>
      <c r="V38" s="197"/>
    </row>
    <row r="39" spans="1:22" ht="18" customHeight="1">
      <c r="A39" s="205" t="s">
        <v>863</v>
      </c>
      <c r="B39" s="14"/>
      <c r="C39" s="14"/>
      <c r="D39" s="28"/>
      <c r="E39" s="230"/>
      <c r="F39" s="230"/>
      <c r="G39" s="223"/>
      <c r="H39" s="230"/>
      <c r="I39" s="14"/>
      <c r="J39" s="14"/>
      <c r="K39" s="14"/>
      <c r="L39" s="14"/>
      <c r="M39" s="14"/>
      <c r="N39" s="14"/>
      <c r="O39" s="14"/>
      <c r="P39" s="14"/>
      <c r="Q39" s="14"/>
      <c r="R39" s="14"/>
      <c r="V39" s="197"/>
    </row>
    <row r="40" spans="1:22" ht="18" customHeight="1">
      <c r="A40" s="196"/>
      <c r="B40" s="14"/>
      <c r="C40" s="14"/>
      <c r="D40" s="28"/>
      <c r="E40" s="230"/>
      <c r="F40" s="230"/>
      <c r="G40" s="223"/>
      <c r="H40" s="230"/>
      <c r="I40" s="14"/>
      <c r="J40" s="14"/>
      <c r="K40" s="14"/>
      <c r="L40" s="14"/>
      <c r="M40" s="14"/>
      <c r="N40" s="14"/>
      <c r="O40" s="14"/>
      <c r="P40" s="14"/>
      <c r="Q40" s="14"/>
      <c r="R40" s="14"/>
      <c r="V40" s="197"/>
    </row>
    <row r="41" spans="1:22" ht="18" customHeight="1">
      <c r="A41" s="196"/>
      <c r="B41" s="638" t="s">
        <v>484</v>
      </c>
      <c r="C41" s="638"/>
      <c r="D41" s="28" t="s">
        <v>862</v>
      </c>
      <c r="E41" s="638" t="s">
        <v>860</v>
      </c>
      <c r="F41" s="638"/>
      <c r="G41" s="28" t="s">
        <v>683</v>
      </c>
      <c r="H41" s="638" t="s">
        <v>431</v>
      </c>
      <c r="I41" s="638"/>
      <c r="J41" s="28" t="s">
        <v>358</v>
      </c>
      <c r="K41" s="638" t="s">
        <v>700</v>
      </c>
      <c r="L41" s="638"/>
      <c r="M41" s="14" t="s">
        <v>361</v>
      </c>
      <c r="P41" s="14"/>
      <c r="Q41" s="14"/>
      <c r="R41" s="14"/>
      <c r="V41" s="197"/>
    </row>
    <row r="42" spans="1:22" ht="18" customHeight="1">
      <c r="A42" s="196"/>
      <c r="B42" s="14"/>
      <c r="C42" s="14"/>
      <c r="D42" s="102" t="s">
        <v>138</v>
      </c>
      <c r="E42" s="641">
        <f>S29</f>
        <v>20</v>
      </c>
      <c r="F42" s="638"/>
      <c r="G42" s="28" t="s">
        <v>683</v>
      </c>
      <c r="H42" s="638">
        <f>H12</f>
        <v>5</v>
      </c>
      <c r="I42" s="638"/>
      <c r="J42" s="28" t="s">
        <v>358</v>
      </c>
      <c r="K42" s="641">
        <f>S27</f>
        <v>1.5418674400000001</v>
      </c>
      <c r="L42" s="638"/>
      <c r="M42" s="14" t="s">
        <v>361</v>
      </c>
      <c r="N42" s="14"/>
      <c r="O42" s="14"/>
      <c r="P42" s="14"/>
      <c r="Q42" s="14"/>
      <c r="R42" s="14"/>
      <c r="V42" s="197"/>
    </row>
    <row r="43" spans="1:22" ht="18" customHeight="1">
      <c r="A43" s="196"/>
      <c r="B43" s="14"/>
      <c r="C43" s="14"/>
      <c r="D43" s="102" t="s">
        <v>138</v>
      </c>
      <c r="E43" s="641">
        <f>E42*(H42+K42)</f>
        <v>130.8373488</v>
      </c>
      <c r="F43" s="641"/>
      <c r="G43" s="223"/>
      <c r="H43" s="230"/>
      <c r="I43" s="14"/>
      <c r="J43" s="14"/>
      <c r="K43" s="14"/>
      <c r="L43" s="14"/>
      <c r="M43" s="14"/>
      <c r="N43" s="14"/>
      <c r="O43" s="14"/>
      <c r="P43" s="14"/>
      <c r="Q43" s="14"/>
      <c r="R43" s="14"/>
      <c r="V43" s="197"/>
    </row>
    <row r="44" spans="1:22" ht="18" customHeight="1">
      <c r="A44" s="196"/>
      <c r="B44" s="14"/>
      <c r="C44" s="14"/>
      <c r="D44" s="102"/>
      <c r="E44" s="230"/>
      <c r="F44" s="230"/>
      <c r="G44" s="223"/>
      <c r="H44" s="230"/>
      <c r="I44" s="14"/>
      <c r="J44" s="14"/>
      <c r="K44" s="14"/>
      <c r="L44" s="14"/>
      <c r="M44" s="14"/>
      <c r="N44" s="14"/>
      <c r="O44" s="14"/>
      <c r="P44" s="14"/>
      <c r="Q44" s="14"/>
      <c r="R44" s="14"/>
      <c r="V44" s="197"/>
    </row>
    <row r="45" spans="1:22" ht="18" customHeight="1">
      <c r="A45" s="196"/>
      <c r="B45" s="14"/>
      <c r="C45" s="14"/>
      <c r="D45" s="102"/>
      <c r="E45" s="230"/>
      <c r="F45" s="230"/>
      <c r="G45" s="223"/>
      <c r="H45" s="230"/>
      <c r="I45" s="14"/>
      <c r="J45" s="14"/>
      <c r="K45" s="14"/>
      <c r="L45" s="14"/>
      <c r="M45" s="14"/>
      <c r="N45" s="14"/>
      <c r="O45" s="14"/>
      <c r="P45" s="14"/>
      <c r="Q45" s="14"/>
      <c r="R45" s="14"/>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2" s="14" customFormat="1" ht="18" customHeight="1">
      <c r="A47" s="141"/>
      <c r="B47" s="285"/>
      <c r="C47" s="285"/>
      <c r="D47" s="285"/>
      <c r="E47" s="285"/>
      <c r="F47" s="285"/>
      <c r="G47" s="285"/>
      <c r="H47" s="285"/>
      <c r="I47" s="285"/>
      <c r="J47" s="285"/>
      <c r="K47" s="285"/>
      <c r="L47" s="285"/>
      <c r="M47" s="285"/>
      <c r="N47" s="285"/>
      <c r="O47" s="285"/>
      <c r="P47" s="285"/>
      <c r="Q47" s="286"/>
      <c r="R47" s="145"/>
      <c r="S47" s="287"/>
      <c r="T47" s="285"/>
      <c r="U47" s="285"/>
      <c r="V47" s="288"/>
    </row>
    <row r="48" spans="1:22" ht="18" customHeight="1">
      <c r="A48" s="205" t="s">
        <v>864</v>
      </c>
      <c r="B48" s="209"/>
      <c r="C48" s="209"/>
      <c r="D48" s="209"/>
      <c r="E48" s="14"/>
      <c r="F48" s="14"/>
      <c r="G48" s="14"/>
      <c r="H48" s="14"/>
      <c r="I48" s="14"/>
      <c r="J48" s="14"/>
      <c r="K48" s="14"/>
      <c r="L48" s="14"/>
      <c r="M48" s="14"/>
      <c r="N48" s="14"/>
      <c r="O48" s="14"/>
      <c r="P48" s="27"/>
      <c r="Q48" s="28"/>
      <c r="T48" s="14"/>
      <c r="U48" s="14"/>
      <c r="V48" s="197"/>
    </row>
    <row r="49" spans="1:22" ht="18" customHeight="1">
      <c r="A49" s="205"/>
      <c r="B49" s="209"/>
      <c r="C49" s="209"/>
      <c r="D49" s="209"/>
      <c r="E49" s="14"/>
      <c r="F49" s="14"/>
      <c r="G49" s="14"/>
      <c r="H49" s="14"/>
      <c r="I49" s="14"/>
      <c r="J49" s="14"/>
      <c r="K49" s="14"/>
      <c r="L49" s="14"/>
      <c r="M49" s="14"/>
      <c r="N49" s="14"/>
      <c r="O49" s="14"/>
      <c r="P49" s="27"/>
      <c r="Q49" s="28"/>
      <c r="T49" s="14"/>
      <c r="U49" s="14"/>
      <c r="V49" s="197"/>
    </row>
    <row r="50" spans="1:22" ht="18" customHeight="1">
      <c r="A50" s="96"/>
      <c r="B50" s="209" t="s">
        <v>861</v>
      </c>
      <c r="C50" s="209"/>
      <c r="D50" s="14"/>
      <c r="E50" s="14"/>
      <c r="F50" s="14"/>
      <c r="G50" s="14"/>
      <c r="H50" s="14"/>
      <c r="I50" s="14"/>
      <c r="J50" s="14"/>
      <c r="K50" s="14"/>
      <c r="L50" s="14"/>
      <c r="M50" s="14"/>
      <c r="N50" s="14"/>
      <c r="O50" s="14"/>
      <c r="P50" s="14"/>
      <c r="Q50" s="14"/>
      <c r="R50" s="14"/>
      <c r="S50" s="14"/>
      <c r="T50" s="14"/>
      <c r="U50" s="14"/>
      <c r="V50" s="197"/>
    </row>
    <row r="51" spans="1:22" ht="18" customHeight="1">
      <c r="A51" s="96"/>
      <c r="B51" s="14"/>
      <c r="C51" s="14"/>
      <c r="D51" s="14"/>
      <c r="E51" s="14"/>
      <c r="F51" s="256" t="s">
        <v>486</v>
      </c>
      <c r="G51" s="28" t="str">
        <f>IF(E52&gt;H52, "&gt;","&lt;")</f>
        <v>&gt;</v>
      </c>
      <c r="H51" s="14" t="s">
        <v>488</v>
      </c>
      <c r="I51" s="14"/>
      <c r="J51" s="14"/>
      <c r="K51" s="14"/>
      <c r="L51" s="14" t="s">
        <v>865</v>
      </c>
      <c r="M51" s="14"/>
      <c r="N51" s="14"/>
      <c r="O51" s="14"/>
      <c r="P51" s="14"/>
      <c r="Q51" s="14"/>
      <c r="R51" s="14"/>
      <c r="S51" s="14"/>
      <c r="T51" s="14"/>
      <c r="U51" s="14"/>
      <c r="V51" s="197"/>
    </row>
    <row r="52" spans="1:22" ht="18" customHeight="1">
      <c r="A52" s="96"/>
      <c r="B52" s="14"/>
      <c r="C52" s="14"/>
      <c r="D52" s="14"/>
      <c r="E52" s="959">
        <f>H13</f>
        <v>750</v>
      </c>
      <c r="F52" s="959"/>
      <c r="G52" s="28" t="str">
        <f>G51</f>
        <v>&gt;</v>
      </c>
      <c r="H52" s="641">
        <f>E37</f>
        <v>52.334939519999999</v>
      </c>
      <c r="I52" s="641"/>
      <c r="J52" s="14"/>
      <c r="K52" s="14"/>
      <c r="L52" s="14"/>
      <c r="M52" s="14"/>
      <c r="N52" s="14"/>
      <c r="O52" s="14"/>
      <c r="P52" s="14"/>
      <c r="Q52" s="14"/>
      <c r="R52" s="14"/>
      <c r="S52" s="14"/>
      <c r="T52" s="14"/>
      <c r="U52" s="14"/>
      <c r="V52" s="197"/>
    </row>
    <row r="53" spans="1:22" ht="18" customHeight="1">
      <c r="A53" s="196"/>
      <c r="D53" s="223"/>
      <c r="E53" s="230"/>
      <c r="F53" s="211" t="s">
        <v>866</v>
      </c>
      <c r="G53" s="223"/>
      <c r="H53" s="293" t="s">
        <v>867</v>
      </c>
      <c r="J53" s="28" t="s">
        <v>868</v>
      </c>
      <c r="K53" s="18" t="str">
        <f>IF(G52="&gt;", "Satisfied", "Not Satisfied")</f>
        <v>Satisfied</v>
      </c>
      <c r="P53" s="14"/>
      <c r="Q53" s="14"/>
      <c r="R53" s="14"/>
      <c r="S53" s="14"/>
      <c r="T53" s="14"/>
      <c r="U53" s="14"/>
      <c r="V53" s="197"/>
    </row>
    <row r="54" spans="1:22" ht="18" customHeight="1">
      <c r="A54" s="96"/>
      <c r="B54" s="209" t="s">
        <v>863</v>
      </c>
      <c r="C54" s="209"/>
      <c r="D54" s="14"/>
      <c r="E54" s="14"/>
      <c r="F54" s="14"/>
      <c r="G54" s="14"/>
      <c r="H54" s="14"/>
      <c r="I54" s="14"/>
      <c r="J54" s="14"/>
      <c r="K54" s="14"/>
      <c r="L54" s="14"/>
      <c r="M54" s="14"/>
      <c r="N54" s="14"/>
      <c r="O54" s="14"/>
      <c r="P54" s="120"/>
      <c r="Q54" s="308"/>
      <c r="V54" s="197"/>
    </row>
    <row r="55" spans="1:22" ht="18" customHeight="1">
      <c r="A55" s="96"/>
      <c r="B55" s="14"/>
      <c r="C55" s="14"/>
      <c r="D55" s="14"/>
      <c r="E55" s="14"/>
      <c r="F55" s="256" t="s">
        <v>486</v>
      </c>
      <c r="G55" s="28" t="str">
        <f>IF(E56&gt;H56, "&gt;","&lt;")</f>
        <v>&gt;</v>
      </c>
      <c r="H55" s="14" t="s">
        <v>488</v>
      </c>
      <c r="I55" s="14"/>
      <c r="J55" s="14"/>
      <c r="K55" s="14"/>
      <c r="L55" s="14" t="s">
        <v>869</v>
      </c>
      <c r="M55" s="14"/>
      <c r="N55" s="14"/>
      <c r="O55" s="14"/>
      <c r="P55" s="313"/>
      <c r="Q55" s="474"/>
      <c r="V55" s="197"/>
    </row>
    <row r="56" spans="1:22" ht="18" customHeight="1">
      <c r="A56" s="96"/>
      <c r="B56" s="14"/>
      <c r="C56" s="14"/>
      <c r="D56" s="14"/>
      <c r="E56" s="959">
        <f>H13</f>
        <v>750</v>
      </c>
      <c r="F56" s="959"/>
      <c r="G56" s="28" t="str">
        <f>G55</f>
        <v>&gt;</v>
      </c>
      <c r="H56" s="641">
        <f>E43</f>
        <v>130.8373488</v>
      </c>
      <c r="I56" s="641"/>
      <c r="J56" s="14"/>
      <c r="K56" s="14"/>
      <c r="L56" s="14"/>
      <c r="M56" s="14"/>
      <c r="N56" s="14"/>
      <c r="O56" s="14"/>
      <c r="V56" s="197"/>
    </row>
    <row r="57" spans="1:22" ht="18" customHeight="1">
      <c r="A57" s="196"/>
      <c r="D57" s="223"/>
      <c r="E57" s="14"/>
      <c r="F57" s="211" t="s">
        <v>866</v>
      </c>
      <c r="G57" s="223"/>
      <c r="H57" s="293" t="s">
        <v>863</v>
      </c>
      <c r="J57" s="28" t="s">
        <v>868</v>
      </c>
      <c r="K57" s="18" t="str">
        <f>IF(G56="&gt;", "Satisfied", "Not Satisfied")</f>
        <v>Satisfied</v>
      </c>
      <c r="P57" s="244"/>
      <c r="Q57" s="244"/>
      <c r="R57" s="244"/>
      <c r="S57" s="244"/>
      <c r="T57" s="244"/>
      <c r="U57" s="244"/>
      <c r="V57" s="245"/>
    </row>
    <row r="58" spans="1:22" ht="18" customHeight="1">
      <c r="A58" s="196"/>
      <c r="H58" s="28"/>
      <c r="I58" s="28"/>
      <c r="J58" s="28"/>
      <c r="K58" s="28"/>
      <c r="L58" s="28"/>
      <c r="M58" s="28"/>
      <c r="N58" s="28"/>
      <c r="O58" s="28"/>
      <c r="P58" s="244"/>
      <c r="Q58" s="244"/>
      <c r="R58" s="244"/>
      <c r="S58" s="244"/>
      <c r="T58" s="244"/>
      <c r="U58" s="244"/>
      <c r="V58" s="245"/>
    </row>
    <row r="59" spans="1:22" ht="18" customHeight="1">
      <c r="A59" s="96"/>
      <c r="B59" s="14"/>
      <c r="C59" s="14"/>
      <c r="D59" s="14"/>
      <c r="E59" s="14"/>
      <c r="F59" s="256" t="s">
        <v>489</v>
      </c>
      <c r="G59" s="14"/>
      <c r="H59" s="18" t="str">
        <f>IF(AND(E52&gt;H52,E56&gt;H56),"Suitably Dimentioned","Under Dimentioned")</f>
        <v>Suitably Dimentioned</v>
      </c>
      <c r="I59" s="18"/>
      <c r="J59" s="18"/>
      <c r="K59" s="18"/>
      <c r="L59" s="18"/>
      <c r="M59" s="18"/>
      <c r="N59" s="14"/>
      <c r="O59" s="14"/>
      <c r="V59" s="197"/>
    </row>
    <row r="60" spans="1:22" ht="18" customHeight="1">
      <c r="A60" s="196"/>
      <c r="B60" s="27"/>
      <c r="C60" s="27"/>
      <c r="D60" s="27"/>
      <c r="E60" s="28"/>
      <c r="F60" s="27"/>
      <c r="G60" s="28"/>
      <c r="H60" s="27"/>
      <c r="I60" s="28"/>
      <c r="J60" s="27"/>
      <c r="K60" s="27"/>
      <c r="L60" s="27"/>
      <c r="M60" s="27"/>
      <c r="V60" s="197"/>
    </row>
    <row r="61" spans="1:22" ht="18" customHeight="1">
      <c r="A61" s="196"/>
      <c r="C61" s="27"/>
      <c r="D61" s="257"/>
      <c r="E61" s="233"/>
      <c r="F61" s="257"/>
      <c r="G61" s="234"/>
      <c r="H61" s="257"/>
      <c r="I61" s="257"/>
      <c r="J61" s="257"/>
      <c r="K61" s="257"/>
      <c r="L61" s="257"/>
      <c r="M61" s="27"/>
      <c r="V61" s="197"/>
    </row>
    <row r="62" spans="1:22" ht="18" customHeight="1">
      <c r="A62" s="196"/>
      <c r="C62" s="27"/>
      <c r="D62" s="216"/>
      <c r="E62" s="216"/>
      <c r="G62" s="18"/>
      <c r="V62" s="197"/>
    </row>
    <row r="63" spans="1:22" s="14" customFormat="1" ht="18" customHeight="1">
      <c r="A63" s="96"/>
      <c r="Q63" s="120"/>
      <c r="R63" s="28"/>
      <c r="S63" s="558"/>
      <c r="V63" s="394"/>
    </row>
    <row r="64" spans="1:22" s="14" customFormat="1" ht="18" customHeight="1">
      <c r="A64" s="96"/>
      <c r="Q64" s="120"/>
      <c r="R64" s="28"/>
      <c r="S64" s="558"/>
      <c r="V64" s="394"/>
    </row>
    <row r="65" spans="1:22" s="14" customFormat="1" ht="18" customHeight="1">
      <c r="A65" s="96"/>
      <c r="Q65" s="120"/>
      <c r="R65" s="28"/>
      <c r="S65" s="558"/>
      <c r="V65" s="394"/>
    </row>
    <row r="66" spans="1:22" s="14" customFormat="1" ht="18" customHeight="1">
      <c r="A66" s="96"/>
      <c r="Q66" s="120"/>
      <c r="R66" s="28"/>
      <c r="S66" s="558"/>
      <c r="V66" s="394"/>
    </row>
    <row r="67" spans="1:22" s="14" customFormat="1" ht="18" customHeight="1">
      <c r="A67" s="96"/>
      <c r="Q67" s="120"/>
      <c r="R67" s="28"/>
      <c r="S67" s="558"/>
      <c r="V67" s="394"/>
    </row>
    <row r="68" spans="1:22" s="14" customFormat="1" ht="18" customHeight="1">
      <c r="A68" s="96"/>
      <c r="Q68" s="120"/>
      <c r="R68" s="28"/>
      <c r="S68" s="558"/>
      <c r="V68" s="394"/>
    </row>
    <row r="69" spans="1:22" s="14" customFormat="1" ht="18" customHeight="1">
      <c r="A69" s="96"/>
      <c r="Q69" s="120"/>
      <c r="R69" s="28"/>
      <c r="S69" s="558"/>
      <c r="V69" s="394"/>
    </row>
    <row r="70" spans="1:22" s="14" customFormat="1" ht="18" customHeight="1">
      <c r="A70" s="96"/>
      <c r="Q70" s="120"/>
      <c r="R70" s="28"/>
      <c r="S70" s="558"/>
      <c r="V70" s="394"/>
    </row>
    <row r="71" spans="1:22" s="14" customFormat="1" ht="18" customHeight="1">
      <c r="A71" s="96"/>
      <c r="Q71" s="120"/>
      <c r="R71" s="28"/>
      <c r="S71" s="558"/>
      <c r="V71" s="394"/>
    </row>
    <row r="72" spans="1:22" s="14" customFormat="1" ht="18" customHeight="1">
      <c r="A72" s="96"/>
      <c r="Q72" s="120"/>
      <c r="R72" s="28"/>
      <c r="S72" s="558"/>
      <c r="V72" s="394"/>
    </row>
    <row r="73" spans="1:22" s="14" customFormat="1" ht="18" customHeight="1">
      <c r="A73" s="96"/>
      <c r="Q73" s="120"/>
      <c r="R73" s="28"/>
      <c r="S73" s="558"/>
      <c r="V73" s="394"/>
    </row>
    <row r="74" spans="1:22" s="14" customFormat="1" ht="18" customHeight="1">
      <c r="A74" s="96"/>
      <c r="Q74" s="120"/>
      <c r="R74" s="28"/>
      <c r="S74" s="558"/>
      <c r="V74" s="394"/>
    </row>
    <row r="75" spans="1:22" s="14" customFormat="1" ht="18" customHeight="1">
      <c r="A75" s="96"/>
      <c r="Q75" s="120"/>
      <c r="R75" s="28"/>
      <c r="S75" s="558"/>
      <c r="V75" s="394"/>
    </row>
    <row r="76" spans="1:22" s="14" customFormat="1" ht="18" customHeight="1">
      <c r="A76" s="96"/>
      <c r="Q76" s="120"/>
      <c r="R76" s="28"/>
      <c r="S76" s="558"/>
      <c r="V76" s="394"/>
    </row>
    <row r="77" spans="1:22" s="14" customFormat="1" ht="18" customHeight="1">
      <c r="A77" s="96"/>
      <c r="Q77" s="120"/>
      <c r="R77" s="28"/>
      <c r="S77" s="558"/>
      <c r="V77" s="394"/>
    </row>
    <row r="78" spans="1:22" s="14" customFormat="1" ht="18" customHeight="1">
      <c r="A78" s="96"/>
      <c r="Q78" s="120"/>
      <c r="R78" s="28"/>
      <c r="S78" s="558"/>
      <c r="V78" s="394"/>
    </row>
    <row r="79" spans="1:22" s="14" customFormat="1" ht="18" customHeight="1">
      <c r="A79" s="96"/>
      <c r="Q79" s="120"/>
      <c r="R79" s="28"/>
      <c r="S79" s="558"/>
      <c r="V79" s="394"/>
    </row>
    <row r="80" spans="1:22" s="14" customFormat="1" ht="18" customHeight="1">
      <c r="A80" s="96"/>
      <c r="Q80" s="120"/>
      <c r="R80" s="28"/>
      <c r="S80" s="558"/>
      <c r="V80" s="394"/>
    </row>
    <row r="81" spans="1:23" s="14" customFormat="1" ht="18" customHeight="1">
      <c r="A81" s="96"/>
      <c r="Q81" s="120"/>
      <c r="R81" s="28"/>
      <c r="S81" s="558"/>
      <c r="V81" s="394"/>
    </row>
    <row r="82" spans="1:23" s="14" customFormat="1" ht="18" customHeight="1">
      <c r="A82" s="96"/>
      <c r="Q82" s="120"/>
      <c r="R82" s="28"/>
      <c r="S82" s="558"/>
      <c r="V82" s="394"/>
    </row>
    <row r="83" spans="1:23" s="14" customFormat="1" ht="18" customHeight="1">
      <c r="A83" s="96"/>
      <c r="Q83" s="120"/>
      <c r="R83" s="28"/>
      <c r="S83" s="558"/>
      <c r="V83" s="394"/>
    </row>
    <row r="84" spans="1:23" s="14" customFormat="1" ht="18" customHeight="1">
      <c r="A84" s="96"/>
      <c r="Q84" s="120"/>
      <c r="R84" s="28"/>
      <c r="S84" s="558"/>
      <c r="V84" s="394"/>
    </row>
    <row r="85" spans="1:23" s="14" customFormat="1" ht="18" customHeight="1">
      <c r="A85" s="96"/>
      <c r="Q85" s="120"/>
      <c r="R85" s="28"/>
      <c r="S85" s="558"/>
      <c r="V85" s="394"/>
    </row>
    <row r="86" spans="1:23" s="14" customFormat="1" ht="18" customHeight="1">
      <c r="A86" s="96"/>
      <c r="Q86" s="120"/>
      <c r="R86" s="28"/>
      <c r="S86" s="558"/>
      <c r="V86" s="394"/>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650" t="str">
        <f>B7</f>
        <v>T1</v>
      </c>
      <c r="C89" s="651"/>
      <c r="D89" s="650" t="str">
        <f>D7</f>
        <v>Core2</v>
      </c>
      <c r="E89" s="651"/>
      <c r="F89" s="468"/>
      <c r="H89" s="639" t="s">
        <v>722</v>
      </c>
      <c r="I89" s="639"/>
      <c r="J89" s="639"/>
      <c r="K89" s="639"/>
      <c r="L89" s="639"/>
      <c r="M89" s="639"/>
      <c r="P89" s="198"/>
      <c r="S89" s="199" t="s">
        <v>398</v>
      </c>
      <c r="T89" s="650" t="str">
        <f>T7</f>
        <v>P743</v>
      </c>
      <c r="U89" s="651"/>
      <c r="V89" s="197"/>
    </row>
    <row r="90" spans="1:23" ht="18" hidden="1" customHeight="1">
      <c r="A90" s="469"/>
      <c r="F90" s="468"/>
      <c r="T90" s="650">
        <f>T8</f>
        <v>0</v>
      </c>
      <c r="U90" s="651"/>
      <c r="V90" s="197"/>
    </row>
    <row r="91" spans="1:23" ht="18" hidden="1" customHeight="1">
      <c r="A91" s="196"/>
      <c r="H91" s="661" t="s">
        <v>401</v>
      </c>
      <c r="I91" s="661"/>
      <c r="J91" s="662" t="s">
        <v>402</v>
      </c>
      <c r="K91" s="662"/>
      <c r="L91" s="701" t="s">
        <v>403</v>
      </c>
      <c r="M91" s="701"/>
      <c r="T91" s="650">
        <f>T9</f>
        <v>0</v>
      </c>
      <c r="U91" s="651"/>
      <c r="V91" s="197"/>
    </row>
    <row r="92" spans="1:23" ht="18" hidden="1" customHeight="1">
      <c r="A92" s="196"/>
      <c r="B92" s="47" t="s">
        <v>404</v>
      </c>
      <c r="H92" s="650">
        <f>H10</f>
        <v>2500</v>
      </c>
      <c r="I92" s="651"/>
      <c r="J92" s="652" t="str">
        <f>J10</f>
        <v>-</v>
      </c>
      <c r="K92" s="653"/>
      <c r="L92" s="650" t="str">
        <f>L10</f>
        <v>-</v>
      </c>
      <c r="M92" s="651"/>
      <c r="N92" s="203" t="s">
        <v>353</v>
      </c>
      <c r="O92" s="268">
        <f>O10</f>
        <v>1</v>
      </c>
      <c r="P92" s="27" t="s">
        <v>9</v>
      </c>
      <c r="R92" s="267"/>
      <c r="S92" s="267"/>
      <c r="V92" s="197"/>
    </row>
    <row r="93" spans="1:23" ht="18" hidden="1" customHeight="1">
      <c r="A93" s="196"/>
      <c r="B93" s="47" t="s">
        <v>405</v>
      </c>
      <c r="J93" s="650" t="str">
        <f>H11</f>
        <v>PX-B</v>
      </c>
      <c r="K93" s="651"/>
      <c r="V93" s="197"/>
    </row>
    <row r="94" spans="1:23" ht="18" hidden="1" customHeight="1">
      <c r="A94" s="196"/>
      <c r="B94" s="47" t="s">
        <v>407</v>
      </c>
      <c r="I94" s="120" t="s">
        <v>508</v>
      </c>
      <c r="J94" s="981"/>
      <c r="K94" s="982"/>
      <c r="L94" s="204" t="s">
        <v>344</v>
      </c>
      <c r="V94" s="197"/>
    </row>
    <row r="95" spans="1:23" ht="18" hidden="1" customHeight="1">
      <c r="A95" s="196"/>
      <c r="B95" s="47" t="s">
        <v>409</v>
      </c>
      <c r="I95" s="120" t="s">
        <v>509</v>
      </c>
      <c r="J95" s="940"/>
      <c r="K95" s="941"/>
      <c r="L95" s="14" t="s">
        <v>316</v>
      </c>
      <c r="U95" s="18"/>
      <c r="V95" s="197"/>
      <c r="W95" s="30" t="str">
        <f>H144</f>
        <v>Under Dimentioned</v>
      </c>
    </row>
    <row r="96" spans="1:23" ht="18" hidden="1" customHeight="1">
      <c r="A96" s="196"/>
      <c r="B96" s="14" t="s">
        <v>412</v>
      </c>
      <c r="I96" s="120" t="s">
        <v>413</v>
      </c>
      <c r="J96" s="940"/>
      <c r="K96" s="941"/>
      <c r="L96" s="14" t="s">
        <v>414</v>
      </c>
      <c r="V96" s="197"/>
    </row>
    <row r="97" spans="1:22" ht="18" hidden="1" customHeight="1">
      <c r="A97" s="196"/>
      <c r="V97" s="197"/>
    </row>
    <row r="98" spans="1:22" ht="18" hidden="1" customHeight="1">
      <c r="A98" s="205" t="s">
        <v>415</v>
      </c>
      <c r="V98" s="197"/>
    </row>
    <row r="99" spans="1:22" ht="18" hidden="1" customHeight="1">
      <c r="A99" s="196"/>
      <c r="V99" s="197"/>
    </row>
    <row r="100" spans="1:22" ht="18" hidden="1" customHeight="1">
      <c r="A100" s="196"/>
      <c r="B100" s="141" t="s">
        <v>416</v>
      </c>
      <c r="C100" s="285"/>
      <c r="D100" s="146" t="str">
        <f>T89</f>
        <v>P743</v>
      </c>
      <c r="E100" s="239"/>
      <c r="F100" s="239"/>
      <c r="G100" s="239"/>
      <c r="H100" s="145"/>
      <c r="I100" s="272" t="s">
        <v>138</v>
      </c>
      <c r="J100" s="644">
        <f>J18</f>
        <v>0.1</v>
      </c>
      <c r="K100" s="648"/>
      <c r="L100" s="3" t="s">
        <v>168</v>
      </c>
      <c r="N100" s="209"/>
      <c r="V100" s="197"/>
    </row>
    <row r="101" spans="1:22" ht="18" hidden="1" customHeight="1">
      <c r="A101" s="196"/>
      <c r="B101" s="96" t="s">
        <v>416</v>
      </c>
      <c r="C101" s="14"/>
      <c r="D101" s="47">
        <f>T90</f>
        <v>0</v>
      </c>
      <c r="E101" s="14"/>
      <c r="G101" s="211"/>
      <c r="H101" s="27"/>
      <c r="I101" s="101" t="s">
        <v>138</v>
      </c>
      <c r="J101" s="644">
        <f>J19</f>
        <v>0</v>
      </c>
      <c r="K101" s="648"/>
      <c r="L101" s="214" t="s">
        <v>168</v>
      </c>
      <c r="N101" s="28"/>
      <c r="O101" s="27"/>
      <c r="P101" s="28"/>
      <c r="Q101" s="102"/>
      <c r="R101" s="28"/>
      <c r="S101" s="27"/>
      <c r="T101" s="28"/>
      <c r="V101" s="197"/>
    </row>
    <row r="102" spans="1:22" ht="18" hidden="1" customHeight="1">
      <c r="A102" s="196"/>
      <c r="B102" s="96" t="s">
        <v>416</v>
      </c>
      <c r="C102" s="14"/>
      <c r="D102" s="47">
        <f>T91</f>
        <v>0</v>
      </c>
      <c r="E102" s="14"/>
      <c r="G102" s="211"/>
      <c r="H102" s="27"/>
      <c r="I102" s="101" t="s">
        <v>138</v>
      </c>
      <c r="J102" s="644">
        <f>J20</f>
        <v>0</v>
      </c>
      <c r="K102" s="648"/>
      <c r="L102" s="214" t="s">
        <v>168</v>
      </c>
      <c r="N102" s="27"/>
      <c r="O102" s="27"/>
      <c r="P102" s="27"/>
      <c r="Q102" s="102"/>
      <c r="R102" s="27"/>
      <c r="S102" s="27"/>
      <c r="T102" s="27"/>
      <c r="V102" s="197"/>
    </row>
    <row r="103" spans="1:22" ht="18" hidden="1" customHeight="1">
      <c r="A103" s="196"/>
      <c r="B103" s="196" t="s">
        <v>423</v>
      </c>
      <c r="C103" s="14"/>
      <c r="D103" s="14"/>
      <c r="E103" s="14"/>
      <c r="H103" s="27"/>
      <c r="I103" s="101" t="s">
        <v>138</v>
      </c>
      <c r="J103" s="644">
        <f>J21</f>
        <v>1.44186744</v>
      </c>
      <c r="K103" s="648"/>
      <c r="L103" s="309" t="s">
        <v>168</v>
      </c>
      <c r="N103" s="27"/>
      <c r="O103" s="27"/>
      <c r="P103" s="216"/>
      <c r="R103" s="204"/>
      <c r="S103" s="27"/>
      <c r="T103" s="27"/>
      <c r="V103" s="197"/>
    </row>
    <row r="104" spans="1:22" ht="18" hidden="1" customHeight="1">
      <c r="A104" s="196"/>
      <c r="B104" s="1" t="s">
        <v>424</v>
      </c>
      <c r="C104" s="2"/>
      <c r="D104" s="2"/>
      <c r="E104" s="2"/>
      <c r="F104" s="208"/>
      <c r="G104" s="208"/>
      <c r="H104" s="236" t="s">
        <v>523</v>
      </c>
      <c r="I104" s="195" t="s">
        <v>138</v>
      </c>
      <c r="J104" s="648">
        <f>SUM(J100:J103)</f>
        <v>1.5418674400000001</v>
      </c>
      <c r="K104" s="649"/>
      <c r="L104" s="3" t="s">
        <v>168</v>
      </c>
      <c r="V104" s="197"/>
    </row>
    <row r="105" spans="1:22" ht="18" hidden="1" customHeight="1">
      <c r="A105" s="196"/>
      <c r="B105" s="47"/>
      <c r="C105" s="47"/>
      <c r="D105" s="47"/>
      <c r="E105" s="47"/>
      <c r="H105" s="27"/>
      <c r="I105" s="28"/>
      <c r="J105" s="211"/>
      <c r="L105" s="47"/>
      <c r="O105" s="27"/>
      <c r="P105" s="223"/>
      <c r="Q105" s="27"/>
      <c r="R105" s="216"/>
      <c r="S105" s="27"/>
      <c r="V105" s="197"/>
    </row>
    <row r="106" spans="1:22" ht="18" hidden="1" customHeight="1">
      <c r="A106" s="180"/>
      <c r="B106" s="5"/>
      <c r="C106" s="47" t="s">
        <v>852</v>
      </c>
      <c r="D106" s="14"/>
      <c r="E106" s="14"/>
      <c r="F106" s="14"/>
      <c r="G106" s="14"/>
      <c r="H106" s="291"/>
      <c r="I106" s="120"/>
      <c r="J106" s="291"/>
      <c r="K106" s="291"/>
      <c r="L106" s="14"/>
      <c r="M106" s="14"/>
      <c r="N106" s="14"/>
      <c r="O106" s="14"/>
      <c r="P106" s="14"/>
      <c r="Q106" s="120" t="s">
        <v>853</v>
      </c>
      <c r="R106" s="102" t="s">
        <v>138</v>
      </c>
      <c r="S106" s="650">
        <f>S24</f>
        <v>40000</v>
      </c>
      <c r="T106" s="651"/>
      <c r="U106" s="47" t="s">
        <v>9</v>
      </c>
      <c r="V106" s="197"/>
    </row>
    <row r="107" spans="1:22" ht="18" hidden="1" customHeight="1">
      <c r="A107" s="180"/>
      <c r="B107" s="5"/>
      <c r="C107" s="47" t="s">
        <v>665</v>
      </c>
      <c r="D107" s="14"/>
      <c r="E107" s="14"/>
      <c r="F107" s="18"/>
      <c r="G107" s="18"/>
      <c r="H107" s="291"/>
      <c r="I107" s="120"/>
      <c r="J107" s="291"/>
      <c r="K107" s="291"/>
      <c r="L107" s="14"/>
      <c r="M107" s="14"/>
      <c r="N107" s="14"/>
      <c r="O107" s="14"/>
      <c r="P107" s="14"/>
      <c r="Q107" s="120" t="s">
        <v>434</v>
      </c>
      <c r="R107" s="102" t="s">
        <v>138</v>
      </c>
      <c r="S107" s="638">
        <f>H92</f>
        <v>2500</v>
      </c>
      <c r="T107" s="638"/>
      <c r="U107" s="14" t="s">
        <v>9</v>
      </c>
      <c r="V107" s="197"/>
    </row>
    <row r="108" spans="1:22" ht="18" hidden="1" customHeight="1">
      <c r="A108" s="180"/>
      <c r="B108" s="5"/>
      <c r="C108" s="47" t="s">
        <v>854</v>
      </c>
      <c r="E108" s="14"/>
      <c r="F108" s="18"/>
      <c r="G108" s="18"/>
      <c r="H108" s="291"/>
      <c r="I108" s="120"/>
      <c r="J108" s="291"/>
      <c r="K108" s="291"/>
      <c r="L108" s="14"/>
      <c r="M108" s="14"/>
      <c r="N108" s="14"/>
      <c r="O108" s="14"/>
      <c r="P108" s="14"/>
      <c r="Q108" s="120" t="s">
        <v>855</v>
      </c>
      <c r="R108" s="28" t="s">
        <v>138</v>
      </c>
      <c r="S108" s="641">
        <f>S106/S107*O92</f>
        <v>16</v>
      </c>
      <c r="T108" s="641"/>
      <c r="U108" s="14" t="s">
        <v>9</v>
      </c>
      <c r="V108" s="197"/>
    </row>
    <row r="109" spans="1:22" ht="18" hidden="1" customHeight="1">
      <c r="A109" s="180"/>
      <c r="B109" s="5"/>
      <c r="C109" s="47" t="s">
        <v>856</v>
      </c>
      <c r="D109" s="14"/>
      <c r="E109" s="14"/>
      <c r="F109" s="18"/>
      <c r="G109" s="18"/>
      <c r="H109" s="291"/>
      <c r="I109" s="120"/>
      <c r="J109" s="291"/>
      <c r="K109" s="291"/>
      <c r="L109" s="14"/>
      <c r="M109" s="14"/>
      <c r="N109" s="14"/>
      <c r="O109" s="14"/>
      <c r="P109" s="14"/>
      <c r="Q109" s="120" t="s">
        <v>700</v>
      </c>
      <c r="R109" s="28" t="s">
        <v>138</v>
      </c>
      <c r="S109" s="641">
        <f>J104/O92*O92</f>
        <v>1.5418674400000001</v>
      </c>
      <c r="T109" s="641"/>
      <c r="U109" s="204" t="s">
        <v>344</v>
      </c>
      <c r="V109" s="197"/>
    </row>
    <row r="110" spans="1:22" ht="18" hidden="1" customHeight="1">
      <c r="A110" s="180"/>
      <c r="B110" s="5"/>
      <c r="C110" s="47" t="s">
        <v>857</v>
      </c>
      <c r="Q110" s="120" t="s">
        <v>858</v>
      </c>
      <c r="R110" s="28" t="s">
        <v>138</v>
      </c>
      <c r="S110" s="650">
        <f>S28</f>
        <v>50000</v>
      </c>
      <c r="T110" s="651"/>
      <c r="U110" s="14" t="s">
        <v>9</v>
      </c>
      <c r="V110" s="197"/>
    </row>
    <row r="111" spans="1:22" ht="18" hidden="1" customHeight="1">
      <c r="A111" s="311"/>
      <c r="B111" s="291"/>
      <c r="C111" s="47" t="s">
        <v>859</v>
      </c>
      <c r="Q111" s="256" t="s">
        <v>860</v>
      </c>
      <c r="R111" s="28" t="s">
        <v>138</v>
      </c>
      <c r="S111" s="637">
        <f>S110/S107</f>
        <v>20</v>
      </c>
      <c r="T111" s="637"/>
      <c r="U111" s="14" t="s">
        <v>9</v>
      </c>
      <c r="V111" s="312"/>
    </row>
    <row r="112" spans="1:22" ht="18" hidden="1" customHeight="1">
      <c r="A112" s="96"/>
      <c r="B112" s="14"/>
      <c r="C112" s="14"/>
      <c r="D112" s="14"/>
      <c r="E112" s="14"/>
      <c r="F112" s="14"/>
      <c r="G112" s="14"/>
      <c r="H112" s="14"/>
      <c r="I112" s="14"/>
      <c r="J112" s="14"/>
      <c r="K112" s="14"/>
      <c r="L112" s="14"/>
      <c r="M112" s="14"/>
      <c r="N112" s="14"/>
      <c r="O112" s="14"/>
      <c r="P112" s="28"/>
      <c r="Q112" s="120"/>
      <c r="R112" s="14"/>
      <c r="S112" s="14"/>
      <c r="T112" s="14"/>
      <c r="U112" s="14"/>
      <c r="V112" s="197"/>
    </row>
    <row r="113" spans="1:22" ht="18" hidden="1" customHeight="1">
      <c r="A113" s="205" t="s">
        <v>766</v>
      </c>
      <c r="B113" s="14"/>
      <c r="C113" s="14"/>
      <c r="D113" s="14"/>
      <c r="E113" s="14"/>
      <c r="F113" s="14"/>
      <c r="G113" s="14"/>
      <c r="H113" s="14"/>
      <c r="K113" s="14"/>
      <c r="T113" s="14"/>
      <c r="U113" s="14"/>
      <c r="V113" s="197"/>
    </row>
    <row r="114" spans="1:22" ht="18" hidden="1" customHeight="1">
      <c r="A114" s="96"/>
      <c r="B114" s="14"/>
      <c r="C114" s="14"/>
      <c r="D114" s="14"/>
      <c r="E114" s="14"/>
      <c r="F114" s="14"/>
      <c r="G114" s="14"/>
      <c r="H114" s="14"/>
      <c r="K114" s="14"/>
      <c r="T114" s="14"/>
      <c r="U114" s="14"/>
      <c r="V114" s="197"/>
    </row>
    <row r="115" spans="1:22" ht="18" hidden="1" customHeight="1">
      <c r="A115" s="205" t="s">
        <v>861</v>
      </c>
      <c r="H115" s="28"/>
      <c r="I115" s="28"/>
      <c r="J115" s="28"/>
      <c r="K115" s="28"/>
      <c r="T115" s="14"/>
      <c r="U115" s="14"/>
      <c r="V115" s="197"/>
    </row>
    <row r="116" spans="1:22" ht="18" hidden="1" customHeight="1">
      <c r="A116" s="205"/>
      <c r="H116" s="28"/>
      <c r="I116" s="28"/>
      <c r="J116" s="28"/>
      <c r="K116" s="28"/>
      <c r="T116" s="14"/>
      <c r="U116" s="14"/>
      <c r="V116" s="197"/>
    </row>
    <row r="117" spans="1:22" ht="18" hidden="1" customHeight="1">
      <c r="A117" s="196"/>
      <c r="B117" s="638" t="s">
        <v>484</v>
      </c>
      <c r="C117" s="638"/>
      <c r="D117" s="28" t="s">
        <v>862</v>
      </c>
      <c r="E117" s="28">
        <v>0.5</v>
      </c>
      <c r="F117" s="28" t="s">
        <v>326</v>
      </c>
      <c r="G117" s="638" t="s">
        <v>855</v>
      </c>
      <c r="H117" s="638"/>
      <c r="I117" s="28" t="s">
        <v>683</v>
      </c>
      <c r="J117" s="638" t="s">
        <v>431</v>
      </c>
      <c r="K117" s="638"/>
      <c r="L117" s="28" t="s">
        <v>358</v>
      </c>
      <c r="M117" s="638" t="s">
        <v>700</v>
      </c>
      <c r="N117" s="638"/>
      <c r="O117" s="14" t="s">
        <v>361</v>
      </c>
      <c r="P117" s="14"/>
      <c r="Q117" s="14"/>
      <c r="R117" s="14"/>
      <c r="T117" s="14"/>
      <c r="U117" s="14"/>
      <c r="V117" s="197"/>
    </row>
    <row r="118" spans="1:22" ht="18" hidden="1" customHeight="1">
      <c r="A118" s="196"/>
      <c r="B118" s="14"/>
      <c r="C118" s="14"/>
      <c r="D118" s="102" t="s">
        <v>138</v>
      </c>
      <c r="E118" s="28">
        <v>0.5</v>
      </c>
      <c r="F118" s="28" t="s">
        <v>326</v>
      </c>
      <c r="G118" s="641">
        <f>S108</f>
        <v>16</v>
      </c>
      <c r="H118" s="638"/>
      <c r="I118" s="28" t="s">
        <v>683</v>
      </c>
      <c r="J118" s="638">
        <f>J94</f>
        <v>0</v>
      </c>
      <c r="K118" s="638"/>
      <c r="L118" s="28" t="s">
        <v>358</v>
      </c>
      <c r="M118" s="641">
        <f>S109</f>
        <v>1.5418674400000001</v>
      </c>
      <c r="N118" s="638"/>
      <c r="O118" s="14" t="s">
        <v>361</v>
      </c>
      <c r="S118" s="14"/>
      <c r="T118" s="14"/>
      <c r="U118" s="14"/>
      <c r="V118" s="197"/>
    </row>
    <row r="119" spans="1:22" ht="18" hidden="1" customHeight="1">
      <c r="A119" s="196"/>
      <c r="B119" s="14"/>
      <c r="C119" s="14"/>
      <c r="D119" s="102" t="s">
        <v>138</v>
      </c>
      <c r="E119" s="641">
        <f>E118*G118*(J118+M118)</f>
        <v>12.334939520000001</v>
      </c>
      <c r="F119" s="641"/>
      <c r="G119" s="223"/>
      <c r="H119" s="230"/>
      <c r="I119" s="14"/>
      <c r="J119" s="14"/>
      <c r="K119" s="14"/>
      <c r="L119" s="14"/>
      <c r="M119" s="14"/>
      <c r="N119" s="14"/>
      <c r="O119" s="14"/>
      <c r="P119" s="14"/>
      <c r="Q119" s="14"/>
      <c r="R119" s="14"/>
      <c r="V119" s="197"/>
    </row>
    <row r="120" spans="1:22" ht="18" hidden="1" customHeight="1">
      <c r="A120" s="196"/>
      <c r="B120" s="14"/>
      <c r="C120" s="14"/>
      <c r="D120" s="28"/>
      <c r="E120" s="230"/>
      <c r="F120" s="230"/>
      <c r="G120" s="223"/>
      <c r="H120" s="230"/>
      <c r="I120" s="14"/>
      <c r="J120" s="14"/>
      <c r="K120" s="14"/>
      <c r="L120" s="14"/>
      <c r="M120" s="14"/>
      <c r="N120" s="14"/>
      <c r="O120" s="14"/>
      <c r="P120" s="14"/>
      <c r="Q120" s="14"/>
      <c r="R120" s="14"/>
      <c r="V120" s="197"/>
    </row>
    <row r="121" spans="1:22" ht="18" hidden="1" customHeight="1">
      <c r="A121" s="205" t="s">
        <v>863</v>
      </c>
      <c r="B121" s="14"/>
      <c r="C121" s="14"/>
      <c r="D121" s="28"/>
      <c r="E121" s="230"/>
      <c r="F121" s="230"/>
      <c r="G121" s="223"/>
      <c r="H121" s="230"/>
      <c r="I121" s="14"/>
      <c r="J121" s="14"/>
      <c r="K121" s="14"/>
      <c r="L121" s="14"/>
      <c r="M121" s="14"/>
      <c r="N121" s="14"/>
      <c r="O121" s="14"/>
      <c r="P121" s="14"/>
      <c r="Q121" s="14"/>
      <c r="R121" s="14"/>
      <c r="V121" s="197"/>
    </row>
    <row r="122" spans="1:22" ht="18" hidden="1" customHeight="1">
      <c r="A122" s="196"/>
      <c r="B122" s="14"/>
      <c r="C122" s="14"/>
      <c r="D122" s="28"/>
      <c r="E122" s="230"/>
      <c r="F122" s="230"/>
      <c r="G122" s="223"/>
      <c r="H122" s="230"/>
      <c r="I122" s="14"/>
      <c r="J122" s="14"/>
      <c r="K122" s="14"/>
      <c r="L122" s="14"/>
      <c r="M122" s="14"/>
      <c r="N122" s="14"/>
      <c r="O122" s="14"/>
      <c r="P122" s="14"/>
      <c r="Q122" s="14"/>
      <c r="R122" s="14"/>
      <c r="V122" s="197"/>
    </row>
    <row r="123" spans="1:22" ht="18" hidden="1" customHeight="1">
      <c r="A123" s="196"/>
      <c r="B123" s="638" t="s">
        <v>484</v>
      </c>
      <c r="C123" s="638"/>
      <c r="D123" s="28" t="s">
        <v>862</v>
      </c>
      <c r="E123" s="638" t="s">
        <v>860</v>
      </c>
      <c r="F123" s="638"/>
      <c r="G123" s="28" t="s">
        <v>683</v>
      </c>
      <c r="H123" s="638" t="s">
        <v>431</v>
      </c>
      <c r="I123" s="638"/>
      <c r="J123" s="28" t="s">
        <v>358</v>
      </c>
      <c r="K123" s="638" t="s">
        <v>700</v>
      </c>
      <c r="L123" s="638"/>
      <c r="M123" s="14" t="s">
        <v>361</v>
      </c>
      <c r="P123" s="14"/>
      <c r="Q123" s="14"/>
      <c r="R123" s="14"/>
      <c r="V123" s="197"/>
    </row>
    <row r="124" spans="1:22" ht="18" hidden="1" customHeight="1">
      <c r="A124" s="196"/>
      <c r="B124" s="14"/>
      <c r="C124" s="14"/>
      <c r="D124" s="102" t="s">
        <v>138</v>
      </c>
      <c r="E124" s="641">
        <f>S111</f>
        <v>20</v>
      </c>
      <c r="F124" s="638"/>
      <c r="G124" s="28" t="s">
        <v>683</v>
      </c>
      <c r="H124" s="638">
        <f>J94</f>
        <v>0</v>
      </c>
      <c r="I124" s="638"/>
      <c r="J124" s="28" t="s">
        <v>358</v>
      </c>
      <c r="K124" s="641">
        <f>S109</f>
        <v>1.5418674400000001</v>
      </c>
      <c r="L124" s="638"/>
      <c r="M124" s="14" t="s">
        <v>361</v>
      </c>
      <c r="N124" s="14"/>
      <c r="O124" s="14"/>
      <c r="P124" s="14"/>
      <c r="Q124" s="14"/>
      <c r="R124" s="14"/>
      <c r="V124" s="197"/>
    </row>
    <row r="125" spans="1:22" ht="18" hidden="1" customHeight="1">
      <c r="A125" s="196"/>
      <c r="B125" s="14"/>
      <c r="C125" s="14"/>
      <c r="D125" s="102" t="s">
        <v>138</v>
      </c>
      <c r="E125" s="641">
        <f>E124*(H124+K124)</f>
        <v>30.837348800000001</v>
      </c>
      <c r="F125" s="641"/>
      <c r="G125" s="223"/>
      <c r="H125" s="230"/>
      <c r="I125" s="14"/>
      <c r="J125" s="14"/>
      <c r="K125" s="14"/>
      <c r="L125" s="14"/>
      <c r="M125" s="14"/>
      <c r="N125" s="14"/>
      <c r="O125" s="14"/>
      <c r="P125" s="14"/>
      <c r="Q125" s="14"/>
      <c r="R125" s="14"/>
      <c r="V125" s="197"/>
    </row>
    <row r="126" spans="1:22" ht="18" hidden="1" customHeight="1">
      <c r="A126" s="196"/>
      <c r="B126" s="14"/>
      <c r="C126" s="14"/>
      <c r="D126" s="102"/>
      <c r="E126" s="230"/>
      <c r="F126" s="230"/>
      <c r="G126" s="223"/>
      <c r="H126" s="230"/>
      <c r="I126" s="14"/>
      <c r="J126" s="14"/>
      <c r="K126" s="14"/>
      <c r="L126" s="14"/>
      <c r="M126" s="14"/>
      <c r="N126" s="14"/>
      <c r="O126" s="14"/>
      <c r="P126" s="14"/>
      <c r="Q126" s="14"/>
      <c r="R126" s="14"/>
      <c r="V126" s="197"/>
    </row>
    <row r="127" spans="1:22" ht="18" hidden="1" customHeight="1">
      <c r="A127" s="196"/>
      <c r="B127" s="14"/>
      <c r="C127" s="14"/>
      <c r="D127" s="102"/>
      <c r="E127" s="230"/>
      <c r="F127" s="230"/>
      <c r="G127" s="223"/>
      <c r="H127" s="230"/>
      <c r="I127" s="14"/>
      <c r="J127" s="14"/>
      <c r="K127" s="14"/>
      <c r="L127" s="14"/>
      <c r="M127" s="14"/>
      <c r="N127" s="14"/>
      <c r="O127" s="14"/>
      <c r="P127" s="14"/>
      <c r="Q127" s="14"/>
      <c r="R127" s="14"/>
      <c r="V127" s="197"/>
    </row>
    <row r="128" spans="1:22" ht="18" hidden="1" customHeight="1">
      <c r="A128" s="196"/>
      <c r="B128" s="14"/>
      <c r="C128" s="14"/>
      <c r="D128" s="102"/>
      <c r="E128" s="230"/>
      <c r="F128" s="230"/>
      <c r="G128" s="223"/>
      <c r="H128" s="230"/>
      <c r="I128" s="14"/>
      <c r="J128" s="14"/>
      <c r="K128" s="14"/>
      <c r="L128" s="14"/>
      <c r="M128" s="14"/>
      <c r="N128" s="14"/>
      <c r="O128" s="14"/>
      <c r="P128" s="14"/>
      <c r="Q128" s="14"/>
      <c r="R128" s="14"/>
      <c r="V128" s="197"/>
    </row>
    <row r="129" spans="1:22" ht="18" hidden="1" customHeight="1">
      <c r="A129" s="196"/>
      <c r="G129" s="223"/>
      <c r="H129" s="230"/>
      <c r="J129" s="28"/>
      <c r="K129" s="28"/>
      <c r="L129" s="28"/>
      <c r="M129" s="28"/>
      <c r="N129" s="28"/>
      <c r="O129" s="28"/>
      <c r="P129" s="28"/>
      <c r="Q129" s="28"/>
      <c r="R129" s="28"/>
      <c r="V129" s="197"/>
    </row>
    <row r="130" spans="1:22" ht="18" hidden="1" customHeight="1">
      <c r="A130" s="196"/>
      <c r="V130" s="197"/>
    </row>
    <row r="131" spans="1:22" ht="18" hidden="1" customHeight="1">
      <c r="A131" s="206"/>
      <c r="B131" s="207"/>
      <c r="C131" s="207"/>
      <c r="D131" s="207"/>
      <c r="E131" s="207"/>
      <c r="F131" s="207"/>
      <c r="G131" s="207"/>
      <c r="H131" s="207"/>
      <c r="I131" s="207"/>
      <c r="J131" s="207"/>
      <c r="K131" s="207"/>
      <c r="L131" s="207"/>
      <c r="M131" s="207"/>
      <c r="N131" s="207"/>
      <c r="O131" s="207"/>
      <c r="P131" s="207"/>
      <c r="Q131" s="236"/>
      <c r="R131" s="194"/>
      <c r="S131" s="237"/>
      <c r="T131" s="207"/>
      <c r="U131" s="207"/>
      <c r="V131" s="140"/>
    </row>
    <row r="132" spans="1:22" ht="18" hidden="1" customHeight="1">
      <c r="A132" s="141"/>
      <c r="B132" s="285"/>
      <c r="C132" s="285"/>
      <c r="D132" s="285"/>
      <c r="E132" s="285"/>
      <c r="F132" s="285"/>
      <c r="G132" s="285"/>
      <c r="H132" s="285"/>
      <c r="I132" s="285"/>
      <c r="J132" s="285"/>
      <c r="K132" s="285"/>
      <c r="L132" s="285"/>
      <c r="M132" s="285"/>
      <c r="N132" s="285"/>
      <c r="O132" s="285"/>
      <c r="P132" s="285"/>
      <c r="Q132" s="286"/>
      <c r="R132" s="145"/>
      <c r="S132" s="287"/>
      <c r="T132" s="285"/>
      <c r="U132" s="285"/>
      <c r="V132" s="288"/>
    </row>
    <row r="133" spans="1:22" ht="18" hidden="1" customHeight="1">
      <c r="A133" s="205" t="s">
        <v>864</v>
      </c>
      <c r="B133" s="209"/>
      <c r="C133" s="209"/>
      <c r="D133" s="209"/>
      <c r="E133" s="14"/>
      <c r="F133" s="14"/>
      <c r="G133" s="14"/>
      <c r="H133" s="14"/>
      <c r="I133" s="14"/>
      <c r="J133" s="14"/>
      <c r="K133" s="14"/>
      <c r="L133" s="14"/>
      <c r="M133" s="14"/>
      <c r="N133" s="14"/>
      <c r="O133" s="14"/>
      <c r="P133" s="27"/>
      <c r="Q133" s="28"/>
      <c r="T133" s="14"/>
      <c r="U133" s="14"/>
      <c r="V133" s="197"/>
    </row>
    <row r="134" spans="1:22" ht="18" hidden="1" customHeight="1">
      <c r="A134" s="205"/>
      <c r="B134" s="209"/>
      <c r="C134" s="209"/>
      <c r="D134" s="209"/>
      <c r="E134" s="14"/>
      <c r="F134" s="14"/>
      <c r="G134" s="14"/>
      <c r="H134" s="14"/>
      <c r="I134" s="14"/>
      <c r="J134" s="14"/>
      <c r="K134" s="14"/>
      <c r="L134" s="14"/>
      <c r="M134" s="14"/>
      <c r="N134" s="14"/>
      <c r="O134" s="14"/>
      <c r="P134" s="27"/>
      <c r="Q134" s="28"/>
      <c r="T134" s="14"/>
      <c r="U134" s="14"/>
      <c r="V134" s="197"/>
    </row>
    <row r="135" spans="1:22" ht="18" hidden="1" customHeight="1">
      <c r="A135" s="96"/>
      <c r="B135" s="209" t="s">
        <v>861</v>
      </c>
      <c r="C135" s="209"/>
      <c r="D135" s="14"/>
      <c r="E135" s="14"/>
      <c r="F135" s="14"/>
      <c r="G135" s="14"/>
      <c r="H135" s="14"/>
      <c r="I135" s="14"/>
      <c r="J135" s="14"/>
      <c r="K135" s="14"/>
      <c r="L135" s="14"/>
      <c r="M135" s="14"/>
      <c r="N135" s="14"/>
      <c r="O135" s="14"/>
      <c r="P135" s="14"/>
      <c r="Q135" s="14"/>
      <c r="R135" s="14"/>
      <c r="S135" s="14"/>
      <c r="T135" s="14"/>
      <c r="U135" s="14"/>
      <c r="V135" s="197"/>
    </row>
    <row r="136" spans="1:22" ht="18" hidden="1" customHeight="1">
      <c r="A136" s="96"/>
      <c r="B136" s="14"/>
      <c r="C136" s="14"/>
      <c r="D136" s="14"/>
      <c r="E136" s="14"/>
      <c r="F136" s="256" t="s">
        <v>486</v>
      </c>
      <c r="G136" s="28" t="str">
        <f>IF(E137&gt;H137, "&gt;","&lt;")</f>
        <v>&lt;</v>
      </c>
      <c r="H136" s="14" t="s">
        <v>488</v>
      </c>
      <c r="I136" s="14"/>
      <c r="J136" s="14"/>
      <c r="K136" s="14"/>
      <c r="L136" s="14" t="s">
        <v>865</v>
      </c>
      <c r="M136" s="14"/>
      <c r="N136" s="14"/>
      <c r="O136" s="14"/>
      <c r="P136" s="14"/>
      <c r="Q136" s="14"/>
      <c r="R136" s="14"/>
      <c r="S136" s="14"/>
      <c r="T136" s="14"/>
      <c r="U136" s="14"/>
      <c r="V136" s="197"/>
    </row>
    <row r="137" spans="1:22" ht="18" hidden="1" customHeight="1">
      <c r="A137" s="96"/>
      <c r="B137" s="14"/>
      <c r="C137" s="14"/>
      <c r="D137" s="14"/>
      <c r="E137" s="959">
        <f>J95</f>
        <v>0</v>
      </c>
      <c r="F137" s="959"/>
      <c r="G137" s="28" t="str">
        <f>G136</f>
        <v>&lt;</v>
      </c>
      <c r="H137" s="641">
        <f>E119</f>
        <v>12.334939520000001</v>
      </c>
      <c r="I137" s="641"/>
      <c r="J137" s="14"/>
      <c r="K137" s="14"/>
      <c r="L137" s="14"/>
      <c r="M137" s="14"/>
      <c r="N137" s="14"/>
      <c r="O137" s="14"/>
      <c r="P137" s="14"/>
      <c r="Q137" s="14"/>
      <c r="R137" s="14"/>
      <c r="S137" s="14"/>
      <c r="T137" s="14"/>
      <c r="U137" s="14"/>
      <c r="V137" s="197"/>
    </row>
    <row r="138" spans="1:22" ht="18" hidden="1" customHeight="1">
      <c r="A138" s="196"/>
      <c r="D138" s="223"/>
      <c r="E138" s="230"/>
      <c r="F138" s="211" t="s">
        <v>866</v>
      </c>
      <c r="G138" s="223"/>
      <c r="H138" s="293" t="s">
        <v>867</v>
      </c>
      <c r="J138" s="28" t="s">
        <v>868</v>
      </c>
      <c r="K138" s="18" t="str">
        <f>IF(G137="&gt;", "Satisfied", "Not Satisfied")</f>
        <v>Not Satisfied</v>
      </c>
      <c r="P138" s="14"/>
      <c r="Q138" s="14"/>
      <c r="R138" s="14"/>
      <c r="S138" s="14"/>
      <c r="T138" s="14"/>
      <c r="U138" s="14"/>
      <c r="V138" s="197"/>
    </row>
    <row r="139" spans="1:22" ht="18" hidden="1" customHeight="1">
      <c r="A139" s="96"/>
      <c r="B139" s="209" t="s">
        <v>863</v>
      </c>
      <c r="C139" s="209"/>
      <c r="D139" s="14"/>
      <c r="E139" s="14"/>
      <c r="F139" s="14"/>
      <c r="G139" s="14"/>
      <c r="H139" s="14"/>
      <c r="I139" s="14"/>
      <c r="J139" s="14"/>
      <c r="K139" s="14"/>
      <c r="L139" s="14"/>
      <c r="M139" s="14"/>
      <c r="N139" s="14"/>
      <c r="O139" s="14"/>
      <c r="P139" s="120"/>
      <c r="Q139" s="308"/>
      <c r="V139" s="197"/>
    </row>
    <row r="140" spans="1:22" ht="18" hidden="1" customHeight="1">
      <c r="A140" s="96"/>
      <c r="B140" s="14"/>
      <c r="C140" s="14"/>
      <c r="D140" s="14"/>
      <c r="E140" s="14"/>
      <c r="F140" s="256" t="s">
        <v>486</v>
      </c>
      <c r="G140" s="28" t="str">
        <f>IF(E141&gt;H141, "&gt;","&lt;")</f>
        <v>&lt;</v>
      </c>
      <c r="H140" s="14" t="s">
        <v>488</v>
      </c>
      <c r="I140" s="14"/>
      <c r="J140" s="14"/>
      <c r="K140" s="14"/>
      <c r="L140" s="14" t="s">
        <v>869</v>
      </c>
      <c r="M140" s="14"/>
      <c r="N140" s="14"/>
      <c r="O140" s="14"/>
      <c r="P140" s="313"/>
      <c r="Q140" s="474"/>
      <c r="V140" s="197"/>
    </row>
    <row r="141" spans="1:22" ht="18" hidden="1" customHeight="1">
      <c r="A141" s="96"/>
      <c r="B141" s="14"/>
      <c r="C141" s="14"/>
      <c r="D141" s="14"/>
      <c r="E141" s="959">
        <f>J95</f>
        <v>0</v>
      </c>
      <c r="F141" s="959"/>
      <c r="G141" s="28" t="str">
        <f>G140</f>
        <v>&lt;</v>
      </c>
      <c r="H141" s="641">
        <f>E125</f>
        <v>30.837348800000001</v>
      </c>
      <c r="I141" s="641"/>
      <c r="J141" s="14"/>
      <c r="K141" s="14"/>
      <c r="L141" s="14"/>
      <c r="M141" s="14"/>
      <c r="N141" s="14"/>
      <c r="O141" s="14"/>
      <c r="V141" s="197"/>
    </row>
    <row r="142" spans="1:22" ht="18" hidden="1" customHeight="1">
      <c r="A142" s="196"/>
      <c r="D142" s="223"/>
      <c r="E142" s="14"/>
      <c r="F142" s="211" t="s">
        <v>866</v>
      </c>
      <c r="G142" s="223"/>
      <c r="H142" s="293" t="s">
        <v>863</v>
      </c>
      <c r="J142" s="28" t="s">
        <v>868</v>
      </c>
      <c r="K142" s="18" t="str">
        <f>IF(G141="&gt;", "Satisfied", "Not Satisfied")</f>
        <v>Not Satisfied</v>
      </c>
      <c r="P142" s="244"/>
      <c r="Q142" s="244"/>
      <c r="R142" s="244"/>
      <c r="S142" s="244"/>
      <c r="T142" s="244"/>
      <c r="U142" s="244"/>
      <c r="V142" s="245"/>
    </row>
    <row r="143" spans="1:22" ht="18" hidden="1" customHeight="1">
      <c r="A143" s="196"/>
      <c r="H143" s="28"/>
      <c r="I143" s="28"/>
      <c r="J143" s="28"/>
      <c r="K143" s="28"/>
      <c r="L143" s="28"/>
      <c r="M143" s="28"/>
      <c r="N143" s="28"/>
      <c r="O143" s="28"/>
      <c r="P143" s="244"/>
      <c r="Q143" s="244"/>
      <c r="R143" s="244"/>
      <c r="S143" s="244"/>
      <c r="T143" s="244"/>
      <c r="U143" s="244"/>
      <c r="V143" s="245"/>
    </row>
    <row r="144" spans="1:22" ht="18" hidden="1" customHeight="1">
      <c r="A144" s="96"/>
      <c r="B144" s="14"/>
      <c r="C144" s="14"/>
      <c r="D144" s="14"/>
      <c r="E144" s="14"/>
      <c r="F144" s="256" t="s">
        <v>489</v>
      </c>
      <c r="G144" s="14"/>
      <c r="H144" s="18" t="str">
        <f>IF(AND(E137&gt;H137,E141&gt;H141),"Suitably Dimentioned","Under Dimentioned")</f>
        <v>Under Dimentioned</v>
      </c>
      <c r="I144" s="18"/>
      <c r="J144" s="18"/>
      <c r="K144" s="18"/>
      <c r="L144" s="18"/>
      <c r="M144" s="18"/>
      <c r="N144" s="14"/>
      <c r="O144" s="14"/>
      <c r="V144" s="197"/>
    </row>
    <row r="145" spans="1:22" ht="18" hidden="1" customHeight="1">
      <c r="A145" s="196"/>
      <c r="B145" s="27"/>
      <c r="C145" s="27"/>
      <c r="D145" s="27"/>
      <c r="E145" s="28"/>
      <c r="F145" s="27"/>
      <c r="G145" s="28"/>
      <c r="H145" s="27"/>
      <c r="I145" s="28"/>
      <c r="J145" s="27"/>
      <c r="K145" s="27"/>
      <c r="L145" s="27"/>
      <c r="M145" s="27"/>
      <c r="V145" s="197"/>
    </row>
    <row r="146" spans="1:22" ht="18" hidden="1" customHeight="1">
      <c r="A146" s="196"/>
      <c r="C146" s="27"/>
      <c r="D146" s="257"/>
      <c r="E146" s="233"/>
      <c r="F146" s="257"/>
      <c r="G146" s="234"/>
      <c r="H146" s="257"/>
      <c r="I146" s="257"/>
      <c r="J146" s="257"/>
      <c r="K146" s="257"/>
      <c r="L146" s="257"/>
      <c r="M146" s="27"/>
      <c r="V146" s="197"/>
    </row>
    <row r="147" spans="1:22" ht="18" hidden="1" customHeight="1">
      <c r="A147" s="196"/>
      <c r="C147" s="27"/>
      <c r="D147" s="216"/>
      <c r="E147" s="216"/>
      <c r="G147" s="18"/>
      <c r="V147" s="197"/>
    </row>
    <row r="148" spans="1:22" ht="18" hidden="1" customHeight="1">
      <c r="A148" s="96"/>
      <c r="B148" s="14"/>
      <c r="C148" s="14"/>
      <c r="D148" s="14"/>
      <c r="E148" s="14"/>
      <c r="F148" s="14"/>
      <c r="G148" s="14"/>
      <c r="H148" s="14"/>
      <c r="I148" s="14"/>
      <c r="J148" s="14"/>
      <c r="K148" s="14"/>
      <c r="L148" s="14"/>
      <c r="M148" s="14"/>
      <c r="N148" s="14"/>
      <c r="O148" s="14"/>
      <c r="P148" s="14"/>
      <c r="Q148" s="120"/>
      <c r="R148" s="28"/>
      <c r="S148" s="558"/>
      <c r="T148" s="14"/>
      <c r="U148" s="14"/>
      <c r="V148" s="394"/>
    </row>
    <row r="149" spans="1:22" ht="18" hidden="1" customHeight="1">
      <c r="A149" s="96"/>
      <c r="B149" s="14"/>
      <c r="C149" s="14"/>
      <c r="D149" s="14"/>
      <c r="E149" s="14"/>
      <c r="F149" s="14"/>
      <c r="G149" s="14"/>
      <c r="H149" s="14"/>
      <c r="I149" s="14"/>
      <c r="J149" s="14"/>
      <c r="K149" s="14"/>
      <c r="L149" s="14"/>
      <c r="M149" s="14"/>
      <c r="N149" s="14"/>
      <c r="O149" s="14"/>
      <c r="P149" s="14"/>
      <c r="Q149" s="120"/>
      <c r="R149" s="28"/>
      <c r="S149" s="558"/>
      <c r="T149" s="14"/>
      <c r="U149" s="14"/>
      <c r="V149" s="394"/>
    </row>
    <row r="150" spans="1:22" ht="18" hidden="1" customHeight="1">
      <c r="A150" s="96"/>
      <c r="B150" s="14"/>
      <c r="C150" s="14"/>
      <c r="D150" s="14"/>
      <c r="E150" s="14"/>
      <c r="F150" s="14"/>
      <c r="G150" s="14"/>
      <c r="H150" s="14"/>
      <c r="I150" s="14"/>
      <c r="J150" s="14"/>
      <c r="K150" s="14"/>
      <c r="L150" s="14"/>
      <c r="M150" s="14"/>
      <c r="N150" s="14"/>
      <c r="O150" s="14"/>
      <c r="P150" s="14"/>
      <c r="Q150" s="120"/>
      <c r="R150" s="28"/>
      <c r="S150" s="558"/>
      <c r="T150" s="14"/>
      <c r="U150" s="14"/>
      <c r="V150" s="394"/>
    </row>
    <row r="151" spans="1:22" ht="18" hidden="1" customHeight="1">
      <c r="A151" s="96"/>
      <c r="B151" s="14"/>
      <c r="C151" s="14"/>
      <c r="D151" s="14"/>
      <c r="E151" s="14"/>
      <c r="F151" s="14"/>
      <c r="G151" s="14"/>
      <c r="H151" s="14"/>
      <c r="I151" s="14"/>
      <c r="J151" s="14"/>
      <c r="K151" s="14"/>
      <c r="L151" s="14"/>
      <c r="M151" s="14"/>
      <c r="N151" s="14"/>
      <c r="O151" s="14"/>
      <c r="P151" s="14"/>
      <c r="Q151" s="120"/>
      <c r="R151" s="28"/>
      <c r="S151" s="558"/>
      <c r="T151" s="14"/>
      <c r="U151" s="14"/>
      <c r="V151" s="394"/>
    </row>
    <row r="152" spans="1:22" ht="18" hidden="1" customHeight="1">
      <c r="A152" s="96"/>
      <c r="B152" s="14"/>
      <c r="C152" s="14"/>
      <c r="D152" s="14"/>
      <c r="E152" s="14"/>
      <c r="F152" s="14"/>
      <c r="G152" s="14"/>
      <c r="H152" s="14"/>
      <c r="I152" s="14"/>
      <c r="J152" s="14"/>
      <c r="K152" s="14"/>
      <c r="L152" s="14"/>
      <c r="M152" s="14"/>
      <c r="N152" s="14"/>
      <c r="O152" s="14"/>
      <c r="P152" s="14"/>
      <c r="Q152" s="120"/>
      <c r="R152" s="28"/>
      <c r="S152" s="558"/>
      <c r="T152" s="14"/>
      <c r="U152" s="14"/>
      <c r="V152" s="394"/>
    </row>
    <row r="153" spans="1:22" ht="18" hidden="1" customHeight="1">
      <c r="A153" s="96"/>
      <c r="B153" s="14"/>
      <c r="C153" s="14"/>
      <c r="D153" s="14"/>
      <c r="E153" s="14"/>
      <c r="F153" s="14"/>
      <c r="G153" s="14"/>
      <c r="H153" s="14"/>
      <c r="I153" s="14"/>
      <c r="J153" s="14"/>
      <c r="K153" s="14"/>
      <c r="L153" s="14"/>
      <c r="M153" s="14"/>
      <c r="N153" s="14"/>
      <c r="O153" s="14"/>
      <c r="P153" s="14"/>
      <c r="Q153" s="120"/>
      <c r="R153" s="28"/>
      <c r="S153" s="558"/>
      <c r="T153" s="14"/>
      <c r="U153" s="14"/>
      <c r="V153" s="394"/>
    </row>
    <row r="154" spans="1:22" ht="18" hidden="1" customHeight="1">
      <c r="A154" s="96"/>
      <c r="B154" s="14"/>
      <c r="C154" s="14"/>
      <c r="D154" s="14"/>
      <c r="E154" s="14"/>
      <c r="F154" s="14"/>
      <c r="G154" s="14"/>
      <c r="H154" s="14"/>
      <c r="I154" s="14"/>
      <c r="J154" s="14"/>
      <c r="K154" s="14"/>
      <c r="L154" s="14"/>
      <c r="M154" s="14"/>
      <c r="N154" s="14"/>
      <c r="O154" s="14"/>
      <c r="P154" s="14"/>
      <c r="Q154" s="120"/>
      <c r="R154" s="28"/>
      <c r="S154" s="558"/>
      <c r="T154" s="14"/>
      <c r="U154" s="14"/>
      <c r="V154" s="394"/>
    </row>
    <row r="155" spans="1:22" ht="18" hidden="1" customHeight="1">
      <c r="A155" s="96"/>
      <c r="B155" s="14"/>
      <c r="C155" s="14"/>
      <c r="D155" s="14"/>
      <c r="E155" s="14"/>
      <c r="F155" s="14"/>
      <c r="G155" s="14"/>
      <c r="H155" s="14"/>
      <c r="I155" s="14"/>
      <c r="J155" s="14"/>
      <c r="K155" s="14"/>
      <c r="L155" s="14"/>
      <c r="M155" s="14"/>
      <c r="N155" s="14"/>
      <c r="O155" s="14"/>
      <c r="P155" s="14"/>
      <c r="Q155" s="120"/>
      <c r="R155" s="28"/>
      <c r="S155" s="558"/>
      <c r="T155" s="14"/>
      <c r="U155" s="14"/>
      <c r="V155" s="394"/>
    </row>
    <row r="156" spans="1:22" ht="18" hidden="1" customHeight="1">
      <c r="A156" s="96"/>
      <c r="B156" s="14"/>
      <c r="C156" s="14"/>
      <c r="D156" s="14"/>
      <c r="E156" s="14"/>
      <c r="F156" s="14"/>
      <c r="G156" s="14"/>
      <c r="H156" s="14"/>
      <c r="I156" s="14"/>
      <c r="J156" s="14"/>
      <c r="K156" s="14"/>
      <c r="L156" s="14"/>
      <c r="M156" s="14"/>
      <c r="N156" s="14"/>
      <c r="O156" s="14"/>
      <c r="P156" s="14"/>
      <c r="Q156" s="120"/>
      <c r="R156" s="28"/>
      <c r="S156" s="558"/>
      <c r="T156" s="14"/>
      <c r="U156" s="14"/>
      <c r="V156" s="394"/>
    </row>
    <row r="157" spans="1:22" ht="18" hidden="1" customHeight="1">
      <c r="A157" s="96"/>
      <c r="B157" s="14"/>
      <c r="C157" s="14"/>
      <c r="D157" s="14"/>
      <c r="E157" s="14"/>
      <c r="F157" s="14"/>
      <c r="G157" s="14"/>
      <c r="H157" s="14"/>
      <c r="I157" s="14"/>
      <c r="J157" s="14"/>
      <c r="K157" s="14"/>
      <c r="L157" s="14"/>
      <c r="M157" s="14"/>
      <c r="N157" s="14"/>
      <c r="O157" s="14"/>
      <c r="P157" s="14"/>
      <c r="Q157" s="120"/>
      <c r="R157" s="28"/>
      <c r="S157" s="558"/>
      <c r="T157" s="14"/>
      <c r="U157" s="14"/>
      <c r="V157" s="394"/>
    </row>
    <row r="158" spans="1:22" ht="18" hidden="1" customHeight="1">
      <c r="A158" s="96"/>
      <c r="B158" s="14"/>
      <c r="C158" s="14"/>
      <c r="D158" s="14"/>
      <c r="E158" s="14"/>
      <c r="F158" s="14"/>
      <c r="G158" s="14"/>
      <c r="H158" s="14"/>
      <c r="I158" s="14"/>
      <c r="J158" s="14"/>
      <c r="K158" s="14"/>
      <c r="L158" s="14"/>
      <c r="M158" s="14"/>
      <c r="N158" s="14"/>
      <c r="O158" s="14"/>
      <c r="P158" s="14"/>
      <c r="Q158" s="120"/>
      <c r="R158" s="28"/>
      <c r="S158" s="558"/>
      <c r="T158" s="14"/>
      <c r="U158" s="14"/>
      <c r="V158" s="394"/>
    </row>
    <row r="159" spans="1:22" ht="18" hidden="1" customHeight="1">
      <c r="A159" s="96"/>
      <c r="B159" s="14"/>
      <c r="C159" s="14"/>
      <c r="D159" s="14"/>
      <c r="E159" s="14"/>
      <c r="F159" s="14"/>
      <c r="G159" s="14"/>
      <c r="H159" s="14"/>
      <c r="I159" s="14"/>
      <c r="J159" s="14"/>
      <c r="K159" s="14"/>
      <c r="L159" s="14"/>
      <c r="M159" s="14"/>
      <c r="N159" s="14"/>
      <c r="O159" s="14"/>
      <c r="P159" s="14"/>
      <c r="Q159" s="120"/>
      <c r="R159" s="28"/>
      <c r="S159" s="558"/>
      <c r="T159" s="14"/>
      <c r="U159" s="14"/>
      <c r="V159" s="394"/>
    </row>
    <row r="160" spans="1:22" ht="18" hidden="1" customHeight="1">
      <c r="A160" s="96"/>
      <c r="B160" s="14"/>
      <c r="C160" s="14"/>
      <c r="D160" s="14"/>
      <c r="E160" s="14"/>
      <c r="F160" s="14"/>
      <c r="G160" s="14"/>
      <c r="H160" s="14"/>
      <c r="I160" s="14"/>
      <c r="J160" s="14"/>
      <c r="K160" s="14"/>
      <c r="L160" s="14"/>
      <c r="M160" s="14"/>
      <c r="N160" s="14"/>
      <c r="O160" s="14"/>
      <c r="P160" s="14"/>
      <c r="Q160" s="120"/>
      <c r="R160" s="28"/>
      <c r="S160" s="558"/>
      <c r="T160" s="14"/>
      <c r="U160" s="14"/>
      <c r="V160" s="394"/>
    </row>
    <row r="161" spans="1:22" ht="18" hidden="1" customHeight="1">
      <c r="A161" s="96"/>
      <c r="B161" s="14"/>
      <c r="C161" s="14"/>
      <c r="D161" s="14"/>
      <c r="E161" s="14"/>
      <c r="F161" s="14"/>
      <c r="G161" s="14"/>
      <c r="H161" s="14"/>
      <c r="I161" s="14"/>
      <c r="J161" s="14"/>
      <c r="K161" s="14"/>
      <c r="L161" s="14"/>
      <c r="M161" s="14"/>
      <c r="N161" s="14"/>
      <c r="O161" s="14"/>
      <c r="P161" s="14"/>
      <c r="Q161" s="120"/>
      <c r="R161" s="28"/>
      <c r="S161" s="558"/>
      <c r="T161" s="14"/>
      <c r="U161" s="14"/>
      <c r="V161" s="394"/>
    </row>
    <row r="162" spans="1:22" ht="18" hidden="1" customHeight="1">
      <c r="A162" s="96"/>
      <c r="B162" s="14"/>
      <c r="C162" s="14"/>
      <c r="D162" s="14"/>
      <c r="E162" s="14"/>
      <c r="F162" s="14"/>
      <c r="G162" s="14"/>
      <c r="H162" s="14"/>
      <c r="I162" s="14"/>
      <c r="J162" s="14"/>
      <c r="K162" s="14"/>
      <c r="L162" s="14"/>
      <c r="M162" s="14"/>
      <c r="N162" s="14"/>
      <c r="O162" s="14"/>
      <c r="P162" s="14"/>
      <c r="Q162" s="120"/>
      <c r="R162" s="28"/>
      <c r="S162" s="558"/>
      <c r="T162" s="14"/>
      <c r="U162" s="14"/>
      <c r="V162" s="394"/>
    </row>
    <row r="163" spans="1:22" ht="18" hidden="1" customHeight="1">
      <c r="A163" s="96"/>
      <c r="B163" s="14"/>
      <c r="C163" s="14"/>
      <c r="D163" s="14"/>
      <c r="E163" s="14"/>
      <c r="F163" s="14"/>
      <c r="G163" s="14"/>
      <c r="H163" s="14"/>
      <c r="I163" s="14"/>
      <c r="J163" s="14"/>
      <c r="K163" s="14"/>
      <c r="L163" s="14"/>
      <c r="M163" s="14"/>
      <c r="N163" s="14"/>
      <c r="O163" s="14"/>
      <c r="P163" s="14"/>
      <c r="Q163" s="120"/>
      <c r="R163" s="28"/>
      <c r="S163" s="558"/>
      <c r="T163" s="14"/>
      <c r="U163" s="14"/>
      <c r="V163" s="394"/>
    </row>
    <row r="164" spans="1:22" ht="18" hidden="1" customHeight="1">
      <c r="A164" s="96"/>
      <c r="B164" s="14"/>
      <c r="C164" s="14"/>
      <c r="D164" s="14"/>
      <c r="E164" s="14"/>
      <c r="F164" s="14"/>
      <c r="G164" s="14"/>
      <c r="H164" s="14"/>
      <c r="I164" s="14"/>
      <c r="J164" s="14"/>
      <c r="K164" s="14"/>
      <c r="L164" s="14"/>
      <c r="M164" s="14"/>
      <c r="N164" s="14"/>
      <c r="O164" s="14"/>
      <c r="P164" s="14"/>
      <c r="Q164" s="120"/>
      <c r="R164" s="28"/>
      <c r="S164" s="558"/>
      <c r="T164" s="14"/>
      <c r="U164" s="14"/>
      <c r="V164" s="394"/>
    </row>
    <row r="165" spans="1:22" ht="18" hidden="1" customHeight="1">
      <c r="A165" s="96"/>
      <c r="B165" s="14"/>
      <c r="C165" s="14"/>
      <c r="D165" s="14"/>
      <c r="E165" s="14"/>
      <c r="F165" s="14"/>
      <c r="G165" s="14"/>
      <c r="H165" s="14"/>
      <c r="I165" s="14"/>
      <c r="J165" s="14"/>
      <c r="K165" s="14"/>
      <c r="L165" s="14"/>
      <c r="M165" s="14"/>
      <c r="N165" s="14"/>
      <c r="O165" s="14"/>
      <c r="P165" s="14"/>
      <c r="Q165" s="120"/>
      <c r="R165" s="28"/>
      <c r="S165" s="558"/>
      <c r="T165" s="14"/>
      <c r="U165" s="14"/>
      <c r="V165" s="394"/>
    </row>
    <row r="166" spans="1:22" ht="18" hidden="1" customHeight="1">
      <c r="A166" s="96"/>
      <c r="B166" s="14"/>
      <c r="C166" s="14"/>
      <c r="D166" s="14"/>
      <c r="E166" s="14"/>
      <c r="F166" s="14"/>
      <c r="G166" s="14"/>
      <c r="H166" s="14"/>
      <c r="I166" s="14"/>
      <c r="J166" s="14"/>
      <c r="K166" s="14"/>
      <c r="L166" s="14"/>
      <c r="M166" s="14"/>
      <c r="N166" s="14"/>
      <c r="O166" s="14"/>
      <c r="P166" s="14"/>
      <c r="Q166" s="120"/>
      <c r="R166" s="28"/>
      <c r="S166" s="558"/>
      <c r="T166" s="14"/>
      <c r="U166" s="14"/>
      <c r="V166" s="394"/>
    </row>
    <row r="167" spans="1:22" ht="18" hidden="1" customHeight="1">
      <c r="A167" s="96"/>
      <c r="B167" s="14"/>
      <c r="C167" s="14"/>
      <c r="D167" s="14"/>
      <c r="E167" s="14"/>
      <c r="F167" s="14"/>
      <c r="G167" s="14"/>
      <c r="H167" s="14"/>
      <c r="I167" s="14"/>
      <c r="J167" s="14"/>
      <c r="K167" s="14"/>
      <c r="L167" s="14"/>
      <c r="M167" s="14"/>
      <c r="N167" s="14"/>
      <c r="O167" s="14"/>
      <c r="P167" s="14"/>
      <c r="Q167" s="120"/>
      <c r="R167" s="28"/>
      <c r="S167" s="558"/>
      <c r="T167" s="14"/>
      <c r="U167" s="14"/>
      <c r="V167" s="394"/>
    </row>
    <row r="168" spans="1:22" ht="18" hidden="1" customHeight="1">
      <c r="A168" s="96"/>
      <c r="B168" s="14"/>
      <c r="C168" s="14"/>
      <c r="D168" s="14"/>
      <c r="E168" s="14"/>
      <c r="F168" s="14"/>
      <c r="G168" s="14"/>
      <c r="H168" s="14"/>
      <c r="I168" s="14"/>
      <c r="J168" s="14"/>
      <c r="K168" s="14"/>
      <c r="L168" s="14"/>
      <c r="M168" s="14"/>
      <c r="N168" s="14"/>
      <c r="O168" s="14"/>
      <c r="P168" s="14"/>
      <c r="Q168" s="120"/>
      <c r="R168" s="28"/>
      <c r="S168" s="558"/>
      <c r="T168" s="14"/>
      <c r="U168" s="14"/>
      <c r="V168" s="394"/>
    </row>
    <row r="169" spans="1:22" ht="18" hidden="1" customHeight="1">
      <c r="A169" s="96"/>
      <c r="B169" s="14"/>
      <c r="C169" s="14"/>
      <c r="D169" s="14"/>
      <c r="E169" s="14"/>
      <c r="F169" s="14"/>
      <c r="G169" s="14"/>
      <c r="H169" s="14"/>
      <c r="I169" s="14"/>
      <c r="J169" s="14"/>
      <c r="K169" s="14"/>
      <c r="L169" s="14"/>
      <c r="M169" s="14"/>
      <c r="N169" s="14"/>
      <c r="O169" s="14"/>
      <c r="P169" s="14"/>
      <c r="Q169" s="120"/>
      <c r="R169" s="28"/>
      <c r="S169" s="558"/>
      <c r="T169" s="14"/>
      <c r="U169" s="14"/>
      <c r="V169" s="394"/>
    </row>
    <row r="170" spans="1:22" ht="18" hidden="1" customHeight="1">
      <c r="A170" s="96"/>
      <c r="B170" s="14"/>
      <c r="C170" s="14"/>
      <c r="D170" s="14"/>
      <c r="E170" s="14"/>
      <c r="F170" s="14"/>
      <c r="G170" s="14"/>
      <c r="H170" s="14"/>
      <c r="I170" s="14"/>
      <c r="J170" s="14"/>
      <c r="K170" s="14"/>
      <c r="L170" s="14"/>
      <c r="M170" s="14"/>
      <c r="N170" s="14"/>
      <c r="O170" s="14"/>
      <c r="P170" s="14"/>
      <c r="Q170" s="120"/>
      <c r="R170" s="28"/>
      <c r="S170" s="558"/>
      <c r="T170" s="14"/>
      <c r="U170" s="14"/>
      <c r="V170" s="394"/>
    </row>
    <row r="171" spans="1:22" ht="18" hidden="1" customHeight="1">
      <c r="A171" s="96"/>
      <c r="B171" s="14"/>
      <c r="C171" s="14"/>
      <c r="D171" s="14"/>
      <c r="E171" s="14"/>
      <c r="F171" s="14"/>
      <c r="G171" s="14"/>
      <c r="H171" s="14"/>
      <c r="I171" s="14"/>
      <c r="J171" s="14"/>
      <c r="K171" s="14"/>
      <c r="L171" s="14"/>
      <c r="M171" s="14"/>
      <c r="N171" s="14"/>
      <c r="O171" s="14"/>
      <c r="P171" s="14"/>
      <c r="Q171" s="120"/>
      <c r="R171" s="28"/>
      <c r="S171" s="558"/>
      <c r="T171" s="14"/>
      <c r="U171" s="14"/>
      <c r="V171" s="394"/>
    </row>
    <row r="172" spans="1:22" ht="18" hidden="1" customHeight="1">
      <c r="A172" s="96"/>
      <c r="B172" s="14"/>
      <c r="C172" s="14"/>
      <c r="D172" s="14"/>
      <c r="E172" s="14"/>
      <c r="F172" s="14"/>
      <c r="G172" s="14"/>
      <c r="H172" s="14"/>
      <c r="I172" s="14"/>
      <c r="J172" s="14"/>
      <c r="K172" s="14"/>
      <c r="L172" s="14"/>
      <c r="M172" s="14"/>
      <c r="N172" s="14"/>
      <c r="O172" s="14"/>
      <c r="P172" s="14"/>
      <c r="Q172" s="120"/>
      <c r="R172" s="28"/>
      <c r="S172" s="558"/>
      <c r="T172" s="14"/>
      <c r="U172" s="14"/>
      <c r="V172" s="394"/>
    </row>
    <row r="173" spans="1:22" ht="18" hidden="1" customHeight="1">
      <c r="A173" s="96"/>
      <c r="B173" s="14"/>
      <c r="C173" s="14"/>
      <c r="D173" s="14"/>
      <c r="E173" s="14"/>
      <c r="F173" s="14"/>
      <c r="G173" s="14"/>
      <c r="H173" s="14"/>
      <c r="I173" s="14"/>
      <c r="J173" s="14"/>
      <c r="K173" s="14"/>
      <c r="L173" s="14"/>
      <c r="M173" s="14"/>
      <c r="N173" s="14"/>
      <c r="O173" s="14"/>
      <c r="P173" s="14"/>
      <c r="Q173" s="120"/>
      <c r="R173" s="28"/>
      <c r="S173" s="558"/>
      <c r="T173" s="14"/>
      <c r="U173" s="14"/>
      <c r="V173" s="394"/>
    </row>
    <row r="174" spans="1:22" ht="18" hidden="1" customHeight="1">
      <c r="A174" s="96"/>
      <c r="B174" s="14"/>
      <c r="C174" s="14"/>
      <c r="D174" s="14"/>
      <c r="E174" s="14"/>
      <c r="F174" s="14"/>
      <c r="G174" s="14"/>
      <c r="H174" s="14"/>
      <c r="I174" s="14"/>
      <c r="J174" s="14"/>
      <c r="K174" s="14"/>
      <c r="L174" s="14"/>
      <c r="M174" s="14"/>
      <c r="N174" s="14"/>
      <c r="O174" s="14"/>
      <c r="P174" s="14"/>
      <c r="Q174" s="120"/>
      <c r="R174" s="28"/>
      <c r="S174" s="558"/>
      <c r="T174" s="14"/>
      <c r="U174" s="14"/>
      <c r="V174" s="394"/>
    </row>
    <row r="175" spans="1:22" ht="18" hidden="1" customHeight="1">
      <c r="A175" s="206"/>
      <c r="B175" s="207"/>
      <c r="C175" s="207"/>
      <c r="D175" s="207"/>
      <c r="E175" s="207"/>
      <c r="F175" s="207"/>
      <c r="G175" s="207"/>
      <c r="H175" s="207"/>
      <c r="I175" s="207"/>
      <c r="J175" s="207"/>
      <c r="K175" s="207"/>
      <c r="L175" s="207"/>
      <c r="M175" s="207"/>
      <c r="N175" s="207"/>
      <c r="O175" s="207"/>
      <c r="P175" s="207"/>
      <c r="Q175" s="236"/>
      <c r="R175" s="194"/>
      <c r="S175" s="237"/>
      <c r="T175" s="207"/>
      <c r="U175" s="207"/>
      <c r="V175" s="140" t="s">
        <v>563</v>
      </c>
    </row>
    <row r="176" spans="1:22" ht="18" hidden="1" customHeight="1">
      <c r="A176" s="238"/>
      <c r="B176" s="239"/>
      <c r="C176" s="239"/>
      <c r="D176" s="239"/>
      <c r="E176" s="239"/>
      <c r="F176" s="239"/>
      <c r="G176" s="239"/>
      <c r="H176" s="239"/>
      <c r="I176" s="239"/>
      <c r="J176" s="239"/>
      <c r="K176" s="239"/>
      <c r="L176" s="239"/>
      <c r="M176" s="239"/>
      <c r="N176" s="239"/>
      <c r="O176" s="239"/>
      <c r="P176" s="239"/>
      <c r="Q176" s="239"/>
      <c r="R176" s="239"/>
      <c r="S176" s="239"/>
      <c r="T176" s="239"/>
      <c r="U176" s="239"/>
      <c r="V176" s="240"/>
    </row>
    <row r="177" spans="1:23" ht="18" hidden="1" customHeight="1">
      <c r="A177" s="196"/>
      <c r="B177" s="650" t="str">
        <f>B89</f>
        <v>T1</v>
      </c>
      <c r="C177" s="651"/>
      <c r="D177" s="650" t="str">
        <f>D89</f>
        <v>Core2</v>
      </c>
      <c r="E177" s="651"/>
      <c r="F177" s="468"/>
      <c r="H177" s="639" t="s">
        <v>722</v>
      </c>
      <c r="I177" s="639"/>
      <c r="J177" s="639"/>
      <c r="K177" s="639"/>
      <c r="L177" s="639"/>
      <c r="M177" s="639"/>
      <c r="P177" s="198"/>
      <c r="S177" s="199" t="s">
        <v>398</v>
      </c>
      <c r="T177" s="650" t="str">
        <f>T89</f>
        <v>P743</v>
      </c>
      <c r="U177" s="651"/>
      <c r="V177" s="197"/>
    </row>
    <row r="178" spans="1:23" ht="18" hidden="1" customHeight="1">
      <c r="A178" s="469"/>
      <c r="F178" s="468"/>
      <c r="T178" s="650">
        <f>T90</f>
        <v>0</v>
      </c>
      <c r="U178" s="651"/>
      <c r="V178" s="197"/>
    </row>
    <row r="179" spans="1:23" ht="18" hidden="1" customHeight="1">
      <c r="A179" s="196"/>
      <c r="H179" s="661" t="s">
        <v>401</v>
      </c>
      <c r="I179" s="661"/>
      <c r="J179" s="661" t="s">
        <v>402</v>
      </c>
      <c r="K179" s="661"/>
      <c r="L179" s="662" t="s">
        <v>403</v>
      </c>
      <c r="M179" s="662"/>
      <c r="T179" s="650">
        <f>T91</f>
        <v>0</v>
      </c>
      <c r="U179" s="651"/>
      <c r="V179" s="197"/>
    </row>
    <row r="180" spans="1:23" ht="18" hidden="1" customHeight="1">
      <c r="A180" s="196"/>
      <c r="B180" s="47" t="s">
        <v>404</v>
      </c>
      <c r="H180" s="650">
        <f>H92</f>
        <v>2500</v>
      </c>
      <c r="I180" s="651"/>
      <c r="J180" s="650" t="str">
        <f>J92</f>
        <v>-</v>
      </c>
      <c r="K180" s="651"/>
      <c r="L180" s="652" t="str">
        <f>L92</f>
        <v>-</v>
      </c>
      <c r="M180" s="653"/>
      <c r="N180" s="203" t="s">
        <v>353</v>
      </c>
      <c r="O180" s="268">
        <f>O92</f>
        <v>1</v>
      </c>
      <c r="P180" s="27" t="s">
        <v>9</v>
      </c>
      <c r="R180" s="267"/>
      <c r="S180" s="267"/>
      <c r="V180" s="197"/>
    </row>
    <row r="181" spans="1:23" ht="18" hidden="1" customHeight="1">
      <c r="A181" s="196"/>
      <c r="B181" s="47" t="s">
        <v>405</v>
      </c>
      <c r="L181" s="650" t="str">
        <f>J93</f>
        <v>PX-B</v>
      </c>
      <c r="M181" s="651"/>
      <c r="V181" s="197"/>
    </row>
    <row r="182" spans="1:23" ht="18" hidden="1" customHeight="1">
      <c r="A182" s="196"/>
      <c r="B182" s="47" t="s">
        <v>407</v>
      </c>
      <c r="K182" s="120" t="s">
        <v>508</v>
      </c>
      <c r="L182" s="981"/>
      <c r="M182" s="982"/>
      <c r="N182" s="204" t="s">
        <v>344</v>
      </c>
      <c r="V182" s="197"/>
    </row>
    <row r="183" spans="1:23" ht="18" hidden="1" customHeight="1">
      <c r="A183" s="196"/>
      <c r="B183" s="47" t="s">
        <v>409</v>
      </c>
      <c r="K183" s="120" t="s">
        <v>509</v>
      </c>
      <c r="L183" s="940"/>
      <c r="M183" s="941"/>
      <c r="N183" s="14" t="s">
        <v>316</v>
      </c>
      <c r="U183" s="18"/>
      <c r="V183" s="197"/>
      <c r="W183" s="30" t="e">
        <f>H232</f>
        <v>#VALUE!</v>
      </c>
    </row>
    <row r="184" spans="1:23" ht="18" hidden="1" customHeight="1">
      <c r="A184" s="196"/>
      <c r="B184" s="14" t="s">
        <v>412</v>
      </c>
      <c r="K184" s="120" t="s">
        <v>413</v>
      </c>
      <c r="L184" s="940"/>
      <c r="M184" s="941"/>
      <c r="N184" s="14" t="s">
        <v>414</v>
      </c>
      <c r="V184" s="197"/>
    </row>
    <row r="185" spans="1:23" ht="18" hidden="1" customHeight="1">
      <c r="A185" s="196"/>
      <c r="V185" s="197"/>
    </row>
    <row r="186" spans="1:23" ht="18" hidden="1" customHeight="1">
      <c r="A186" s="205" t="s">
        <v>415</v>
      </c>
      <c r="V186" s="197"/>
    </row>
    <row r="187" spans="1:23" ht="18" hidden="1" customHeight="1">
      <c r="A187" s="196"/>
      <c r="V187" s="197"/>
    </row>
    <row r="188" spans="1:23" ht="18" hidden="1" customHeight="1">
      <c r="A188" s="196"/>
      <c r="B188" s="141" t="s">
        <v>416</v>
      </c>
      <c r="C188" s="285"/>
      <c r="D188" s="146" t="str">
        <f>T177</f>
        <v>P743</v>
      </c>
      <c r="E188" s="239"/>
      <c r="F188" s="239"/>
      <c r="G188" s="239"/>
      <c r="H188" s="145"/>
      <c r="I188" s="272" t="s">
        <v>138</v>
      </c>
      <c r="J188" s="644">
        <f>J100</f>
        <v>0.1</v>
      </c>
      <c r="K188" s="648"/>
      <c r="L188" s="3" t="s">
        <v>168</v>
      </c>
      <c r="N188" s="209"/>
      <c r="V188" s="197"/>
    </row>
    <row r="189" spans="1:23" ht="18" hidden="1" customHeight="1">
      <c r="A189" s="196"/>
      <c r="B189" s="96" t="s">
        <v>416</v>
      </c>
      <c r="C189" s="14"/>
      <c r="D189" s="47">
        <f>T178</f>
        <v>0</v>
      </c>
      <c r="E189" s="14"/>
      <c r="G189" s="211"/>
      <c r="H189" s="27"/>
      <c r="I189" s="101" t="s">
        <v>138</v>
      </c>
      <c r="J189" s="644">
        <f>J101</f>
        <v>0</v>
      </c>
      <c r="K189" s="648"/>
      <c r="L189" s="214" t="s">
        <v>168</v>
      </c>
      <c r="N189" s="28"/>
      <c r="O189" s="27"/>
      <c r="P189" s="28"/>
      <c r="Q189" s="102"/>
      <c r="R189" s="28"/>
      <c r="S189" s="27"/>
      <c r="T189" s="28"/>
      <c r="V189" s="197"/>
    </row>
    <row r="190" spans="1:23" ht="18" hidden="1" customHeight="1">
      <c r="A190" s="196"/>
      <c r="B190" s="96" t="s">
        <v>416</v>
      </c>
      <c r="C190" s="14"/>
      <c r="D190" s="47">
        <f>T179</f>
        <v>0</v>
      </c>
      <c r="E190" s="14"/>
      <c r="G190" s="211"/>
      <c r="H190" s="27"/>
      <c r="I190" s="101" t="s">
        <v>138</v>
      </c>
      <c r="J190" s="644">
        <f>J102</f>
        <v>0</v>
      </c>
      <c r="K190" s="648"/>
      <c r="L190" s="214" t="s">
        <v>168</v>
      </c>
      <c r="N190" s="27"/>
      <c r="O190" s="27"/>
      <c r="P190" s="27"/>
      <c r="Q190" s="102"/>
      <c r="R190" s="27"/>
      <c r="S190" s="27"/>
      <c r="T190" s="27"/>
      <c r="V190" s="197"/>
    </row>
    <row r="191" spans="1:23" ht="18" hidden="1" customHeight="1">
      <c r="A191" s="196"/>
      <c r="B191" s="196" t="s">
        <v>423</v>
      </c>
      <c r="C191" s="14"/>
      <c r="D191" s="14"/>
      <c r="E191" s="14"/>
      <c r="H191" s="27"/>
      <c r="I191" s="101" t="s">
        <v>138</v>
      </c>
      <c r="J191" s="644">
        <f>J103</f>
        <v>1.44186744</v>
      </c>
      <c r="K191" s="648"/>
      <c r="L191" s="309" t="s">
        <v>168</v>
      </c>
      <c r="N191" s="27"/>
      <c r="O191" s="27"/>
      <c r="P191" s="216"/>
      <c r="R191" s="204"/>
      <c r="S191" s="27"/>
      <c r="T191" s="27"/>
      <c r="V191" s="197"/>
    </row>
    <row r="192" spans="1:23" ht="18" hidden="1" customHeight="1">
      <c r="A192" s="196"/>
      <c r="B192" s="1" t="s">
        <v>424</v>
      </c>
      <c r="C192" s="2"/>
      <c r="D192" s="2"/>
      <c r="E192" s="2"/>
      <c r="F192" s="208"/>
      <c r="G192" s="208"/>
      <c r="H192" s="236" t="s">
        <v>523</v>
      </c>
      <c r="I192" s="195" t="s">
        <v>138</v>
      </c>
      <c r="J192" s="648">
        <f>SUM(J188:J191)</f>
        <v>1.5418674400000001</v>
      </c>
      <c r="K192" s="649"/>
      <c r="L192" s="3" t="s">
        <v>168</v>
      </c>
      <c r="V192" s="197"/>
    </row>
    <row r="193" spans="1:22" ht="18" hidden="1" customHeight="1">
      <c r="A193" s="196"/>
      <c r="B193" s="47"/>
      <c r="C193" s="47"/>
      <c r="D193" s="47"/>
      <c r="E193" s="47"/>
      <c r="H193" s="27"/>
      <c r="I193" s="28"/>
      <c r="J193" s="211"/>
      <c r="L193" s="47"/>
      <c r="O193" s="27"/>
      <c r="P193" s="223"/>
      <c r="Q193" s="27"/>
      <c r="R193" s="216"/>
      <c r="S193" s="27"/>
      <c r="V193" s="197"/>
    </row>
    <row r="194" spans="1:22" ht="18" hidden="1" customHeight="1">
      <c r="A194" s="180"/>
      <c r="B194" s="5"/>
      <c r="C194" s="47" t="s">
        <v>852</v>
      </c>
      <c r="D194" s="14"/>
      <c r="E194" s="14"/>
      <c r="F194" s="14"/>
      <c r="G194" s="14"/>
      <c r="H194" s="291"/>
      <c r="I194" s="120"/>
      <c r="J194" s="291"/>
      <c r="K194" s="291"/>
      <c r="L194" s="14"/>
      <c r="M194" s="14"/>
      <c r="N194" s="14"/>
      <c r="O194" s="14"/>
      <c r="P194" s="14"/>
      <c r="Q194" s="120" t="s">
        <v>853</v>
      </c>
      <c r="R194" s="102" t="s">
        <v>138</v>
      </c>
      <c r="S194" s="650">
        <f>S106</f>
        <v>40000</v>
      </c>
      <c r="T194" s="651"/>
      <c r="U194" s="47" t="s">
        <v>9</v>
      </c>
      <c r="V194" s="197"/>
    </row>
    <row r="195" spans="1:22" ht="18" hidden="1" customHeight="1">
      <c r="A195" s="180"/>
      <c r="B195" s="5"/>
      <c r="C195" s="47" t="s">
        <v>665</v>
      </c>
      <c r="D195" s="14"/>
      <c r="E195" s="14"/>
      <c r="F195" s="18"/>
      <c r="G195" s="18"/>
      <c r="H195" s="291"/>
      <c r="I195" s="120"/>
      <c r="J195" s="291"/>
      <c r="K195" s="291"/>
      <c r="L195" s="14"/>
      <c r="M195" s="14"/>
      <c r="N195" s="14"/>
      <c r="O195" s="14"/>
      <c r="P195" s="14"/>
      <c r="Q195" s="120" t="s">
        <v>434</v>
      </c>
      <c r="R195" s="102" t="s">
        <v>138</v>
      </c>
      <c r="S195" s="638" t="str">
        <f>L180</f>
        <v>-</v>
      </c>
      <c r="T195" s="638"/>
      <c r="U195" s="14" t="s">
        <v>9</v>
      </c>
      <c r="V195" s="197"/>
    </row>
    <row r="196" spans="1:22" ht="18" hidden="1" customHeight="1">
      <c r="A196" s="180"/>
      <c r="B196" s="5"/>
      <c r="C196" s="47" t="s">
        <v>854</v>
      </c>
      <c r="E196" s="14"/>
      <c r="F196" s="18"/>
      <c r="G196" s="18"/>
      <c r="H196" s="291"/>
      <c r="I196" s="120"/>
      <c r="J196" s="291"/>
      <c r="K196" s="291"/>
      <c r="L196" s="14"/>
      <c r="M196" s="14"/>
      <c r="N196" s="14"/>
      <c r="O196" s="14"/>
      <c r="P196" s="14"/>
      <c r="Q196" s="120" t="s">
        <v>855</v>
      </c>
      <c r="R196" s="28" t="s">
        <v>138</v>
      </c>
      <c r="S196" s="641" t="e">
        <f>S194/S195*O180</f>
        <v>#VALUE!</v>
      </c>
      <c r="T196" s="641"/>
      <c r="U196" s="14" t="s">
        <v>9</v>
      </c>
      <c r="V196" s="197"/>
    </row>
    <row r="197" spans="1:22" ht="18" hidden="1" customHeight="1">
      <c r="A197" s="180"/>
      <c r="B197" s="5"/>
      <c r="C197" s="47" t="s">
        <v>856</v>
      </c>
      <c r="D197" s="14"/>
      <c r="E197" s="14"/>
      <c r="F197" s="18"/>
      <c r="G197" s="18"/>
      <c r="H197" s="291"/>
      <c r="I197" s="120"/>
      <c r="J197" s="291"/>
      <c r="K197" s="291"/>
      <c r="L197" s="14"/>
      <c r="M197" s="14"/>
      <c r="N197" s="14"/>
      <c r="O197" s="14"/>
      <c r="P197" s="14"/>
      <c r="Q197" s="120" t="s">
        <v>700</v>
      </c>
      <c r="R197" s="28" t="s">
        <v>138</v>
      </c>
      <c r="S197" s="641">
        <f>J192/O180*O180</f>
        <v>1.5418674400000001</v>
      </c>
      <c r="T197" s="641"/>
      <c r="U197" s="204" t="s">
        <v>344</v>
      </c>
      <c r="V197" s="197"/>
    </row>
    <row r="198" spans="1:22" ht="18" hidden="1" customHeight="1">
      <c r="A198" s="180"/>
      <c r="B198" s="5"/>
      <c r="C198" s="47" t="s">
        <v>857</v>
      </c>
      <c r="Q198" s="120" t="s">
        <v>858</v>
      </c>
      <c r="R198" s="28" t="s">
        <v>138</v>
      </c>
      <c r="S198" s="650">
        <f>S110</f>
        <v>50000</v>
      </c>
      <c r="T198" s="651"/>
      <c r="U198" s="14" t="s">
        <v>9</v>
      </c>
      <c r="V198" s="197"/>
    </row>
    <row r="199" spans="1:22" ht="18" hidden="1" customHeight="1">
      <c r="A199" s="311"/>
      <c r="B199" s="291"/>
      <c r="C199" s="47" t="s">
        <v>859</v>
      </c>
      <c r="Q199" s="256" t="s">
        <v>860</v>
      </c>
      <c r="R199" s="28" t="s">
        <v>138</v>
      </c>
      <c r="S199" s="637" t="e">
        <f>S198/S195</f>
        <v>#VALUE!</v>
      </c>
      <c r="T199" s="637"/>
      <c r="U199" s="14" t="s">
        <v>9</v>
      </c>
      <c r="V199" s="312"/>
    </row>
    <row r="200" spans="1:22" ht="18" hidden="1" customHeight="1">
      <c r="A200" s="96"/>
      <c r="B200" s="14"/>
      <c r="C200" s="14"/>
      <c r="D200" s="14"/>
      <c r="E200" s="14"/>
      <c r="F200" s="14"/>
      <c r="G200" s="14"/>
      <c r="H200" s="14"/>
      <c r="I200" s="14"/>
      <c r="J200" s="14"/>
      <c r="K200" s="14"/>
      <c r="L200" s="14"/>
      <c r="M200" s="14"/>
      <c r="N200" s="14"/>
      <c r="O200" s="14"/>
      <c r="P200" s="28"/>
      <c r="Q200" s="120"/>
      <c r="R200" s="14"/>
      <c r="S200" s="14"/>
      <c r="T200" s="14"/>
      <c r="U200" s="14"/>
      <c r="V200" s="197"/>
    </row>
    <row r="201" spans="1:22" ht="18" hidden="1" customHeight="1">
      <c r="A201" s="205" t="s">
        <v>766</v>
      </c>
      <c r="B201" s="14"/>
      <c r="C201" s="14"/>
      <c r="D201" s="14"/>
      <c r="E201" s="14"/>
      <c r="F201" s="14"/>
      <c r="G201" s="14"/>
      <c r="H201" s="14"/>
      <c r="K201" s="14"/>
      <c r="T201" s="14"/>
      <c r="U201" s="14"/>
      <c r="V201" s="197"/>
    </row>
    <row r="202" spans="1:22" ht="18" hidden="1" customHeight="1">
      <c r="A202" s="96"/>
      <c r="B202" s="14"/>
      <c r="C202" s="14"/>
      <c r="D202" s="14"/>
      <c r="E202" s="14"/>
      <c r="F202" s="14"/>
      <c r="G202" s="14"/>
      <c r="H202" s="14"/>
      <c r="K202" s="14"/>
      <c r="T202" s="14"/>
      <c r="U202" s="14"/>
      <c r="V202" s="197"/>
    </row>
    <row r="203" spans="1:22" ht="18" hidden="1" customHeight="1">
      <c r="A203" s="205" t="s">
        <v>861</v>
      </c>
      <c r="H203" s="28"/>
      <c r="I203" s="28"/>
      <c r="J203" s="28"/>
      <c r="K203" s="28"/>
      <c r="T203" s="14"/>
      <c r="U203" s="14"/>
      <c r="V203" s="197"/>
    </row>
    <row r="204" spans="1:22" ht="18" hidden="1" customHeight="1">
      <c r="A204" s="205"/>
      <c r="H204" s="28"/>
      <c r="I204" s="28"/>
      <c r="J204" s="28"/>
      <c r="K204" s="28"/>
      <c r="T204" s="14"/>
      <c r="U204" s="14"/>
      <c r="V204" s="197"/>
    </row>
    <row r="205" spans="1:22" ht="18" hidden="1" customHeight="1">
      <c r="A205" s="196"/>
      <c r="B205" s="638" t="s">
        <v>484</v>
      </c>
      <c r="C205" s="638"/>
      <c r="D205" s="28" t="s">
        <v>862</v>
      </c>
      <c r="E205" s="28">
        <v>0.5</v>
      </c>
      <c r="F205" s="28" t="s">
        <v>326</v>
      </c>
      <c r="G205" s="638" t="s">
        <v>855</v>
      </c>
      <c r="H205" s="638"/>
      <c r="I205" s="28" t="s">
        <v>683</v>
      </c>
      <c r="J205" s="638" t="s">
        <v>431</v>
      </c>
      <c r="K205" s="638"/>
      <c r="L205" s="28" t="s">
        <v>358</v>
      </c>
      <c r="M205" s="638" t="s">
        <v>700</v>
      </c>
      <c r="N205" s="638"/>
      <c r="O205" s="14" t="s">
        <v>361</v>
      </c>
      <c r="P205" s="14"/>
      <c r="Q205" s="14"/>
      <c r="R205" s="14"/>
      <c r="T205" s="14"/>
      <c r="U205" s="14"/>
      <c r="V205" s="197"/>
    </row>
    <row r="206" spans="1:22" ht="18" hidden="1" customHeight="1">
      <c r="A206" s="196"/>
      <c r="B206" s="14"/>
      <c r="C206" s="14"/>
      <c r="D206" s="102" t="s">
        <v>138</v>
      </c>
      <c r="E206" s="28">
        <v>0.5</v>
      </c>
      <c r="F206" s="28" t="s">
        <v>326</v>
      </c>
      <c r="G206" s="641" t="e">
        <f>S196</f>
        <v>#VALUE!</v>
      </c>
      <c r="H206" s="638"/>
      <c r="I206" s="28" t="s">
        <v>683</v>
      </c>
      <c r="J206" s="638">
        <f>L182</f>
        <v>0</v>
      </c>
      <c r="K206" s="638"/>
      <c r="L206" s="28" t="s">
        <v>358</v>
      </c>
      <c r="M206" s="641">
        <f>S197</f>
        <v>1.5418674400000001</v>
      </c>
      <c r="N206" s="638"/>
      <c r="O206" s="14" t="s">
        <v>361</v>
      </c>
      <c r="S206" s="14"/>
      <c r="T206" s="14"/>
      <c r="U206" s="14"/>
      <c r="V206" s="197"/>
    </row>
    <row r="207" spans="1:22" ht="18" hidden="1" customHeight="1">
      <c r="A207" s="196"/>
      <c r="B207" s="14"/>
      <c r="C207" s="14"/>
      <c r="D207" s="102" t="s">
        <v>138</v>
      </c>
      <c r="E207" s="641" t="e">
        <f>E206*G206*(J206+M206)</f>
        <v>#VALUE!</v>
      </c>
      <c r="F207" s="641"/>
      <c r="G207" s="223"/>
      <c r="H207" s="230"/>
      <c r="I207" s="14"/>
      <c r="J207" s="14"/>
      <c r="K207" s="14"/>
      <c r="L207" s="14"/>
      <c r="M207" s="14"/>
      <c r="N207" s="14"/>
      <c r="O207" s="14"/>
      <c r="P207" s="14"/>
      <c r="Q207" s="14"/>
      <c r="R207" s="14"/>
      <c r="V207" s="197"/>
    </row>
    <row r="208" spans="1:22" ht="18" hidden="1" customHeight="1">
      <c r="A208" s="196"/>
      <c r="B208" s="14"/>
      <c r="C208" s="14"/>
      <c r="D208" s="28"/>
      <c r="E208" s="230"/>
      <c r="F208" s="230"/>
      <c r="G208" s="223"/>
      <c r="H208" s="230"/>
      <c r="I208" s="14"/>
      <c r="J208" s="14"/>
      <c r="K208" s="14"/>
      <c r="L208" s="14"/>
      <c r="M208" s="14"/>
      <c r="N208" s="14"/>
      <c r="O208" s="14"/>
      <c r="P208" s="14"/>
      <c r="Q208" s="14"/>
      <c r="R208" s="14"/>
      <c r="V208" s="197"/>
    </row>
    <row r="209" spans="1:22" ht="18" hidden="1" customHeight="1">
      <c r="A209" s="205" t="s">
        <v>863</v>
      </c>
      <c r="B209" s="14"/>
      <c r="C209" s="14"/>
      <c r="D209" s="28"/>
      <c r="E209" s="230"/>
      <c r="F209" s="230"/>
      <c r="G209" s="223"/>
      <c r="H209" s="230"/>
      <c r="I209" s="14"/>
      <c r="J209" s="14"/>
      <c r="K209" s="14"/>
      <c r="L209" s="14"/>
      <c r="M209" s="14"/>
      <c r="N209" s="14"/>
      <c r="O209" s="14"/>
      <c r="P209" s="14"/>
      <c r="Q209" s="14"/>
      <c r="R209" s="14"/>
      <c r="V209" s="197"/>
    </row>
    <row r="210" spans="1:22" ht="18" hidden="1" customHeight="1">
      <c r="A210" s="196"/>
      <c r="B210" s="14"/>
      <c r="C210" s="14"/>
      <c r="D210" s="28"/>
      <c r="E210" s="230"/>
      <c r="F210" s="230"/>
      <c r="G210" s="223"/>
      <c r="H210" s="230"/>
      <c r="I210" s="14"/>
      <c r="J210" s="14"/>
      <c r="K210" s="14"/>
      <c r="L210" s="14"/>
      <c r="M210" s="14"/>
      <c r="N210" s="14"/>
      <c r="O210" s="14"/>
      <c r="P210" s="14"/>
      <c r="Q210" s="14"/>
      <c r="R210" s="14"/>
      <c r="V210" s="197"/>
    </row>
    <row r="211" spans="1:22" ht="18" hidden="1" customHeight="1">
      <c r="A211" s="196"/>
      <c r="B211" s="638" t="s">
        <v>484</v>
      </c>
      <c r="C211" s="638"/>
      <c r="D211" s="28" t="s">
        <v>862</v>
      </c>
      <c r="E211" s="638" t="s">
        <v>860</v>
      </c>
      <c r="F211" s="638"/>
      <c r="G211" s="28" t="s">
        <v>683</v>
      </c>
      <c r="H211" s="638" t="s">
        <v>431</v>
      </c>
      <c r="I211" s="638"/>
      <c r="J211" s="28" t="s">
        <v>358</v>
      </c>
      <c r="K211" s="638" t="s">
        <v>700</v>
      </c>
      <c r="L211" s="638"/>
      <c r="M211" s="14" t="s">
        <v>361</v>
      </c>
      <c r="P211" s="14"/>
      <c r="Q211" s="14"/>
      <c r="R211" s="14"/>
      <c r="V211" s="197"/>
    </row>
    <row r="212" spans="1:22" ht="18" hidden="1" customHeight="1">
      <c r="A212" s="196"/>
      <c r="B212" s="14"/>
      <c r="C212" s="14"/>
      <c r="D212" s="102" t="s">
        <v>138</v>
      </c>
      <c r="E212" s="641" t="e">
        <f>S199</f>
        <v>#VALUE!</v>
      </c>
      <c r="F212" s="638"/>
      <c r="G212" s="28" t="s">
        <v>683</v>
      </c>
      <c r="H212" s="638">
        <f>L182</f>
        <v>0</v>
      </c>
      <c r="I212" s="638"/>
      <c r="J212" s="28" t="s">
        <v>358</v>
      </c>
      <c r="K212" s="641">
        <f>S197</f>
        <v>1.5418674400000001</v>
      </c>
      <c r="L212" s="638"/>
      <c r="M212" s="14" t="s">
        <v>361</v>
      </c>
      <c r="N212" s="14"/>
      <c r="O212" s="14"/>
      <c r="P212" s="14"/>
      <c r="Q212" s="14"/>
      <c r="R212" s="14"/>
      <c r="V212" s="197"/>
    </row>
    <row r="213" spans="1:22" ht="18" hidden="1" customHeight="1">
      <c r="A213" s="196"/>
      <c r="B213" s="14"/>
      <c r="C213" s="14"/>
      <c r="D213" s="102" t="s">
        <v>138</v>
      </c>
      <c r="E213" s="641" t="e">
        <f>E212*(H212+K212)</f>
        <v>#VALUE!</v>
      </c>
      <c r="F213" s="641"/>
      <c r="G213" s="223"/>
      <c r="H213" s="230"/>
      <c r="I213" s="14"/>
      <c r="J213" s="14"/>
      <c r="K213" s="14"/>
      <c r="L213" s="14"/>
      <c r="M213" s="14"/>
      <c r="N213" s="14"/>
      <c r="O213" s="14"/>
      <c r="P213" s="14"/>
      <c r="Q213" s="14"/>
      <c r="R213" s="14"/>
      <c r="V213" s="197"/>
    </row>
    <row r="214" spans="1:22" ht="18" hidden="1" customHeight="1">
      <c r="A214" s="196"/>
      <c r="B214" s="14"/>
      <c r="C214" s="14"/>
      <c r="D214" s="102"/>
      <c r="E214" s="230"/>
      <c r="F214" s="230"/>
      <c r="G214" s="223"/>
      <c r="H214" s="230"/>
      <c r="I214" s="14"/>
      <c r="J214" s="14"/>
      <c r="K214" s="14"/>
      <c r="L214" s="14"/>
      <c r="M214" s="14"/>
      <c r="N214" s="14"/>
      <c r="O214" s="14"/>
      <c r="P214" s="14"/>
      <c r="Q214" s="14"/>
      <c r="R214" s="14"/>
      <c r="V214" s="197"/>
    </row>
    <row r="215" spans="1:22" ht="18" hidden="1" customHeight="1">
      <c r="A215" s="196"/>
      <c r="B215" s="14"/>
      <c r="C215" s="14"/>
      <c r="D215" s="102"/>
      <c r="E215" s="230"/>
      <c r="F215" s="230"/>
      <c r="G215" s="223"/>
      <c r="H215" s="230"/>
      <c r="I215" s="14"/>
      <c r="J215" s="14"/>
      <c r="K215" s="14"/>
      <c r="L215" s="14"/>
      <c r="M215" s="14"/>
      <c r="N215" s="14"/>
      <c r="O215" s="14"/>
      <c r="P215" s="14"/>
      <c r="Q215" s="14"/>
      <c r="R215" s="14"/>
      <c r="V215" s="197"/>
    </row>
    <row r="216" spans="1:22" ht="18" hidden="1" customHeight="1">
      <c r="A216" s="196"/>
      <c r="B216" s="14"/>
      <c r="C216" s="14"/>
      <c r="D216" s="102"/>
      <c r="E216" s="230"/>
      <c r="F216" s="230"/>
      <c r="G216" s="223"/>
      <c r="H216" s="230"/>
      <c r="I216" s="14"/>
      <c r="J216" s="14"/>
      <c r="K216" s="14"/>
      <c r="L216" s="14"/>
      <c r="M216" s="14"/>
      <c r="N216" s="14"/>
      <c r="O216" s="14"/>
      <c r="P216" s="14"/>
      <c r="Q216" s="14"/>
      <c r="R216" s="14"/>
      <c r="V216" s="197"/>
    </row>
    <row r="217" spans="1:22" ht="18" hidden="1" customHeight="1">
      <c r="A217" s="196"/>
      <c r="G217" s="223"/>
      <c r="H217" s="230"/>
      <c r="J217" s="28"/>
      <c r="K217" s="28"/>
      <c r="L217" s="28"/>
      <c r="M217" s="28"/>
      <c r="N217" s="28"/>
      <c r="O217" s="28"/>
      <c r="P217" s="28"/>
      <c r="Q217" s="28"/>
      <c r="R217" s="28"/>
      <c r="V217" s="197"/>
    </row>
    <row r="218" spans="1:22" ht="18" hidden="1" customHeight="1">
      <c r="A218" s="196"/>
      <c r="V218" s="197"/>
    </row>
    <row r="219" spans="1:22" ht="18" hidden="1" customHeight="1">
      <c r="A219" s="206"/>
      <c r="B219" s="207"/>
      <c r="C219" s="207"/>
      <c r="D219" s="207"/>
      <c r="E219" s="207"/>
      <c r="F219" s="207"/>
      <c r="G219" s="207"/>
      <c r="H219" s="207"/>
      <c r="I219" s="207"/>
      <c r="J219" s="207"/>
      <c r="K219" s="207"/>
      <c r="L219" s="207"/>
      <c r="M219" s="207"/>
      <c r="N219" s="207"/>
      <c r="O219" s="207"/>
      <c r="P219" s="207"/>
      <c r="Q219" s="236"/>
      <c r="R219" s="194"/>
      <c r="S219" s="237"/>
      <c r="T219" s="207"/>
      <c r="U219" s="207"/>
      <c r="V219" s="140" t="s">
        <v>563</v>
      </c>
    </row>
    <row r="220" spans="1:22" ht="18" hidden="1" customHeight="1">
      <c r="A220" s="141"/>
      <c r="B220" s="285"/>
      <c r="C220" s="285"/>
      <c r="D220" s="285"/>
      <c r="E220" s="285"/>
      <c r="F220" s="285"/>
      <c r="G220" s="285"/>
      <c r="H220" s="285"/>
      <c r="I220" s="285"/>
      <c r="J220" s="285"/>
      <c r="K220" s="285"/>
      <c r="L220" s="285"/>
      <c r="M220" s="285"/>
      <c r="N220" s="285"/>
      <c r="O220" s="285"/>
      <c r="P220" s="285"/>
      <c r="Q220" s="286"/>
      <c r="R220" s="145"/>
      <c r="S220" s="287"/>
      <c r="T220" s="285"/>
      <c r="U220" s="285"/>
      <c r="V220" s="288"/>
    </row>
    <row r="221" spans="1:22" ht="18" hidden="1" customHeight="1">
      <c r="A221" s="205" t="s">
        <v>864</v>
      </c>
      <c r="B221" s="209"/>
      <c r="C221" s="209"/>
      <c r="D221" s="209"/>
      <c r="E221" s="14"/>
      <c r="F221" s="14"/>
      <c r="G221" s="14"/>
      <c r="H221" s="14"/>
      <c r="I221" s="14"/>
      <c r="J221" s="14"/>
      <c r="K221" s="14"/>
      <c r="L221" s="14"/>
      <c r="M221" s="14"/>
      <c r="N221" s="14"/>
      <c r="O221" s="14"/>
      <c r="P221" s="27"/>
      <c r="Q221" s="28"/>
      <c r="T221" s="14"/>
      <c r="U221" s="14"/>
      <c r="V221" s="197"/>
    </row>
    <row r="222" spans="1:22" ht="18" hidden="1" customHeight="1">
      <c r="A222" s="205"/>
      <c r="B222" s="209"/>
      <c r="C222" s="209"/>
      <c r="D222" s="209"/>
      <c r="E222" s="14"/>
      <c r="F222" s="14"/>
      <c r="G222" s="14"/>
      <c r="H222" s="14"/>
      <c r="I222" s="14"/>
      <c r="J222" s="14"/>
      <c r="K222" s="14"/>
      <c r="L222" s="14"/>
      <c r="M222" s="14"/>
      <c r="N222" s="14"/>
      <c r="O222" s="14"/>
      <c r="P222" s="27"/>
      <c r="Q222" s="28"/>
      <c r="T222" s="14"/>
      <c r="U222" s="14"/>
      <c r="V222" s="197"/>
    </row>
    <row r="223" spans="1:22" ht="18" hidden="1" customHeight="1">
      <c r="A223" s="96"/>
      <c r="B223" s="209" t="s">
        <v>861</v>
      </c>
      <c r="C223" s="209"/>
      <c r="D223" s="14"/>
      <c r="E223" s="14"/>
      <c r="F223" s="14"/>
      <c r="G223" s="14"/>
      <c r="H223" s="14"/>
      <c r="I223" s="14"/>
      <c r="J223" s="14"/>
      <c r="K223" s="14"/>
      <c r="L223" s="14"/>
      <c r="M223" s="14"/>
      <c r="N223" s="14"/>
      <c r="O223" s="14"/>
      <c r="P223" s="14"/>
      <c r="Q223" s="14"/>
      <c r="R223" s="14"/>
      <c r="S223" s="14"/>
      <c r="T223" s="14"/>
      <c r="U223" s="14"/>
      <c r="V223" s="197"/>
    </row>
    <row r="224" spans="1:22" ht="18" hidden="1" customHeight="1">
      <c r="A224" s="96"/>
      <c r="B224" s="14"/>
      <c r="C224" s="14"/>
      <c r="D224" s="14"/>
      <c r="E224" s="14"/>
      <c r="F224" s="256" t="s">
        <v>486</v>
      </c>
      <c r="G224" s="28" t="e">
        <f>IF(E225&gt;H225, "&gt;","&lt;")</f>
        <v>#VALUE!</v>
      </c>
      <c r="H224" s="14" t="s">
        <v>488</v>
      </c>
      <c r="I224" s="14"/>
      <c r="J224" s="14"/>
      <c r="K224" s="14"/>
      <c r="L224" s="14" t="s">
        <v>865</v>
      </c>
      <c r="M224" s="14"/>
      <c r="N224" s="14"/>
      <c r="O224" s="14"/>
      <c r="P224" s="14"/>
      <c r="Q224" s="14"/>
      <c r="R224" s="14"/>
      <c r="S224" s="14"/>
      <c r="T224" s="14"/>
      <c r="U224" s="14"/>
      <c r="V224" s="197"/>
    </row>
    <row r="225" spans="1:22" ht="18" hidden="1" customHeight="1">
      <c r="A225" s="96"/>
      <c r="B225" s="14"/>
      <c r="C225" s="14"/>
      <c r="D225" s="14"/>
      <c r="E225" s="959">
        <f>L183</f>
        <v>0</v>
      </c>
      <c r="F225" s="959"/>
      <c r="G225" s="28" t="e">
        <f>G224</f>
        <v>#VALUE!</v>
      </c>
      <c r="H225" s="641" t="e">
        <f>E207</f>
        <v>#VALUE!</v>
      </c>
      <c r="I225" s="641"/>
      <c r="J225" s="14"/>
      <c r="K225" s="14"/>
      <c r="L225" s="14"/>
      <c r="M225" s="14"/>
      <c r="N225" s="14"/>
      <c r="O225" s="14"/>
      <c r="P225" s="14"/>
      <c r="Q225" s="14"/>
      <c r="R225" s="14"/>
      <c r="S225" s="14"/>
      <c r="T225" s="14"/>
      <c r="U225" s="14"/>
      <c r="V225" s="197"/>
    </row>
    <row r="226" spans="1:22" ht="18" hidden="1" customHeight="1">
      <c r="A226" s="196"/>
      <c r="D226" s="223"/>
      <c r="E226" s="230"/>
      <c r="F226" s="211" t="s">
        <v>866</v>
      </c>
      <c r="G226" s="223"/>
      <c r="H226" s="293" t="s">
        <v>867</v>
      </c>
      <c r="J226" s="28" t="s">
        <v>868</v>
      </c>
      <c r="K226" s="18" t="e">
        <f>IF(G225="&gt;", "Satisfied", "Not Satisfied")</f>
        <v>#VALUE!</v>
      </c>
      <c r="P226" s="14"/>
      <c r="Q226" s="14"/>
      <c r="R226" s="14"/>
      <c r="S226" s="14"/>
      <c r="T226" s="14"/>
      <c r="U226" s="14"/>
      <c r="V226" s="197"/>
    </row>
    <row r="227" spans="1:22" ht="18" hidden="1" customHeight="1">
      <c r="A227" s="96"/>
      <c r="B227" s="209" t="s">
        <v>863</v>
      </c>
      <c r="C227" s="209"/>
      <c r="D227" s="14"/>
      <c r="E227" s="14"/>
      <c r="F227" s="14"/>
      <c r="G227" s="14"/>
      <c r="H227" s="14"/>
      <c r="I227" s="14"/>
      <c r="J227" s="14"/>
      <c r="K227" s="14"/>
      <c r="L227" s="14"/>
      <c r="M227" s="14"/>
      <c r="N227" s="14"/>
      <c r="O227" s="14"/>
      <c r="P227" s="120"/>
      <c r="Q227" s="308"/>
      <c r="V227" s="197"/>
    </row>
    <row r="228" spans="1:22" ht="18" hidden="1" customHeight="1">
      <c r="A228" s="96"/>
      <c r="B228" s="14"/>
      <c r="C228" s="14"/>
      <c r="D228" s="14"/>
      <c r="E228" s="14"/>
      <c r="F228" s="256" t="s">
        <v>486</v>
      </c>
      <c r="G228" s="28" t="e">
        <f>IF(E229&gt;H229, "&gt;","&lt;")</f>
        <v>#VALUE!</v>
      </c>
      <c r="H228" s="14" t="s">
        <v>488</v>
      </c>
      <c r="I228" s="14"/>
      <c r="J228" s="14"/>
      <c r="K228" s="14"/>
      <c r="L228" s="14" t="s">
        <v>869</v>
      </c>
      <c r="M228" s="14"/>
      <c r="N228" s="14"/>
      <c r="O228" s="14"/>
      <c r="P228" s="313"/>
      <c r="Q228" s="474"/>
      <c r="V228" s="197"/>
    </row>
    <row r="229" spans="1:22" ht="18" hidden="1" customHeight="1">
      <c r="A229" s="96"/>
      <c r="B229" s="14"/>
      <c r="C229" s="14"/>
      <c r="D229" s="14"/>
      <c r="E229" s="959">
        <f>L183</f>
        <v>0</v>
      </c>
      <c r="F229" s="959"/>
      <c r="G229" s="28" t="e">
        <f>G228</f>
        <v>#VALUE!</v>
      </c>
      <c r="H229" s="641" t="e">
        <f>E213</f>
        <v>#VALUE!</v>
      </c>
      <c r="I229" s="641"/>
      <c r="J229" s="14"/>
      <c r="K229" s="14"/>
      <c r="L229" s="14"/>
      <c r="M229" s="14"/>
      <c r="N229" s="14"/>
      <c r="O229" s="14"/>
      <c r="V229" s="197"/>
    </row>
    <row r="230" spans="1:22" ht="18" hidden="1" customHeight="1">
      <c r="A230" s="196"/>
      <c r="D230" s="223"/>
      <c r="E230" s="14"/>
      <c r="F230" s="211" t="s">
        <v>866</v>
      </c>
      <c r="G230" s="223"/>
      <c r="H230" s="293" t="s">
        <v>863</v>
      </c>
      <c r="J230" s="28" t="s">
        <v>868</v>
      </c>
      <c r="K230" s="18" t="e">
        <f>IF(G229="&gt;", "Satisfied", "Not Satisfied")</f>
        <v>#VALUE!</v>
      </c>
      <c r="P230" s="244"/>
      <c r="Q230" s="244"/>
      <c r="R230" s="244"/>
      <c r="S230" s="244"/>
      <c r="T230" s="244"/>
      <c r="U230" s="244"/>
      <c r="V230" s="245"/>
    </row>
    <row r="231" spans="1:22" ht="18" hidden="1" customHeight="1">
      <c r="A231" s="196"/>
      <c r="H231" s="28"/>
      <c r="I231" s="28"/>
      <c r="J231" s="28"/>
      <c r="K231" s="28"/>
      <c r="L231" s="28"/>
      <c r="M231" s="28"/>
      <c r="N231" s="28"/>
      <c r="O231" s="28"/>
      <c r="P231" s="244"/>
      <c r="Q231" s="244"/>
      <c r="R231" s="244"/>
      <c r="S231" s="244"/>
      <c r="T231" s="244"/>
      <c r="U231" s="244"/>
      <c r="V231" s="245"/>
    </row>
    <row r="232" spans="1:22" ht="18" hidden="1" customHeight="1">
      <c r="A232" s="96"/>
      <c r="B232" s="14"/>
      <c r="C232" s="14"/>
      <c r="D232" s="14"/>
      <c r="E232" s="14"/>
      <c r="F232" s="256" t="s">
        <v>489</v>
      </c>
      <c r="G232" s="14"/>
      <c r="H232" s="18" t="e">
        <f>IF(AND(E225&gt;H225,E229&gt;H229),"Suitably Dimentioned","Under Dimentioned")</f>
        <v>#VALUE!</v>
      </c>
      <c r="I232" s="18"/>
      <c r="J232" s="18"/>
      <c r="K232" s="18"/>
      <c r="L232" s="18"/>
      <c r="M232" s="18"/>
      <c r="N232" s="14"/>
      <c r="O232" s="14"/>
      <c r="V232" s="197"/>
    </row>
    <row r="233" spans="1:22" ht="18" hidden="1" customHeight="1">
      <c r="A233" s="196"/>
      <c r="B233" s="27"/>
      <c r="C233" s="27"/>
      <c r="D233" s="27"/>
      <c r="E233" s="28"/>
      <c r="F233" s="27"/>
      <c r="G233" s="28"/>
      <c r="H233" s="27"/>
      <c r="I233" s="28"/>
      <c r="J233" s="27"/>
      <c r="K233" s="27"/>
      <c r="L233" s="27"/>
      <c r="M233" s="27"/>
      <c r="V233" s="197"/>
    </row>
    <row r="234" spans="1:22" ht="18" hidden="1" customHeight="1">
      <c r="A234" s="196"/>
      <c r="C234" s="27"/>
      <c r="D234" s="257"/>
      <c r="E234" s="233"/>
      <c r="F234" s="257"/>
      <c r="G234" s="234"/>
      <c r="H234" s="257"/>
      <c r="I234" s="257"/>
      <c r="J234" s="257"/>
      <c r="K234" s="257"/>
      <c r="L234" s="257"/>
      <c r="M234" s="27"/>
      <c r="V234" s="197"/>
    </row>
    <row r="235" spans="1:22" ht="18" hidden="1" customHeight="1">
      <c r="A235" s="196"/>
      <c r="C235" s="27"/>
      <c r="D235" s="216"/>
      <c r="E235" s="216"/>
      <c r="G235" s="18"/>
      <c r="V235" s="197"/>
    </row>
    <row r="236" spans="1:22" ht="18" hidden="1" customHeight="1">
      <c r="A236" s="96"/>
      <c r="B236" s="14"/>
      <c r="C236" s="14"/>
      <c r="D236" s="14"/>
      <c r="E236" s="14"/>
      <c r="F236" s="14"/>
      <c r="G236" s="14"/>
      <c r="H236" s="14"/>
      <c r="I236" s="14"/>
      <c r="J236" s="14"/>
      <c r="K236" s="14"/>
      <c r="L236" s="14"/>
      <c r="M236" s="14"/>
      <c r="N236" s="14"/>
      <c r="O236" s="14"/>
      <c r="P236" s="14"/>
      <c r="Q236" s="120"/>
      <c r="R236" s="28"/>
      <c r="S236" s="558"/>
      <c r="T236" s="14"/>
      <c r="U236" s="14"/>
      <c r="V236" s="394"/>
    </row>
    <row r="237" spans="1:22" ht="18" hidden="1" customHeight="1">
      <c r="A237" s="96"/>
      <c r="B237" s="14"/>
      <c r="C237" s="14"/>
      <c r="D237" s="14"/>
      <c r="E237" s="14"/>
      <c r="F237" s="14"/>
      <c r="G237" s="14"/>
      <c r="H237" s="14"/>
      <c r="I237" s="14"/>
      <c r="J237" s="14"/>
      <c r="K237" s="14"/>
      <c r="L237" s="14"/>
      <c r="M237" s="14"/>
      <c r="N237" s="14"/>
      <c r="O237" s="14"/>
      <c r="P237" s="14"/>
      <c r="Q237" s="120"/>
      <c r="R237" s="28"/>
      <c r="S237" s="558"/>
      <c r="T237" s="14"/>
      <c r="U237" s="14"/>
      <c r="V237" s="394"/>
    </row>
    <row r="238" spans="1:22" ht="18" hidden="1" customHeight="1">
      <c r="A238" s="96"/>
      <c r="B238" s="14"/>
      <c r="C238" s="14"/>
      <c r="D238" s="14"/>
      <c r="E238" s="14"/>
      <c r="F238" s="14"/>
      <c r="G238" s="14"/>
      <c r="H238" s="14"/>
      <c r="I238" s="14"/>
      <c r="J238" s="14"/>
      <c r="K238" s="14"/>
      <c r="L238" s="14"/>
      <c r="M238" s="14"/>
      <c r="N238" s="14"/>
      <c r="O238" s="14"/>
      <c r="P238" s="14"/>
      <c r="Q238" s="120"/>
      <c r="R238" s="28"/>
      <c r="S238" s="558"/>
      <c r="T238" s="14"/>
      <c r="U238" s="14"/>
      <c r="V238" s="394"/>
    </row>
    <row r="239" spans="1:22" ht="18" hidden="1" customHeight="1">
      <c r="A239" s="96"/>
      <c r="B239" s="14"/>
      <c r="C239" s="14"/>
      <c r="D239" s="14"/>
      <c r="E239" s="14"/>
      <c r="F239" s="14"/>
      <c r="G239" s="14"/>
      <c r="H239" s="14"/>
      <c r="I239" s="14"/>
      <c r="J239" s="14"/>
      <c r="K239" s="14"/>
      <c r="L239" s="14"/>
      <c r="M239" s="14"/>
      <c r="N239" s="14"/>
      <c r="O239" s="14"/>
      <c r="P239" s="14"/>
      <c r="Q239" s="120"/>
      <c r="R239" s="28"/>
      <c r="S239" s="558"/>
      <c r="T239" s="14"/>
      <c r="U239" s="14"/>
      <c r="V239" s="394"/>
    </row>
    <row r="240" spans="1:22" ht="18" hidden="1" customHeight="1">
      <c r="A240" s="96"/>
      <c r="B240" s="14"/>
      <c r="C240" s="14"/>
      <c r="D240" s="14"/>
      <c r="E240" s="14"/>
      <c r="F240" s="14"/>
      <c r="G240" s="14"/>
      <c r="H240" s="14"/>
      <c r="I240" s="14"/>
      <c r="J240" s="14"/>
      <c r="K240" s="14"/>
      <c r="L240" s="14"/>
      <c r="M240" s="14"/>
      <c r="N240" s="14"/>
      <c r="O240" s="14"/>
      <c r="P240" s="14"/>
      <c r="Q240" s="120"/>
      <c r="R240" s="28"/>
      <c r="S240" s="558"/>
      <c r="T240" s="14"/>
      <c r="U240" s="14"/>
      <c r="V240" s="394"/>
    </row>
    <row r="241" spans="1:22" ht="18" hidden="1" customHeight="1">
      <c r="A241" s="96"/>
      <c r="B241" s="14"/>
      <c r="C241" s="14"/>
      <c r="D241" s="14"/>
      <c r="E241" s="14"/>
      <c r="F241" s="14"/>
      <c r="G241" s="14"/>
      <c r="H241" s="14"/>
      <c r="I241" s="14"/>
      <c r="J241" s="14"/>
      <c r="K241" s="14"/>
      <c r="L241" s="14"/>
      <c r="M241" s="14"/>
      <c r="N241" s="14"/>
      <c r="O241" s="14"/>
      <c r="P241" s="14"/>
      <c r="Q241" s="120"/>
      <c r="R241" s="28"/>
      <c r="S241" s="558"/>
      <c r="T241" s="14"/>
      <c r="U241" s="14"/>
      <c r="V241" s="394"/>
    </row>
    <row r="242" spans="1:22" ht="18" hidden="1" customHeight="1">
      <c r="A242" s="96"/>
      <c r="B242" s="14"/>
      <c r="C242" s="14"/>
      <c r="D242" s="14"/>
      <c r="E242" s="14"/>
      <c r="F242" s="14"/>
      <c r="G242" s="14"/>
      <c r="H242" s="14"/>
      <c r="I242" s="14"/>
      <c r="J242" s="14"/>
      <c r="K242" s="14"/>
      <c r="L242" s="14"/>
      <c r="M242" s="14"/>
      <c r="N242" s="14"/>
      <c r="O242" s="14"/>
      <c r="P242" s="14"/>
      <c r="Q242" s="120"/>
      <c r="R242" s="28"/>
      <c r="S242" s="558"/>
      <c r="T242" s="14"/>
      <c r="U242" s="14"/>
      <c r="V242" s="394"/>
    </row>
    <row r="243" spans="1:22" ht="18" hidden="1" customHeight="1">
      <c r="A243" s="96"/>
      <c r="B243" s="14"/>
      <c r="C243" s="14"/>
      <c r="D243" s="14"/>
      <c r="E243" s="14"/>
      <c r="F243" s="14"/>
      <c r="G243" s="14"/>
      <c r="H243" s="14"/>
      <c r="I243" s="14"/>
      <c r="J243" s="14"/>
      <c r="K243" s="14"/>
      <c r="L243" s="14"/>
      <c r="M243" s="14"/>
      <c r="N243" s="14"/>
      <c r="O243" s="14"/>
      <c r="P243" s="14"/>
      <c r="Q243" s="120"/>
      <c r="R243" s="28"/>
      <c r="S243" s="558"/>
      <c r="T243" s="14"/>
      <c r="U243" s="14"/>
      <c r="V243" s="394"/>
    </row>
    <row r="244" spans="1:22" ht="18" hidden="1" customHeight="1">
      <c r="A244" s="96"/>
      <c r="B244" s="14"/>
      <c r="C244" s="14"/>
      <c r="D244" s="14"/>
      <c r="E244" s="14"/>
      <c r="F244" s="14"/>
      <c r="G244" s="14"/>
      <c r="H244" s="14"/>
      <c r="I244" s="14"/>
      <c r="J244" s="14"/>
      <c r="K244" s="14"/>
      <c r="L244" s="14"/>
      <c r="M244" s="14"/>
      <c r="N244" s="14"/>
      <c r="O244" s="14"/>
      <c r="P244" s="14"/>
      <c r="Q244" s="120"/>
      <c r="R244" s="28"/>
      <c r="S244" s="558"/>
      <c r="T244" s="14"/>
      <c r="U244" s="14"/>
      <c r="V244" s="394"/>
    </row>
    <row r="245" spans="1:22" ht="18" hidden="1" customHeight="1">
      <c r="A245" s="96"/>
      <c r="B245" s="14"/>
      <c r="C245" s="14"/>
      <c r="D245" s="14"/>
      <c r="E245" s="14"/>
      <c r="F245" s="14"/>
      <c r="G245" s="14"/>
      <c r="H245" s="14"/>
      <c r="I245" s="14"/>
      <c r="J245" s="14"/>
      <c r="K245" s="14"/>
      <c r="L245" s="14"/>
      <c r="M245" s="14"/>
      <c r="N245" s="14"/>
      <c r="O245" s="14"/>
      <c r="P245" s="14"/>
      <c r="Q245" s="120"/>
      <c r="R245" s="28"/>
      <c r="S245" s="558"/>
      <c r="T245" s="14"/>
      <c r="U245" s="14"/>
      <c r="V245" s="394"/>
    </row>
    <row r="246" spans="1:22" ht="18" hidden="1" customHeight="1">
      <c r="A246" s="96"/>
      <c r="B246" s="14"/>
      <c r="C246" s="14"/>
      <c r="D246" s="14"/>
      <c r="E246" s="14"/>
      <c r="F246" s="14"/>
      <c r="G246" s="14"/>
      <c r="H246" s="14"/>
      <c r="I246" s="14"/>
      <c r="J246" s="14"/>
      <c r="K246" s="14"/>
      <c r="L246" s="14"/>
      <c r="M246" s="14"/>
      <c r="N246" s="14"/>
      <c r="O246" s="14"/>
      <c r="P246" s="14"/>
      <c r="Q246" s="120"/>
      <c r="R246" s="28"/>
      <c r="S246" s="558"/>
      <c r="T246" s="14"/>
      <c r="U246" s="14"/>
      <c r="V246" s="394"/>
    </row>
    <row r="247" spans="1:22" ht="18" hidden="1" customHeight="1">
      <c r="A247" s="96"/>
      <c r="B247" s="14"/>
      <c r="C247" s="14"/>
      <c r="D247" s="14"/>
      <c r="E247" s="14"/>
      <c r="F247" s="14"/>
      <c r="G247" s="14"/>
      <c r="H247" s="14"/>
      <c r="I247" s="14"/>
      <c r="J247" s="14"/>
      <c r="K247" s="14"/>
      <c r="L247" s="14"/>
      <c r="M247" s="14"/>
      <c r="N247" s="14"/>
      <c r="O247" s="14"/>
      <c r="P247" s="14"/>
      <c r="Q247" s="120"/>
      <c r="R247" s="28"/>
      <c r="S247" s="558"/>
      <c r="T247" s="14"/>
      <c r="U247" s="14"/>
      <c r="V247" s="394"/>
    </row>
    <row r="248" spans="1:22" ht="18" hidden="1" customHeight="1">
      <c r="A248" s="96"/>
      <c r="B248" s="14"/>
      <c r="C248" s="14"/>
      <c r="D248" s="14"/>
      <c r="E248" s="14"/>
      <c r="F248" s="14"/>
      <c r="G248" s="14"/>
      <c r="H248" s="14"/>
      <c r="I248" s="14"/>
      <c r="J248" s="14"/>
      <c r="K248" s="14"/>
      <c r="L248" s="14"/>
      <c r="M248" s="14"/>
      <c r="N248" s="14"/>
      <c r="O248" s="14"/>
      <c r="P248" s="14"/>
      <c r="Q248" s="120"/>
      <c r="R248" s="28"/>
      <c r="S248" s="558"/>
      <c r="T248" s="14"/>
      <c r="U248" s="14"/>
      <c r="V248" s="394"/>
    </row>
    <row r="249" spans="1:22" ht="18" hidden="1" customHeight="1">
      <c r="A249" s="96"/>
      <c r="B249" s="14"/>
      <c r="C249" s="14"/>
      <c r="D249" s="14"/>
      <c r="E249" s="14"/>
      <c r="F249" s="14"/>
      <c r="G249" s="14"/>
      <c r="H249" s="14"/>
      <c r="I249" s="14"/>
      <c r="J249" s="14"/>
      <c r="K249" s="14"/>
      <c r="L249" s="14"/>
      <c r="M249" s="14"/>
      <c r="N249" s="14"/>
      <c r="O249" s="14"/>
      <c r="P249" s="14"/>
      <c r="Q249" s="120"/>
      <c r="R249" s="28"/>
      <c r="S249" s="558"/>
      <c r="T249" s="14"/>
      <c r="U249" s="14"/>
      <c r="V249" s="394"/>
    </row>
    <row r="250" spans="1:22" ht="18" hidden="1" customHeight="1">
      <c r="A250" s="96"/>
      <c r="B250" s="14"/>
      <c r="C250" s="14"/>
      <c r="D250" s="14"/>
      <c r="E250" s="14"/>
      <c r="F250" s="14"/>
      <c r="G250" s="14"/>
      <c r="H250" s="14"/>
      <c r="I250" s="14"/>
      <c r="J250" s="14"/>
      <c r="K250" s="14"/>
      <c r="L250" s="14"/>
      <c r="M250" s="14"/>
      <c r="N250" s="14"/>
      <c r="O250" s="14"/>
      <c r="P250" s="14"/>
      <c r="Q250" s="120"/>
      <c r="R250" s="28"/>
      <c r="S250" s="558"/>
      <c r="T250" s="14"/>
      <c r="U250" s="14"/>
      <c r="V250" s="394"/>
    </row>
    <row r="251" spans="1:22" ht="18" hidden="1" customHeight="1">
      <c r="A251" s="96"/>
      <c r="B251" s="14"/>
      <c r="C251" s="14"/>
      <c r="D251" s="14"/>
      <c r="E251" s="14"/>
      <c r="F251" s="14"/>
      <c r="G251" s="14"/>
      <c r="H251" s="14"/>
      <c r="I251" s="14"/>
      <c r="J251" s="14"/>
      <c r="K251" s="14"/>
      <c r="L251" s="14"/>
      <c r="M251" s="14"/>
      <c r="N251" s="14"/>
      <c r="O251" s="14"/>
      <c r="P251" s="14"/>
      <c r="Q251" s="120"/>
      <c r="R251" s="28"/>
      <c r="S251" s="558"/>
      <c r="T251" s="14"/>
      <c r="U251" s="14"/>
      <c r="V251" s="394"/>
    </row>
    <row r="252" spans="1:22" ht="18" hidden="1" customHeight="1">
      <c r="A252" s="96"/>
      <c r="B252" s="14"/>
      <c r="C252" s="14"/>
      <c r="D252" s="14"/>
      <c r="E252" s="14"/>
      <c r="F252" s="14"/>
      <c r="G252" s="14"/>
      <c r="H252" s="14"/>
      <c r="I252" s="14"/>
      <c r="J252" s="14"/>
      <c r="K252" s="14"/>
      <c r="L252" s="14"/>
      <c r="M252" s="14"/>
      <c r="N252" s="14"/>
      <c r="O252" s="14"/>
      <c r="P252" s="14"/>
      <c r="Q252" s="120"/>
      <c r="R252" s="28"/>
      <c r="S252" s="558"/>
      <c r="T252" s="14"/>
      <c r="U252" s="14"/>
      <c r="V252" s="394"/>
    </row>
    <row r="253" spans="1:22" ht="18" hidden="1" customHeight="1">
      <c r="A253" s="96"/>
      <c r="B253" s="14"/>
      <c r="C253" s="14"/>
      <c r="D253" s="14"/>
      <c r="E253" s="14"/>
      <c r="F253" s="14"/>
      <c r="G253" s="14"/>
      <c r="H253" s="14"/>
      <c r="I253" s="14"/>
      <c r="J253" s="14"/>
      <c r="K253" s="14"/>
      <c r="L253" s="14"/>
      <c r="M253" s="14"/>
      <c r="N253" s="14"/>
      <c r="O253" s="14"/>
      <c r="P253" s="14"/>
      <c r="Q253" s="120"/>
      <c r="R253" s="28"/>
      <c r="S253" s="558"/>
      <c r="T253" s="14"/>
      <c r="U253" s="14"/>
      <c r="V253" s="394"/>
    </row>
    <row r="254" spans="1:22" ht="18" hidden="1" customHeight="1">
      <c r="A254" s="96"/>
      <c r="B254" s="14"/>
      <c r="C254" s="14"/>
      <c r="D254" s="14"/>
      <c r="E254" s="14"/>
      <c r="F254" s="14"/>
      <c r="G254" s="14"/>
      <c r="H254" s="14"/>
      <c r="I254" s="14"/>
      <c r="J254" s="14"/>
      <c r="K254" s="14"/>
      <c r="L254" s="14"/>
      <c r="M254" s="14"/>
      <c r="N254" s="14"/>
      <c r="O254" s="14"/>
      <c r="P254" s="14"/>
      <c r="Q254" s="120"/>
      <c r="R254" s="28"/>
      <c r="S254" s="558"/>
      <c r="T254" s="14"/>
      <c r="U254" s="14"/>
      <c r="V254" s="394"/>
    </row>
    <row r="255" spans="1:22" ht="18" hidden="1" customHeight="1">
      <c r="A255" s="96"/>
      <c r="B255" s="14"/>
      <c r="C255" s="14"/>
      <c r="D255" s="14"/>
      <c r="E255" s="14"/>
      <c r="F255" s="14"/>
      <c r="G255" s="14"/>
      <c r="H255" s="14"/>
      <c r="I255" s="14"/>
      <c r="J255" s="14"/>
      <c r="K255" s="14"/>
      <c r="L255" s="14"/>
      <c r="M255" s="14"/>
      <c r="N255" s="14"/>
      <c r="O255" s="14"/>
      <c r="P255" s="14"/>
      <c r="Q255" s="120"/>
      <c r="R255" s="28"/>
      <c r="S255" s="558"/>
      <c r="T255" s="14"/>
      <c r="U255" s="14"/>
      <c r="V255" s="394"/>
    </row>
    <row r="256" spans="1:22" ht="18" hidden="1" customHeight="1">
      <c r="A256" s="96"/>
      <c r="B256" s="14"/>
      <c r="C256" s="14"/>
      <c r="D256" s="14"/>
      <c r="E256" s="14"/>
      <c r="F256" s="14"/>
      <c r="G256" s="14"/>
      <c r="H256" s="14"/>
      <c r="I256" s="14"/>
      <c r="J256" s="14"/>
      <c r="K256" s="14"/>
      <c r="L256" s="14"/>
      <c r="M256" s="14"/>
      <c r="N256" s="14"/>
      <c r="O256" s="14"/>
      <c r="P256" s="14"/>
      <c r="Q256" s="120"/>
      <c r="R256" s="28"/>
      <c r="S256" s="558"/>
      <c r="T256" s="14"/>
      <c r="U256" s="14"/>
      <c r="V256" s="394"/>
    </row>
    <row r="257" spans="1:22" ht="18" hidden="1" customHeight="1">
      <c r="A257" s="96"/>
      <c r="B257" s="14"/>
      <c r="C257" s="14"/>
      <c r="D257" s="14"/>
      <c r="E257" s="14"/>
      <c r="F257" s="14"/>
      <c r="G257" s="14"/>
      <c r="H257" s="14"/>
      <c r="I257" s="14"/>
      <c r="J257" s="14"/>
      <c r="K257" s="14"/>
      <c r="L257" s="14"/>
      <c r="M257" s="14"/>
      <c r="N257" s="14"/>
      <c r="O257" s="14"/>
      <c r="P257" s="14"/>
      <c r="Q257" s="120"/>
      <c r="R257" s="28"/>
      <c r="S257" s="558"/>
      <c r="T257" s="14"/>
      <c r="U257" s="14"/>
      <c r="V257" s="394"/>
    </row>
    <row r="258" spans="1:22" ht="18" hidden="1" customHeight="1">
      <c r="A258" s="96"/>
      <c r="B258" s="14"/>
      <c r="C258" s="14"/>
      <c r="D258" s="14"/>
      <c r="E258" s="14"/>
      <c r="F258" s="14"/>
      <c r="G258" s="14"/>
      <c r="H258" s="14"/>
      <c r="I258" s="14"/>
      <c r="J258" s="14"/>
      <c r="K258" s="14"/>
      <c r="L258" s="14"/>
      <c r="M258" s="14"/>
      <c r="N258" s="14"/>
      <c r="O258" s="14"/>
      <c r="P258" s="14"/>
      <c r="Q258" s="120"/>
      <c r="R258" s="28"/>
      <c r="S258" s="558"/>
      <c r="T258" s="14"/>
      <c r="U258" s="14"/>
      <c r="V258" s="394"/>
    </row>
    <row r="259" spans="1:22" ht="18" hidden="1" customHeight="1">
      <c r="A259" s="96"/>
      <c r="B259" s="14"/>
      <c r="C259" s="14"/>
      <c r="D259" s="14"/>
      <c r="E259" s="14"/>
      <c r="F259" s="14"/>
      <c r="G259" s="14"/>
      <c r="H259" s="14"/>
      <c r="I259" s="14"/>
      <c r="J259" s="14"/>
      <c r="K259" s="14"/>
      <c r="L259" s="14"/>
      <c r="M259" s="14"/>
      <c r="N259" s="14"/>
      <c r="O259" s="14"/>
      <c r="P259" s="14"/>
      <c r="Q259" s="120"/>
      <c r="R259" s="28"/>
      <c r="S259" s="558"/>
      <c r="T259" s="14"/>
      <c r="U259" s="14"/>
      <c r="V259" s="394"/>
    </row>
    <row r="260" spans="1:22" ht="18" hidden="1" customHeight="1">
      <c r="A260" s="96"/>
      <c r="B260" s="14"/>
      <c r="C260" s="14"/>
      <c r="D260" s="14"/>
      <c r="E260" s="14"/>
      <c r="F260" s="14"/>
      <c r="G260" s="14"/>
      <c r="H260" s="14"/>
      <c r="I260" s="14"/>
      <c r="J260" s="14"/>
      <c r="K260" s="14"/>
      <c r="L260" s="14"/>
      <c r="M260" s="14"/>
      <c r="N260" s="14"/>
      <c r="O260" s="14"/>
      <c r="P260" s="14"/>
      <c r="Q260" s="120"/>
      <c r="R260" s="28"/>
      <c r="S260" s="558"/>
      <c r="T260" s="14"/>
      <c r="U260" s="14"/>
      <c r="V260" s="394"/>
    </row>
    <row r="261" spans="1:22" ht="18" hidden="1" customHeight="1">
      <c r="A261" s="96"/>
      <c r="B261" s="14"/>
      <c r="C261" s="14"/>
      <c r="D261" s="14"/>
      <c r="E261" s="14"/>
      <c r="F261" s="14"/>
      <c r="G261" s="14"/>
      <c r="H261" s="14"/>
      <c r="I261" s="14"/>
      <c r="J261" s="14"/>
      <c r="K261" s="14"/>
      <c r="L261" s="14"/>
      <c r="M261" s="14"/>
      <c r="N261" s="14"/>
      <c r="O261" s="14"/>
      <c r="P261" s="14"/>
      <c r="Q261" s="120"/>
      <c r="R261" s="28"/>
      <c r="S261" s="558"/>
      <c r="T261" s="14"/>
      <c r="U261" s="14"/>
      <c r="V261" s="394"/>
    </row>
    <row r="262" spans="1:22" ht="18" hidden="1" customHeight="1">
      <c r="A262" s="96"/>
      <c r="B262" s="14"/>
      <c r="C262" s="14"/>
      <c r="D262" s="14"/>
      <c r="E262" s="14"/>
      <c r="F262" s="14"/>
      <c r="G262" s="14"/>
      <c r="H262" s="14"/>
      <c r="I262" s="14"/>
      <c r="J262" s="14"/>
      <c r="K262" s="14"/>
      <c r="L262" s="14"/>
      <c r="M262" s="14"/>
      <c r="N262" s="14"/>
      <c r="O262" s="14"/>
      <c r="P262" s="14"/>
      <c r="Q262" s="120"/>
      <c r="R262" s="28"/>
      <c r="S262" s="558"/>
      <c r="T262" s="14"/>
      <c r="U262" s="14"/>
      <c r="V262" s="394"/>
    </row>
    <row r="263" spans="1:22" ht="18" hidden="1" customHeight="1">
      <c r="A263" s="206"/>
      <c r="B263" s="207"/>
      <c r="C263" s="207"/>
      <c r="D263" s="207"/>
      <c r="E263" s="207"/>
      <c r="F263" s="207"/>
      <c r="G263" s="207"/>
      <c r="H263" s="207"/>
      <c r="I263" s="207"/>
      <c r="J263" s="207"/>
      <c r="K263" s="207"/>
      <c r="L263" s="207"/>
      <c r="M263" s="207"/>
      <c r="N263" s="207"/>
      <c r="O263" s="207"/>
      <c r="P263" s="207"/>
      <c r="Q263" s="236"/>
      <c r="R263" s="194"/>
      <c r="S263" s="237"/>
      <c r="T263" s="207"/>
      <c r="U263" s="207"/>
      <c r="V263" s="140" t="s">
        <v>563</v>
      </c>
    </row>
    <row r="264" spans="1:22" ht="18" customHeight="1">
      <c r="A264" s="238"/>
      <c r="B264" s="239"/>
      <c r="C264" s="239"/>
      <c r="D264" s="239"/>
      <c r="E264" s="239"/>
      <c r="F264" s="239"/>
      <c r="G264" s="239"/>
      <c r="H264" s="239"/>
      <c r="I264" s="239"/>
      <c r="J264" s="239"/>
      <c r="K264" s="239"/>
      <c r="L264" s="239"/>
      <c r="M264" s="239"/>
      <c r="N264" s="239"/>
      <c r="O264" s="239"/>
      <c r="P264" s="239"/>
      <c r="Q264" s="239"/>
      <c r="R264" s="239"/>
      <c r="S264" s="239"/>
      <c r="T264" s="239"/>
      <c r="U264" s="239"/>
      <c r="V264" s="240"/>
    </row>
    <row r="265" spans="1:22" ht="18" customHeight="1">
      <c r="A265" s="274" t="s">
        <v>512</v>
      </c>
      <c r="B265" s="14"/>
      <c r="C265" s="14"/>
      <c r="D265" s="120"/>
      <c r="E265" s="120"/>
      <c r="F265" s="18"/>
      <c r="G265" s="18"/>
      <c r="H265" s="14"/>
      <c r="I265" s="14"/>
      <c r="J265" s="14"/>
      <c r="K265" s="14"/>
      <c r="V265" s="197"/>
    </row>
    <row r="266" spans="1:22" ht="18" customHeight="1">
      <c r="A266" s="614" t="s">
        <v>97</v>
      </c>
      <c r="B266" s="620"/>
      <c r="C266" s="615"/>
      <c r="D266" s="614" t="s">
        <v>98</v>
      </c>
      <c r="E266" s="620"/>
      <c r="F266" s="615"/>
      <c r="G266" s="614" t="s">
        <v>99</v>
      </c>
      <c r="H266" s="615"/>
      <c r="I266" s="614" t="s">
        <v>100</v>
      </c>
      <c r="J266" s="615"/>
      <c r="K266" s="614" t="s">
        <v>513</v>
      </c>
      <c r="L266" s="615"/>
      <c r="M266" s="614" t="s">
        <v>514</v>
      </c>
      <c r="N266" s="615"/>
      <c r="O266" s="614" t="s">
        <v>515</v>
      </c>
      <c r="P266" s="615"/>
      <c r="Q266" s="614" t="s">
        <v>516</v>
      </c>
      <c r="R266" s="615"/>
      <c r="S266" s="614" t="s">
        <v>105</v>
      </c>
      <c r="T266" s="620"/>
      <c r="U266" s="620"/>
      <c r="V266" s="615"/>
    </row>
    <row r="267" spans="1:22" ht="18" customHeight="1">
      <c r="A267" s="616"/>
      <c r="B267" s="621"/>
      <c r="C267" s="617"/>
      <c r="D267" s="616"/>
      <c r="E267" s="621"/>
      <c r="F267" s="617"/>
      <c r="G267" s="616"/>
      <c r="H267" s="617"/>
      <c r="I267" s="616"/>
      <c r="J267" s="617"/>
      <c r="K267" s="616"/>
      <c r="L267" s="617"/>
      <c r="M267" s="616"/>
      <c r="N267" s="617"/>
      <c r="O267" s="616"/>
      <c r="P267" s="617"/>
      <c r="Q267" s="616"/>
      <c r="R267" s="617"/>
      <c r="S267" s="616"/>
      <c r="T267" s="621"/>
      <c r="U267" s="621"/>
      <c r="V267" s="617"/>
    </row>
    <row r="268" spans="1:22" ht="18" customHeight="1">
      <c r="A268" s="616"/>
      <c r="B268" s="621"/>
      <c r="C268" s="617"/>
      <c r="D268" s="616"/>
      <c r="E268" s="621"/>
      <c r="F268" s="617"/>
      <c r="G268" s="616"/>
      <c r="H268" s="617"/>
      <c r="I268" s="616"/>
      <c r="J268" s="617"/>
      <c r="K268" s="616"/>
      <c r="L268" s="617"/>
      <c r="M268" s="616"/>
      <c r="N268" s="617"/>
      <c r="O268" s="616"/>
      <c r="P268" s="617"/>
      <c r="Q268" s="616"/>
      <c r="R268" s="617"/>
      <c r="S268" s="616"/>
      <c r="T268" s="621"/>
      <c r="U268" s="621"/>
      <c r="V268" s="617"/>
    </row>
    <row r="269" spans="1:22" ht="18" customHeight="1">
      <c r="A269" s="618"/>
      <c r="B269" s="622"/>
      <c r="C269" s="619"/>
      <c r="D269" s="618"/>
      <c r="E269" s="622"/>
      <c r="F269" s="619"/>
      <c r="G269" s="618"/>
      <c r="H269" s="619"/>
      <c r="I269" s="618"/>
      <c r="J269" s="619"/>
      <c r="K269" s="618"/>
      <c r="L269" s="619"/>
      <c r="M269" s="618"/>
      <c r="N269" s="619"/>
      <c r="O269" s="618"/>
      <c r="P269" s="619"/>
      <c r="Q269" s="618"/>
      <c r="R269" s="619"/>
      <c r="S269" s="618"/>
      <c r="T269" s="622"/>
      <c r="U269" s="622"/>
      <c r="V269" s="619"/>
    </row>
    <row r="270" spans="1:22" ht="18" customHeight="1">
      <c r="A270" s="623" t="str">
        <f>B7</f>
        <v>T1</v>
      </c>
      <c r="B270" s="623" t="str">
        <f>D7</f>
        <v>Core2</v>
      </c>
      <c r="C270" s="623"/>
      <c r="D270" s="613">
        <f>H10</f>
        <v>2500</v>
      </c>
      <c r="E270" s="613"/>
      <c r="F270" s="624">
        <f>O10</f>
        <v>1</v>
      </c>
      <c r="G270" s="613">
        <f>'CT-VT Burdens'!S19</f>
        <v>80</v>
      </c>
      <c r="H270" s="783">
        <f>'CT-VT Burdens'!S10</f>
        <v>2.5</v>
      </c>
      <c r="I270" s="783" t="str">
        <f>H11</f>
        <v>PX-B</v>
      </c>
      <c r="J270" s="783" t="e">
        <f>#REF!</f>
        <v>#REF!</v>
      </c>
      <c r="K270" s="612">
        <f>H12</f>
        <v>5</v>
      </c>
      <c r="L270" s="612"/>
      <c r="M270" s="612">
        <f>H13</f>
        <v>750</v>
      </c>
      <c r="N270" s="612"/>
      <c r="O270" s="613">
        <f>H14</f>
        <v>60</v>
      </c>
      <c r="P270" s="613"/>
      <c r="Q270" s="629" t="str">
        <f>T7</f>
        <v>P743</v>
      </c>
      <c r="R270" s="629"/>
      <c r="S270" s="628" t="str">
        <f>H59</f>
        <v>Suitably Dimentioned</v>
      </c>
      <c r="T270" s="628"/>
      <c r="U270" s="628"/>
      <c r="V270" s="628"/>
    </row>
    <row r="271" spans="1:22" ht="18" customHeight="1">
      <c r="A271" s="623"/>
      <c r="B271" s="623"/>
      <c r="C271" s="623"/>
      <c r="D271" s="786" t="s">
        <v>7</v>
      </c>
      <c r="E271" s="613"/>
      <c r="F271" s="625"/>
      <c r="G271" s="613"/>
      <c r="H271" s="613"/>
      <c r="I271" s="783"/>
      <c r="J271" s="783"/>
      <c r="K271" s="785" t="s">
        <v>7</v>
      </c>
      <c r="L271" s="612"/>
      <c r="M271" s="785" t="s">
        <v>7</v>
      </c>
      <c r="N271" s="612"/>
      <c r="O271" s="786" t="s">
        <v>7</v>
      </c>
      <c r="P271" s="613"/>
      <c r="Q271" s="629"/>
      <c r="R271" s="629"/>
      <c r="S271" s="961" t="s">
        <v>7</v>
      </c>
      <c r="T271" s="628"/>
      <c r="U271" s="628"/>
      <c r="V271" s="628"/>
    </row>
    <row r="272" spans="1:22" ht="18" customHeight="1">
      <c r="A272" s="623"/>
      <c r="B272" s="623"/>
      <c r="C272" s="623"/>
      <c r="D272" s="786" t="s">
        <v>7</v>
      </c>
      <c r="E272" s="613"/>
      <c r="F272" s="626"/>
      <c r="G272" s="613"/>
      <c r="H272" s="613"/>
      <c r="I272" s="783"/>
      <c r="J272" s="783"/>
      <c r="K272" s="785" t="s">
        <v>7</v>
      </c>
      <c r="L272" s="612"/>
      <c r="M272" s="785" t="s">
        <v>7</v>
      </c>
      <c r="N272" s="612"/>
      <c r="O272" s="786" t="s">
        <v>7</v>
      </c>
      <c r="P272" s="613"/>
      <c r="Q272" s="629"/>
      <c r="R272" s="629"/>
      <c r="S272" s="628" t="s">
        <v>7</v>
      </c>
      <c r="T272" s="628"/>
      <c r="U272" s="628"/>
      <c r="V272" s="628"/>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206"/>
      <c r="B304" s="207"/>
      <c r="C304" s="207"/>
      <c r="D304" s="207"/>
      <c r="E304" s="207"/>
      <c r="F304" s="207"/>
      <c r="G304" s="207"/>
      <c r="H304" s="207"/>
      <c r="I304" s="207"/>
      <c r="J304" s="207"/>
      <c r="K304" s="207"/>
      <c r="L304" s="207"/>
      <c r="M304" s="207"/>
      <c r="N304" s="207"/>
      <c r="O304" s="207"/>
      <c r="P304" s="207"/>
      <c r="Q304" s="236"/>
      <c r="R304" s="194"/>
      <c r="S304" s="237"/>
      <c r="T304" s="207"/>
      <c r="U304" s="207"/>
      <c r="V304" s="140"/>
    </row>
  </sheetData>
  <mergeCells count="189">
    <mergeCell ref="Q270:R272"/>
    <mergeCell ref="S270:V270"/>
    <mergeCell ref="D271:E271"/>
    <mergeCell ref="K271:L271"/>
    <mergeCell ref="M271:N271"/>
    <mergeCell ref="O271:P271"/>
    <mergeCell ref="S271:V271"/>
    <mergeCell ref="O266:P269"/>
    <mergeCell ref="Q266:R269"/>
    <mergeCell ref="S266:V269"/>
    <mergeCell ref="K266:L269"/>
    <mergeCell ref="M266:N269"/>
    <mergeCell ref="K272:L272"/>
    <mergeCell ref="M272:N272"/>
    <mergeCell ref="O272:P272"/>
    <mergeCell ref="S272:V272"/>
    <mergeCell ref="K270:L270"/>
    <mergeCell ref="M270:N270"/>
    <mergeCell ref="O270:P270"/>
    <mergeCell ref="A270:A272"/>
    <mergeCell ref="B270:C272"/>
    <mergeCell ref="D270:E270"/>
    <mergeCell ref="F270:F272"/>
    <mergeCell ref="G270:G272"/>
    <mergeCell ref="H270:H272"/>
    <mergeCell ref="I270:J272"/>
    <mergeCell ref="A266:C269"/>
    <mergeCell ref="D266:F269"/>
    <mergeCell ref="G266:H269"/>
    <mergeCell ref="I266:J269"/>
    <mergeCell ref="D272:E272"/>
    <mergeCell ref="E213:F213"/>
    <mergeCell ref="E225:F225"/>
    <mergeCell ref="H225:I225"/>
    <mergeCell ref="E229:F229"/>
    <mergeCell ref="H229:I229"/>
    <mergeCell ref="E207:F207"/>
    <mergeCell ref="B211:C211"/>
    <mergeCell ref="E211:F211"/>
    <mergeCell ref="H211:I211"/>
    <mergeCell ref="K211:L211"/>
    <mergeCell ref="E212:F212"/>
    <mergeCell ref="H212:I212"/>
    <mergeCell ref="K212:L212"/>
    <mergeCell ref="B205:C205"/>
    <mergeCell ref="G205:H205"/>
    <mergeCell ref="J205:K205"/>
    <mergeCell ref="M205:N205"/>
    <mergeCell ref="G206:H206"/>
    <mergeCell ref="J206:K206"/>
    <mergeCell ref="M206:N206"/>
    <mergeCell ref="S194:T194"/>
    <mergeCell ref="S195:T195"/>
    <mergeCell ref="S196:T196"/>
    <mergeCell ref="S197:T197"/>
    <mergeCell ref="S198:T198"/>
    <mergeCell ref="S199:T199"/>
    <mergeCell ref="L184:M184"/>
    <mergeCell ref="J188:K188"/>
    <mergeCell ref="J189:K189"/>
    <mergeCell ref="J190:K190"/>
    <mergeCell ref="J191:K191"/>
    <mergeCell ref="J192:K192"/>
    <mergeCell ref="H180:I180"/>
    <mergeCell ref="J180:K180"/>
    <mergeCell ref="L180:M180"/>
    <mergeCell ref="L181:M181"/>
    <mergeCell ref="L182:M182"/>
    <mergeCell ref="L183:M183"/>
    <mergeCell ref="T177:U177"/>
    <mergeCell ref="T178:U178"/>
    <mergeCell ref="H179:I179"/>
    <mergeCell ref="J179:K179"/>
    <mergeCell ref="L179:M179"/>
    <mergeCell ref="T179:U179"/>
    <mergeCell ref="E125:F125"/>
    <mergeCell ref="E137:F137"/>
    <mergeCell ref="H137:I137"/>
    <mergeCell ref="E141:F141"/>
    <mergeCell ref="H141:I141"/>
    <mergeCell ref="B177:C177"/>
    <mergeCell ref="D177:E177"/>
    <mergeCell ref="H177:M177"/>
    <mergeCell ref="E119:F119"/>
    <mergeCell ref="B123:C123"/>
    <mergeCell ref="E123:F123"/>
    <mergeCell ref="H123:I123"/>
    <mergeCell ref="K123:L123"/>
    <mergeCell ref="E124:F124"/>
    <mergeCell ref="H124:I124"/>
    <mergeCell ref="K124:L124"/>
    <mergeCell ref="B117:C117"/>
    <mergeCell ref="G117:H117"/>
    <mergeCell ref="J117:K117"/>
    <mergeCell ref="M117:N117"/>
    <mergeCell ref="G118:H118"/>
    <mergeCell ref="J118:K118"/>
    <mergeCell ref="M118:N118"/>
    <mergeCell ref="S106:T106"/>
    <mergeCell ref="S107:T107"/>
    <mergeCell ref="S108:T108"/>
    <mergeCell ref="S109:T109"/>
    <mergeCell ref="S110:T110"/>
    <mergeCell ref="S111:T111"/>
    <mergeCell ref="J96:K96"/>
    <mergeCell ref="J100:K100"/>
    <mergeCell ref="J101:K101"/>
    <mergeCell ref="J102:K102"/>
    <mergeCell ref="J103:K103"/>
    <mergeCell ref="J104:K104"/>
    <mergeCell ref="H92:I92"/>
    <mergeCell ref="J92:K92"/>
    <mergeCell ref="L92:M92"/>
    <mergeCell ref="J93:K93"/>
    <mergeCell ref="J94:K94"/>
    <mergeCell ref="J95:K95"/>
    <mergeCell ref="T89:U89"/>
    <mergeCell ref="T90:U90"/>
    <mergeCell ref="H91:I91"/>
    <mergeCell ref="J91:K91"/>
    <mergeCell ref="L91:M91"/>
    <mergeCell ref="T91:U91"/>
    <mergeCell ref="E43:F43"/>
    <mergeCell ref="E52:F52"/>
    <mergeCell ref="H52:I52"/>
    <mergeCell ref="E56:F56"/>
    <mergeCell ref="H56:I56"/>
    <mergeCell ref="B89:C89"/>
    <mergeCell ref="D89:E89"/>
    <mergeCell ref="H89:M89"/>
    <mergeCell ref="E37:F37"/>
    <mergeCell ref="B41:C41"/>
    <mergeCell ref="E41:F41"/>
    <mergeCell ref="H41:I41"/>
    <mergeCell ref="K41:L41"/>
    <mergeCell ref="E42:F42"/>
    <mergeCell ref="H42:I42"/>
    <mergeCell ref="K42:L42"/>
    <mergeCell ref="B35:C35"/>
    <mergeCell ref="G35:H35"/>
    <mergeCell ref="J35:K35"/>
    <mergeCell ref="M35:N35"/>
    <mergeCell ref="G36:H36"/>
    <mergeCell ref="J36:K36"/>
    <mergeCell ref="M36:N36"/>
    <mergeCell ref="S24:T24"/>
    <mergeCell ref="S25:T25"/>
    <mergeCell ref="S26:T26"/>
    <mergeCell ref="S27:T27"/>
    <mergeCell ref="S28:T28"/>
    <mergeCell ref="S29:T29"/>
    <mergeCell ref="H14:I14"/>
    <mergeCell ref="J18:K18"/>
    <mergeCell ref="J19:K19"/>
    <mergeCell ref="J20:K20"/>
    <mergeCell ref="J21:K21"/>
    <mergeCell ref="J22:K22"/>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62 G147 G235">
    <cfRule type="cellIs" dxfId="95" priority="2" stopIfTrue="1" operator="equal">
      <formula>"Under Dimentioned"</formula>
    </cfRule>
  </conditionalFormatting>
  <conditionalFormatting sqref="H59 H144 H232">
    <cfRule type="cellIs" dxfId="94" priority="1" stopIfTrue="1" operator="equal">
      <formula>"Under Dimentioned"</formula>
    </cfRule>
  </conditionalFormatting>
  <dataValidations count="1">
    <dataValidation type="list" allowBlank="1" showInputMessage="1" showErrorMessage="1" sqref="D7 D177 D89" xr:uid="{3F4D9D23-3663-4F31-8A25-9AEC9283FF37}">
      <formula1>"Core1,Core2,Core3"</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6" max="21" man="1"/>
    <brk id="263" max="2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D5391-6ACF-4379-B94C-1C0E8D85EA70}">
  <sheetPr codeName="Sheet221">
    <tabColor rgb="FFFFFF00"/>
  </sheetPr>
  <dimension ref="A1:AC299"/>
  <sheetViews>
    <sheetView showZeros="0" view="pageBreakPreview" topLeftCell="A22" zoomScaleNormal="100" zoomScaleSheetLayoutView="100" workbookViewId="0">
      <selection activeCell="K13" sqref="K13"/>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Title!H2</f>
        <v>ADEQUACY CHECK</v>
      </c>
      <c r="I2" s="730"/>
      <c r="J2" s="730"/>
      <c r="K2" s="730"/>
      <c r="L2" s="730"/>
      <c r="M2" s="730"/>
      <c r="N2" s="731"/>
      <c r="O2" s="702" t="str">
        <f>Title!O2</f>
        <v>Date</v>
      </c>
      <c r="P2" s="703"/>
      <c r="Q2" s="704"/>
      <c r="R2" s="732">
        <f>Title!R2</f>
        <v>46106</v>
      </c>
      <c r="S2" s="706"/>
      <c r="T2" s="706"/>
      <c r="U2" s="706"/>
      <c r="V2" s="707"/>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14"/>
      <c r="X4" s="14"/>
    </row>
    <row r="5" spans="1:24" ht="18" customHeight="1">
      <c r="A5" s="708" t="str">
        <f>Title!A5</f>
        <v>Prep. By</v>
      </c>
      <c r="B5" s="709"/>
      <c r="C5" s="25" t="str">
        <f>Title!C5</f>
        <v>AP</v>
      </c>
      <c r="D5" s="708" t="str">
        <f>Title!D5</f>
        <v>Checked By</v>
      </c>
      <c r="E5" s="710"/>
      <c r="F5" s="709"/>
      <c r="G5" s="25" t="str">
        <f>Title!G5</f>
        <v>RB</v>
      </c>
      <c r="H5" s="711" t="s">
        <v>916</v>
      </c>
      <c r="I5" s="712"/>
      <c r="J5" s="712"/>
      <c r="K5" s="712"/>
      <c r="L5" s="712"/>
      <c r="M5" s="712"/>
      <c r="N5" s="713"/>
      <c r="O5" s="714" t="str">
        <f>Title!O5</f>
        <v>Contractor</v>
      </c>
      <c r="P5" s="715"/>
      <c r="Q5" s="716"/>
      <c r="R5" s="705" t="str">
        <f>Title!R5</f>
        <v>HITACHI</v>
      </c>
      <c r="S5" s="706"/>
      <c r="T5" s="706"/>
      <c r="U5" s="706"/>
      <c r="V5" s="707"/>
      <c r="W5" s="14"/>
      <c r="X5" s="14"/>
    </row>
    <row r="6" spans="1:24" ht="18" customHeight="1">
      <c r="A6" s="196"/>
      <c r="B6" s="198"/>
      <c r="D6" s="467"/>
      <c r="V6" s="197"/>
    </row>
    <row r="7" spans="1:24" ht="18" customHeight="1">
      <c r="A7" s="196"/>
      <c r="B7" s="656" t="s">
        <v>120</v>
      </c>
      <c r="C7" s="657"/>
      <c r="D7" s="894" t="s">
        <v>121</v>
      </c>
      <c r="E7" s="995"/>
      <c r="F7" s="468"/>
      <c r="H7" s="638" t="s">
        <v>722</v>
      </c>
      <c r="I7" s="639"/>
      <c r="J7" s="639"/>
      <c r="K7" s="639"/>
      <c r="L7" s="639"/>
      <c r="M7" s="639"/>
      <c r="P7" s="198"/>
      <c r="S7" s="199" t="s">
        <v>398</v>
      </c>
      <c r="T7" s="656" t="s">
        <v>190</v>
      </c>
      <c r="U7" s="657"/>
      <c r="V7" s="197"/>
    </row>
    <row r="8" spans="1:24" ht="18" customHeight="1">
      <c r="A8" s="469"/>
      <c r="F8" s="468"/>
      <c r="T8" s="656"/>
      <c r="U8" s="657"/>
      <c r="V8" s="197"/>
    </row>
    <row r="9" spans="1:24" ht="18" customHeight="1">
      <c r="A9" s="196"/>
      <c r="H9" s="662" t="s">
        <v>401</v>
      </c>
      <c r="I9" s="662"/>
      <c r="J9" s="701" t="s">
        <v>402</v>
      </c>
      <c r="K9" s="701"/>
      <c r="L9" s="701" t="s">
        <v>403</v>
      </c>
      <c r="M9" s="701"/>
      <c r="T9" s="656"/>
      <c r="U9" s="657"/>
      <c r="V9" s="197"/>
    </row>
    <row r="10" spans="1:24" ht="18" customHeight="1">
      <c r="A10" s="196"/>
      <c r="B10" s="47" t="s">
        <v>404</v>
      </c>
      <c r="H10" s="692">
        <v>2500</v>
      </c>
      <c r="I10" s="693"/>
      <c r="J10" s="656" t="s">
        <v>7</v>
      </c>
      <c r="K10" s="657"/>
      <c r="L10" s="656" t="s">
        <v>7</v>
      </c>
      <c r="M10" s="657"/>
      <c r="N10" s="203" t="s">
        <v>353</v>
      </c>
      <c r="O10" s="125">
        <v>1</v>
      </c>
      <c r="P10" s="27" t="s">
        <v>9</v>
      </c>
      <c r="R10" s="267"/>
      <c r="S10" s="267"/>
      <c r="V10" s="197"/>
    </row>
    <row r="11" spans="1:24" ht="18" customHeight="1">
      <c r="A11" s="196"/>
      <c r="B11" s="47" t="s">
        <v>405</v>
      </c>
      <c r="H11" s="656" t="s">
        <v>848</v>
      </c>
      <c r="I11" s="657"/>
      <c r="V11" s="197"/>
    </row>
    <row r="12" spans="1:24" ht="18" customHeight="1">
      <c r="A12" s="196"/>
      <c r="B12" s="47" t="s">
        <v>407</v>
      </c>
      <c r="G12" s="120" t="s">
        <v>508</v>
      </c>
      <c r="H12" s="656">
        <v>5</v>
      </c>
      <c r="I12" s="657"/>
      <c r="J12" s="204" t="s">
        <v>344</v>
      </c>
      <c r="M12" s="14"/>
      <c r="N12" s="14"/>
      <c r="V12" s="197"/>
    </row>
    <row r="13" spans="1:24" ht="18" customHeight="1">
      <c r="A13" s="196"/>
      <c r="B13" s="47" t="s">
        <v>409</v>
      </c>
      <c r="G13" s="120" t="s">
        <v>509</v>
      </c>
      <c r="H13" s="656">
        <v>750</v>
      </c>
      <c r="I13" s="657"/>
      <c r="J13" s="14" t="s">
        <v>316</v>
      </c>
      <c r="M13" s="14"/>
      <c r="T13" s="307"/>
      <c r="U13" s="18"/>
      <c r="V13" s="197"/>
      <c r="W13" s="30" t="e">
        <f>#REF!</f>
        <v>#REF!</v>
      </c>
    </row>
    <row r="14" spans="1:24" ht="18" customHeight="1">
      <c r="A14" s="196"/>
      <c r="B14" s="14" t="s">
        <v>412</v>
      </c>
      <c r="G14" s="120" t="s">
        <v>413</v>
      </c>
      <c r="H14" s="656">
        <v>60</v>
      </c>
      <c r="I14" s="657"/>
      <c r="J14" s="14" t="s">
        <v>414</v>
      </c>
      <c r="M14" s="14"/>
      <c r="N14" s="14"/>
      <c r="V14" s="197"/>
    </row>
    <row r="15" spans="1:24" ht="18" customHeight="1">
      <c r="A15" s="196"/>
      <c r="B15" s="14"/>
      <c r="V15" s="197"/>
    </row>
    <row r="16" spans="1:24" ht="18" customHeight="1">
      <c r="A16" s="205" t="s">
        <v>415</v>
      </c>
      <c r="V16" s="197"/>
    </row>
    <row r="17" spans="1:25" ht="18" customHeight="1">
      <c r="A17" s="196"/>
      <c r="V17" s="197"/>
    </row>
    <row r="18" spans="1:25" ht="18" customHeight="1">
      <c r="A18" s="196"/>
      <c r="B18" s="141" t="s">
        <v>416</v>
      </c>
      <c r="C18" s="285"/>
      <c r="D18" s="146" t="str">
        <f>T7</f>
        <v>REB500</v>
      </c>
      <c r="E18" s="239"/>
      <c r="F18" s="239"/>
      <c r="G18" s="239"/>
      <c r="H18" s="145"/>
      <c r="I18" s="272" t="s">
        <v>138</v>
      </c>
      <c r="J18" s="684">
        <f>'CT-VT Burdens'!Q49</f>
        <v>0.01</v>
      </c>
      <c r="K18" s="685"/>
      <c r="L18" s="3" t="s">
        <v>168</v>
      </c>
      <c r="N18" s="209" t="s">
        <v>521</v>
      </c>
      <c r="V18" s="197"/>
    </row>
    <row r="19" spans="1:25" ht="18" customHeight="1">
      <c r="A19" s="196"/>
      <c r="B19" s="96" t="s">
        <v>416</v>
      </c>
      <c r="C19" s="14"/>
      <c r="D19" s="47">
        <f>T8</f>
        <v>0</v>
      </c>
      <c r="H19" s="28"/>
      <c r="I19" s="101" t="s">
        <v>138</v>
      </c>
      <c r="J19" s="684"/>
      <c r="K19" s="685"/>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684"/>
      <c r="K20" s="685"/>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690">
        <f>'CT-VT Burdens'!S22</f>
        <v>1.44186744</v>
      </c>
      <c r="K21" s="691"/>
      <c r="L21" s="309" t="s">
        <v>168</v>
      </c>
      <c r="O21" s="27" t="s">
        <v>138</v>
      </c>
      <c r="P21" s="637">
        <f>P20*R20*T20</f>
        <v>5</v>
      </c>
      <c r="Q21" s="639"/>
      <c r="R21" s="27" t="s">
        <v>168</v>
      </c>
      <c r="V21" s="197"/>
    </row>
    <row r="22" spans="1:25" ht="18" customHeight="1">
      <c r="A22" s="196"/>
      <c r="B22" s="1" t="s">
        <v>424</v>
      </c>
      <c r="C22" s="2"/>
      <c r="D22" s="2"/>
      <c r="E22" s="2"/>
      <c r="F22" s="208"/>
      <c r="G22" s="208"/>
      <c r="H22" s="236" t="s">
        <v>523</v>
      </c>
      <c r="I22" s="195" t="s">
        <v>138</v>
      </c>
      <c r="J22" s="644">
        <f>SUM(J18:J21)</f>
        <v>1.45186744</v>
      </c>
      <c r="K22" s="648"/>
      <c r="L22" s="3" t="s">
        <v>168</v>
      </c>
      <c r="V22" s="197"/>
    </row>
    <row r="23" spans="1:25" ht="18" customHeight="1">
      <c r="A23" s="196"/>
      <c r="B23" s="47"/>
      <c r="C23" s="47"/>
      <c r="D23" s="47"/>
      <c r="E23" s="47"/>
      <c r="H23" s="27"/>
      <c r="I23" s="28"/>
      <c r="J23" s="211"/>
      <c r="L23" s="47"/>
      <c r="V23" s="197"/>
    </row>
    <row r="24" spans="1:25" ht="18" customHeight="1">
      <c r="A24" s="196"/>
      <c r="B24" s="117" t="s">
        <v>723</v>
      </c>
      <c r="V24" s="197"/>
    </row>
    <row r="25" spans="1:25" ht="18" customHeight="1">
      <c r="A25" s="180"/>
      <c r="B25" s="5"/>
      <c r="C25" s="47" t="s">
        <v>724</v>
      </c>
      <c r="D25" s="14"/>
      <c r="E25" s="14"/>
      <c r="F25" s="14"/>
      <c r="G25" s="14"/>
      <c r="H25" s="291"/>
      <c r="I25" s="120"/>
      <c r="J25" s="291"/>
      <c r="K25" s="291"/>
      <c r="L25" s="14"/>
      <c r="M25" s="14"/>
      <c r="N25" s="14"/>
      <c r="O25" s="14"/>
      <c r="P25" s="14"/>
      <c r="Q25" s="120" t="s">
        <v>725</v>
      </c>
      <c r="R25" s="102" t="s">
        <v>138</v>
      </c>
      <c r="S25" s="638">
        <f>'Parameters &amp; Fault Cal. (4)'!Q10 *1000</f>
        <v>40000</v>
      </c>
      <c r="T25" s="638"/>
      <c r="U25" s="47" t="s">
        <v>9</v>
      </c>
      <c r="V25" s="97"/>
    </row>
    <row r="26" spans="1:25" ht="18" customHeight="1">
      <c r="A26" s="180"/>
      <c r="B26" s="5"/>
      <c r="C26" s="47" t="s">
        <v>556</v>
      </c>
      <c r="D26" s="14"/>
      <c r="E26" s="14"/>
      <c r="F26" s="18"/>
      <c r="G26" s="18"/>
      <c r="H26" s="291"/>
      <c r="I26" s="120"/>
      <c r="J26" s="291"/>
      <c r="K26" s="291"/>
      <c r="L26" s="14"/>
      <c r="M26" s="14"/>
      <c r="N26" s="14"/>
      <c r="O26" s="14"/>
      <c r="P26" s="14"/>
      <c r="Q26" s="120" t="s">
        <v>434</v>
      </c>
      <c r="R26" s="102" t="s">
        <v>138</v>
      </c>
      <c r="S26" s="638">
        <f>H10</f>
        <v>2500</v>
      </c>
      <c r="T26" s="638"/>
      <c r="U26" s="14" t="s">
        <v>9</v>
      </c>
      <c r="V26" s="197"/>
    </row>
    <row r="27" spans="1:25" ht="18" customHeight="1">
      <c r="A27" s="180"/>
      <c r="B27" s="5"/>
      <c r="C27" s="47" t="s">
        <v>726</v>
      </c>
      <c r="D27" s="14"/>
      <c r="E27" s="14"/>
      <c r="F27" s="18"/>
      <c r="G27" s="18"/>
      <c r="H27" s="291"/>
      <c r="I27" s="120"/>
      <c r="J27" s="291"/>
      <c r="K27" s="291"/>
      <c r="L27" s="14"/>
      <c r="M27" s="14"/>
      <c r="N27" s="14"/>
      <c r="O27" s="14"/>
      <c r="P27" s="14"/>
      <c r="Q27" s="120" t="s">
        <v>727</v>
      </c>
      <c r="R27" s="102" t="s">
        <v>138</v>
      </c>
      <c r="S27" s="638">
        <v>400</v>
      </c>
      <c r="T27" s="638"/>
      <c r="U27" s="14" t="s">
        <v>174</v>
      </c>
      <c r="V27" s="197"/>
    </row>
    <row r="28" spans="1:25" ht="18" customHeight="1">
      <c r="A28" s="180"/>
      <c r="B28" s="5"/>
      <c r="C28" s="47" t="s">
        <v>557</v>
      </c>
      <c r="D28" s="14"/>
      <c r="E28" s="14"/>
      <c r="F28" s="18"/>
      <c r="G28" s="18"/>
      <c r="H28" s="291"/>
      <c r="I28" s="120"/>
      <c r="J28" s="291"/>
      <c r="K28" s="291"/>
      <c r="L28" s="14"/>
      <c r="M28" s="14"/>
      <c r="N28" s="14"/>
      <c r="O28" s="14"/>
      <c r="P28" s="14"/>
      <c r="Q28" s="120" t="s">
        <v>484</v>
      </c>
      <c r="R28" s="102" t="s">
        <v>138</v>
      </c>
      <c r="S28" s="638">
        <f>H13</f>
        <v>750</v>
      </c>
      <c r="T28" s="638"/>
      <c r="U28" s="14" t="s">
        <v>316</v>
      </c>
      <c r="V28" s="197"/>
    </row>
    <row r="29" spans="1:25" ht="18" customHeight="1">
      <c r="A29" s="180"/>
      <c r="B29" s="5"/>
      <c r="C29" s="47" t="s">
        <v>728</v>
      </c>
      <c r="D29" s="14"/>
      <c r="E29" s="14"/>
      <c r="F29" s="18"/>
      <c r="G29" s="18"/>
      <c r="H29" s="291"/>
      <c r="I29" s="120"/>
      <c r="J29" s="291"/>
      <c r="K29" s="291"/>
      <c r="L29" s="14"/>
      <c r="M29" s="14"/>
      <c r="N29" s="14"/>
      <c r="O29" s="14"/>
      <c r="P29" s="14"/>
      <c r="Q29" s="120" t="s">
        <v>431</v>
      </c>
      <c r="R29" s="102" t="s">
        <v>138</v>
      </c>
      <c r="S29" s="641">
        <f>P21</f>
        <v>5</v>
      </c>
      <c r="T29" s="638"/>
      <c r="U29" s="14" t="s">
        <v>168</v>
      </c>
      <c r="V29" s="197"/>
      <c r="W29" s="291"/>
      <c r="X29" s="291"/>
      <c r="Y29" s="291"/>
    </row>
    <row r="30" spans="1:25" ht="18" customHeight="1">
      <c r="A30" s="180"/>
      <c r="B30" s="5"/>
      <c r="C30" s="47" t="s">
        <v>729</v>
      </c>
      <c r="D30" s="14"/>
      <c r="E30" s="14"/>
      <c r="F30" s="18"/>
      <c r="G30" s="18"/>
      <c r="H30" s="291"/>
      <c r="I30" s="120"/>
      <c r="J30" s="291"/>
      <c r="K30" s="291"/>
      <c r="L30" s="14"/>
      <c r="M30" s="14"/>
      <c r="N30" s="14"/>
      <c r="O30" s="14"/>
      <c r="P30" s="14"/>
      <c r="Q30" s="120" t="s">
        <v>533</v>
      </c>
      <c r="R30" s="102" t="s">
        <v>138</v>
      </c>
      <c r="S30" s="641">
        <f>J22</f>
        <v>1.45186744</v>
      </c>
      <c r="T30" s="638"/>
      <c r="U30" s="14" t="s">
        <v>168</v>
      </c>
      <c r="V30" s="197"/>
      <c r="X30" s="291"/>
      <c r="Y30" s="291"/>
    </row>
    <row r="31" spans="1:25" ht="18" customHeight="1">
      <c r="A31" s="180"/>
      <c r="B31" s="5"/>
      <c r="C31" s="47" t="s">
        <v>560</v>
      </c>
      <c r="D31" s="14"/>
      <c r="E31" s="14"/>
      <c r="F31" s="14"/>
      <c r="G31" s="14"/>
      <c r="H31" s="291"/>
      <c r="I31" s="120"/>
      <c r="J31" s="291"/>
      <c r="K31" s="291"/>
      <c r="L31" s="14"/>
      <c r="M31" s="14"/>
      <c r="N31" s="14"/>
      <c r="O31" s="14"/>
      <c r="P31" s="14"/>
      <c r="Q31" s="120" t="s">
        <v>725</v>
      </c>
      <c r="R31" s="102" t="s">
        <v>138</v>
      </c>
      <c r="S31" s="638">
        <f>O10</f>
        <v>1</v>
      </c>
      <c r="T31" s="638"/>
      <c r="U31" s="14" t="s">
        <v>9</v>
      </c>
      <c r="V31" s="197"/>
      <c r="X31" s="291"/>
      <c r="Y31" s="291"/>
    </row>
    <row r="32" spans="1:25" ht="18" customHeight="1">
      <c r="A32" s="180"/>
      <c r="B32" s="5"/>
      <c r="C32" s="47" t="s">
        <v>730</v>
      </c>
      <c r="D32" s="14"/>
      <c r="E32" s="14"/>
      <c r="F32" s="14"/>
      <c r="G32" s="14"/>
      <c r="H32" s="291"/>
      <c r="I32" s="120"/>
      <c r="J32" s="291"/>
      <c r="K32" s="291"/>
      <c r="L32" s="14"/>
      <c r="M32" s="14"/>
      <c r="N32" s="14"/>
      <c r="O32" s="14"/>
      <c r="P32" s="14"/>
      <c r="Q32" s="120" t="s">
        <v>731</v>
      </c>
      <c r="R32" s="102" t="s">
        <v>138</v>
      </c>
      <c r="S32" s="638">
        <v>50</v>
      </c>
      <c r="T32" s="638"/>
      <c r="U32" s="47"/>
      <c r="V32" s="197"/>
    </row>
    <row r="33" spans="1:29" ht="18" customHeight="1">
      <c r="A33" s="311"/>
      <c r="B33" s="291"/>
      <c r="C33" s="47"/>
      <c r="D33" s="14"/>
      <c r="E33" s="14"/>
      <c r="F33" s="14"/>
      <c r="G33" s="14"/>
      <c r="H33" s="291"/>
      <c r="I33" s="120"/>
      <c r="J33" s="291"/>
      <c r="K33" s="291"/>
      <c r="L33" s="14"/>
      <c r="M33" s="14"/>
      <c r="N33" s="291"/>
      <c r="O33" s="291"/>
      <c r="P33" s="14"/>
      <c r="Q33" s="120"/>
      <c r="R33" s="14"/>
      <c r="S33" s="291"/>
      <c r="T33" s="291"/>
      <c r="U33" s="291"/>
      <c r="V33" s="312"/>
      <c r="W33" s="291"/>
      <c r="X33" s="291"/>
      <c r="Y33" s="291"/>
    </row>
    <row r="34" spans="1:29" ht="18" customHeight="1">
      <c r="A34" s="196"/>
      <c r="C34" s="18" t="s">
        <v>732</v>
      </c>
      <c r="D34" s="14"/>
      <c r="E34" s="14"/>
      <c r="F34" s="14"/>
      <c r="G34" s="14"/>
      <c r="H34" s="14"/>
      <c r="I34" s="14"/>
      <c r="J34" s="14"/>
      <c r="K34" s="14"/>
      <c r="L34" s="14"/>
      <c r="M34" s="14"/>
      <c r="N34" s="14"/>
      <c r="O34" s="14"/>
      <c r="P34" s="14"/>
      <c r="Q34" s="14"/>
      <c r="R34" s="14"/>
      <c r="S34" s="14"/>
      <c r="T34" s="14"/>
      <c r="U34" s="14"/>
      <c r="V34" s="197"/>
    </row>
    <row r="35" spans="1:29" ht="18" customHeight="1">
      <c r="A35" s="196"/>
      <c r="C35" s="28"/>
      <c r="D35" s="47" t="s">
        <v>733</v>
      </c>
      <c r="E35" s="28"/>
      <c r="F35" s="28"/>
      <c r="G35" s="28"/>
      <c r="H35" s="14"/>
      <c r="I35" s="14"/>
      <c r="J35" s="28"/>
      <c r="K35" s="28"/>
      <c r="L35" s="28"/>
      <c r="M35" s="28"/>
      <c r="N35" s="47"/>
      <c r="O35" s="28"/>
      <c r="V35" s="197"/>
    </row>
    <row r="36" spans="1:29" ht="18" customHeight="1">
      <c r="A36" s="196"/>
      <c r="D36" s="27"/>
      <c r="E36" s="27"/>
      <c r="F36" s="27"/>
      <c r="G36" s="27"/>
      <c r="I36" s="638" t="s">
        <v>734</v>
      </c>
      <c r="J36" s="638" t="s">
        <v>138</v>
      </c>
      <c r="K36" s="881" t="s">
        <v>725</v>
      </c>
      <c r="L36" s="881"/>
      <c r="M36" s="27"/>
      <c r="N36" s="308"/>
      <c r="O36" s="234"/>
      <c r="V36" s="197"/>
    </row>
    <row r="37" spans="1:29" ht="18" customHeight="1">
      <c r="A37" s="196"/>
      <c r="D37" s="27"/>
      <c r="G37" s="27"/>
      <c r="I37" s="638"/>
      <c r="J37" s="638"/>
      <c r="K37" s="991" t="s">
        <v>735</v>
      </c>
      <c r="L37" s="991"/>
      <c r="V37" s="197"/>
    </row>
    <row r="38" spans="1:29" ht="18" customHeight="1">
      <c r="A38" s="196"/>
      <c r="C38" s="18" t="s">
        <v>736</v>
      </c>
      <c r="D38" s="27"/>
      <c r="G38" s="27"/>
      <c r="I38" s="28"/>
      <c r="J38" s="28"/>
      <c r="K38" s="102"/>
      <c r="L38" s="102"/>
      <c r="V38" s="197"/>
    </row>
    <row r="39" spans="1:29" ht="18" customHeight="1">
      <c r="A39" s="196"/>
      <c r="D39" s="385" t="s">
        <v>737</v>
      </c>
      <c r="E39" s="14"/>
      <c r="F39" s="14"/>
      <c r="G39" s="280"/>
      <c r="K39" s="102"/>
      <c r="L39" s="102"/>
      <c r="V39" s="197"/>
    </row>
    <row r="40" spans="1:29" ht="18" customHeight="1">
      <c r="A40" s="196"/>
      <c r="D40" s="7" t="s">
        <v>738</v>
      </c>
      <c r="E40" s="47"/>
      <c r="F40" s="14"/>
      <c r="G40" s="280"/>
      <c r="K40" s="102"/>
      <c r="L40" s="102"/>
      <c r="V40" s="197"/>
    </row>
    <row r="41" spans="1:29" ht="18" customHeight="1">
      <c r="A41" s="196"/>
      <c r="B41" s="14" t="s">
        <v>739</v>
      </c>
      <c r="D41" s="14" t="s">
        <v>740</v>
      </c>
      <c r="G41" s="27"/>
      <c r="I41" s="28"/>
      <c r="J41" s="28"/>
      <c r="K41" s="102"/>
      <c r="L41" s="102"/>
      <c r="V41" s="197"/>
    </row>
    <row r="42" spans="1:29" ht="18" customHeight="1">
      <c r="A42" s="196"/>
      <c r="D42" s="7" t="s">
        <v>741</v>
      </c>
      <c r="G42" s="27"/>
      <c r="I42" s="28"/>
      <c r="J42" s="28"/>
      <c r="K42" s="102"/>
      <c r="L42" s="102"/>
      <c r="V42" s="197"/>
    </row>
    <row r="43" spans="1:29" ht="18" customHeight="1">
      <c r="A43" s="196"/>
      <c r="D43" s="7" t="s">
        <v>742</v>
      </c>
      <c r="G43" s="27"/>
      <c r="I43" s="28"/>
      <c r="J43" s="28"/>
      <c r="K43" s="102"/>
      <c r="L43" s="102"/>
      <c r="V43" s="197"/>
    </row>
    <row r="44" spans="1:29" ht="18" customHeight="1">
      <c r="A44" s="196"/>
      <c r="D44" s="27"/>
      <c r="G44" s="27"/>
      <c r="I44" s="28"/>
      <c r="J44" s="28"/>
      <c r="K44" s="102"/>
      <c r="L44" s="102"/>
      <c r="V44" s="197"/>
    </row>
    <row r="45" spans="1:29" ht="18" customHeight="1">
      <c r="A45" s="196"/>
      <c r="V45" s="197"/>
      <c r="AB45" s="14" t="s">
        <v>140</v>
      </c>
      <c r="AC45" s="14" t="s">
        <v>743</v>
      </c>
    </row>
    <row r="46" spans="1:29"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9"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9" ht="18" customHeight="1">
      <c r="A48" s="96"/>
      <c r="B48" s="7" t="s">
        <v>744</v>
      </c>
      <c r="C48" s="7"/>
      <c r="D48" s="14"/>
      <c r="E48" s="7"/>
      <c r="F48" s="7"/>
      <c r="L48" s="27"/>
      <c r="O48" s="27"/>
      <c r="P48" s="27"/>
      <c r="Q48" s="28"/>
      <c r="T48" s="14"/>
      <c r="U48" s="14"/>
      <c r="V48" s="197"/>
    </row>
    <row r="49" spans="1:22" ht="18" customHeight="1">
      <c r="A49" s="96"/>
      <c r="B49" s="14"/>
      <c r="C49" s="7"/>
      <c r="D49" s="7"/>
      <c r="E49" s="14"/>
      <c r="F49" s="7"/>
      <c r="L49" s="27"/>
      <c r="M49" s="14"/>
      <c r="O49" s="14"/>
      <c r="P49" s="14"/>
      <c r="Q49" s="14"/>
      <c r="R49" s="14"/>
      <c r="S49" s="14"/>
      <c r="T49" s="14"/>
      <c r="U49" s="14"/>
      <c r="V49" s="197"/>
    </row>
    <row r="50" spans="1:22" ht="18" customHeight="1">
      <c r="A50" s="96"/>
      <c r="B50" s="14"/>
      <c r="C50" s="120" t="s">
        <v>745</v>
      </c>
      <c r="D50" s="28" t="s">
        <v>138</v>
      </c>
      <c r="E50" s="861">
        <f>S25</f>
        <v>40000</v>
      </c>
      <c r="F50" s="861"/>
      <c r="G50" s="14"/>
      <c r="H50" s="14"/>
      <c r="I50" s="102"/>
      <c r="J50" s="47"/>
      <c r="K50" s="47"/>
      <c r="L50" s="14"/>
      <c r="M50" s="14"/>
      <c r="N50" s="14"/>
      <c r="O50" s="14"/>
      <c r="P50" s="14"/>
      <c r="Q50" s="14"/>
      <c r="R50" s="14"/>
      <c r="S50" s="14"/>
      <c r="T50" s="14"/>
      <c r="U50" s="14"/>
      <c r="V50" s="197"/>
    </row>
    <row r="51" spans="1:22" ht="18" customHeight="1">
      <c r="A51" s="96"/>
      <c r="B51" s="14"/>
      <c r="C51" s="120"/>
      <c r="D51" s="28"/>
      <c r="E51" s="860" t="str">
        <f>"5 x "&amp;S26&amp;""</f>
        <v>5 x 2500</v>
      </c>
      <c r="F51" s="860"/>
      <c r="G51" s="28"/>
      <c r="H51" s="269"/>
      <c r="K51" s="28"/>
      <c r="L51" s="230"/>
      <c r="M51" s="269"/>
      <c r="O51" s="14"/>
      <c r="P51" s="14"/>
      <c r="Q51" s="14"/>
      <c r="R51" s="14"/>
      <c r="S51" s="14"/>
      <c r="T51" s="14"/>
      <c r="U51" s="14"/>
      <c r="V51" s="197"/>
    </row>
    <row r="52" spans="1:22" ht="18" customHeight="1">
      <c r="A52" s="196"/>
      <c r="J52" s="14"/>
      <c r="K52" s="269"/>
      <c r="M52" s="14"/>
      <c r="N52" s="14"/>
      <c r="O52" s="14"/>
      <c r="P52" s="14"/>
      <c r="Q52" s="14"/>
      <c r="R52" s="14"/>
      <c r="S52" s="14"/>
      <c r="T52" s="14"/>
      <c r="U52" s="14"/>
      <c r="V52" s="197"/>
    </row>
    <row r="53" spans="1:22" ht="18" customHeight="1">
      <c r="A53" s="96"/>
      <c r="C53" s="471" t="s">
        <v>745</v>
      </c>
      <c r="D53" s="194" t="s">
        <v>138</v>
      </c>
      <c r="E53" s="990">
        <f>S25/5/S26</f>
        <v>3.2</v>
      </c>
      <c r="F53" s="648"/>
      <c r="G53" s="27"/>
      <c r="H53" s="27"/>
      <c r="I53" s="27"/>
      <c r="J53" s="120"/>
      <c r="K53" s="28"/>
      <c r="L53" s="120"/>
      <c r="M53" s="28"/>
      <c r="N53" s="120"/>
      <c r="O53" s="28"/>
      <c r="P53" s="120"/>
      <c r="Q53" s="308"/>
      <c r="V53" s="197"/>
    </row>
    <row r="54" spans="1:22" ht="18" customHeight="1">
      <c r="A54" s="96"/>
      <c r="C54" s="120"/>
      <c r="D54" s="28"/>
      <c r="E54" s="230"/>
      <c r="F54" s="230"/>
      <c r="G54" s="27"/>
      <c r="H54" s="27"/>
      <c r="I54" s="27"/>
      <c r="J54" s="120"/>
      <c r="K54" s="28"/>
      <c r="L54" s="120"/>
      <c r="M54" s="28"/>
      <c r="N54" s="120"/>
      <c r="O54" s="28"/>
      <c r="P54" s="120"/>
      <c r="Q54" s="308"/>
      <c r="V54" s="197"/>
    </row>
    <row r="55" spans="1:22" ht="18" customHeight="1">
      <c r="A55" s="96"/>
      <c r="B55" s="14" t="s">
        <v>746</v>
      </c>
      <c r="C55" s="14"/>
      <c r="D55" s="14"/>
      <c r="E55" s="7"/>
      <c r="F55" s="102"/>
      <c r="G55" s="7"/>
      <c r="H55" s="7"/>
      <c r="I55" s="251"/>
      <c r="J55" s="120"/>
      <c r="K55" s="28"/>
      <c r="L55" s="120"/>
      <c r="M55" s="28"/>
      <c r="N55" s="120"/>
      <c r="O55" s="28"/>
      <c r="P55" s="120"/>
      <c r="Q55" s="308"/>
      <c r="V55" s="197"/>
    </row>
    <row r="56" spans="1:22" ht="18" customHeight="1">
      <c r="A56" s="96"/>
      <c r="C56" s="14"/>
      <c r="D56" s="14"/>
      <c r="E56" s="638" t="s">
        <v>747</v>
      </c>
      <c r="F56" s="638">
        <v>1</v>
      </c>
      <c r="G56" s="638"/>
      <c r="H56" s="638" t="s">
        <v>323</v>
      </c>
      <c r="I56" s="472" t="s">
        <v>323</v>
      </c>
      <c r="J56" s="120"/>
      <c r="K56" s="28"/>
      <c r="L56" s="120"/>
      <c r="M56" s="28"/>
      <c r="N56" s="120"/>
      <c r="O56" s="28"/>
      <c r="P56" s="120"/>
      <c r="Q56" s="308"/>
      <c r="V56" s="197"/>
    </row>
    <row r="57" spans="1:22" ht="18" customHeight="1">
      <c r="A57" s="96"/>
      <c r="C57" s="14"/>
      <c r="D57" s="14"/>
      <c r="E57" s="985"/>
      <c r="F57" s="285"/>
      <c r="G57" s="286" t="s">
        <v>748</v>
      </c>
      <c r="H57" s="638"/>
      <c r="I57" s="14" t="s">
        <v>152</v>
      </c>
      <c r="J57" s="120"/>
      <c r="K57" s="28"/>
      <c r="L57" s="120"/>
      <c r="M57" s="28"/>
      <c r="N57" s="120"/>
      <c r="O57" s="28"/>
      <c r="P57" s="120"/>
      <c r="Q57" s="308"/>
      <c r="V57" s="197"/>
    </row>
    <row r="58" spans="1:22" ht="18" customHeight="1">
      <c r="A58" s="96"/>
      <c r="C58" s="120"/>
      <c r="D58" s="28"/>
      <c r="E58" s="230"/>
      <c r="F58" s="230"/>
      <c r="G58" s="27"/>
      <c r="H58" s="27"/>
      <c r="I58" s="27"/>
      <c r="J58" s="120"/>
      <c r="K58" s="28"/>
      <c r="L58" s="120"/>
      <c r="M58" s="28"/>
      <c r="N58" s="120"/>
      <c r="O58" s="28"/>
      <c r="P58" s="120"/>
      <c r="Q58" s="308"/>
      <c r="V58" s="197"/>
    </row>
    <row r="59" spans="1:22" ht="18" customHeight="1">
      <c r="A59" s="96"/>
      <c r="C59" s="120"/>
      <c r="F59" s="661">
        <v>1</v>
      </c>
      <c r="G59" s="661"/>
      <c r="H59" s="661"/>
      <c r="I59" s="27"/>
      <c r="J59" s="638" t="s">
        <v>326</v>
      </c>
      <c r="K59" s="987">
        <v>15</v>
      </c>
      <c r="L59" s="120"/>
      <c r="M59" s="28"/>
      <c r="N59" s="120"/>
      <c r="O59" s="28"/>
      <c r="P59" s="120"/>
      <c r="Q59" s="308"/>
      <c r="V59" s="197"/>
    </row>
    <row r="60" spans="1:22" ht="18" customHeight="1">
      <c r="A60" s="96"/>
      <c r="C60" s="120"/>
      <c r="D60" s="120" t="s">
        <v>749</v>
      </c>
      <c r="E60" s="102" t="s">
        <v>138</v>
      </c>
      <c r="F60" s="30" t="s">
        <v>750</v>
      </c>
      <c r="I60" s="27"/>
      <c r="J60" s="639"/>
      <c r="K60" s="986"/>
      <c r="L60" s="120"/>
      <c r="M60" s="28"/>
      <c r="N60" s="120"/>
      <c r="O60" s="28"/>
      <c r="P60" s="120"/>
      <c r="Q60" s="308"/>
      <c r="V60" s="197"/>
    </row>
    <row r="61" spans="1:22" ht="18" customHeight="1">
      <c r="A61" s="96"/>
      <c r="C61" s="28"/>
      <c r="D61" s="230"/>
      <c r="E61" s="230"/>
      <c r="F61" s="230"/>
      <c r="G61" s="230"/>
      <c r="H61" s="230"/>
      <c r="I61" s="230"/>
      <c r="J61" s="230"/>
      <c r="K61" s="230"/>
      <c r="L61" s="230"/>
      <c r="M61" s="28"/>
      <c r="N61" s="120"/>
      <c r="O61" s="28"/>
      <c r="P61" s="120"/>
      <c r="Q61" s="308"/>
      <c r="V61" s="197"/>
    </row>
    <row r="62" spans="1:22" ht="18" customHeight="1">
      <c r="A62" s="96"/>
      <c r="C62" s="120"/>
      <c r="D62" s="28"/>
      <c r="E62" s="230" t="s">
        <v>138</v>
      </c>
      <c r="F62" s="988">
        <f>1*K59/(2*3.14*50)</f>
        <v>4.7770700636942678E-2</v>
      </c>
      <c r="G62" s="988"/>
      <c r="H62" s="28" t="s">
        <v>751</v>
      </c>
      <c r="I62" s="27"/>
      <c r="J62" s="120"/>
      <c r="K62" s="28"/>
      <c r="L62" s="120"/>
      <c r="M62" s="28"/>
      <c r="N62" s="120"/>
      <c r="O62" s="28"/>
      <c r="P62" s="120"/>
      <c r="Q62" s="308"/>
      <c r="V62" s="197"/>
    </row>
    <row r="63" spans="1:22" ht="18" customHeight="1">
      <c r="A63" s="96"/>
      <c r="C63" s="120"/>
      <c r="D63" s="120" t="s">
        <v>749</v>
      </c>
      <c r="E63" s="230" t="s">
        <v>138</v>
      </c>
      <c r="F63" s="989">
        <f>F62*1000</f>
        <v>47.770700636942678</v>
      </c>
      <c r="G63" s="989"/>
      <c r="H63" s="28" t="s">
        <v>354</v>
      </c>
      <c r="I63" s="27"/>
      <c r="J63" s="120"/>
      <c r="K63" s="28"/>
      <c r="L63" s="120"/>
      <c r="M63" s="28"/>
      <c r="N63" s="120"/>
      <c r="O63" s="28"/>
      <c r="P63" s="120"/>
      <c r="Q63" s="308"/>
      <c r="V63" s="197"/>
    </row>
    <row r="64" spans="1:22" ht="18" customHeight="1">
      <c r="A64" s="196"/>
      <c r="G64" s="27"/>
      <c r="H64" s="257"/>
      <c r="I64" s="257"/>
      <c r="J64" s="473"/>
      <c r="K64" s="257"/>
      <c r="L64" s="473"/>
      <c r="M64" s="257"/>
      <c r="N64" s="473"/>
      <c r="O64" s="257"/>
      <c r="P64" s="473"/>
      <c r="Q64" s="474"/>
      <c r="V64" s="197"/>
    </row>
    <row r="65" spans="1:22" ht="18" customHeight="1">
      <c r="A65" s="196"/>
      <c r="B65" s="14" t="s">
        <v>752</v>
      </c>
      <c r="E65" s="28" t="s">
        <v>138</v>
      </c>
      <c r="F65" s="27">
        <v>10</v>
      </c>
      <c r="G65" s="27"/>
      <c r="H65" s="257"/>
      <c r="I65" s="257"/>
      <c r="J65" s="473"/>
      <c r="K65" s="257"/>
      <c r="L65" s="473"/>
      <c r="M65" s="257"/>
      <c r="N65" s="473"/>
      <c r="O65" s="257"/>
      <c r="P65" s="473"/>
      <c r="Q65" s="474"/>
      <c r="V65" s="197"/>
    </row>
    <row r="66" spans="1:22" ht="18" customHeight="1">
      <c r="A66" s="196"/>
      <c r="G66" s="27"/>
      <c r="H66" s="257"/>
      <c r="I66" s="257"/>
      <c r="J66" s="473"/>
      <c r="K66" s="257"/>
      <c r="L66" s="473"/>
      <c r="M66" s="257"/>
      <c r="N66" s="473"/>
      <c r="O66" s="257"/>
      <c r="P66" s="473"/>
      <c r="Q66" s="474"/>
      <c r="V66" s="197"/>
    </row>
    <row r="67" spans="1:22" ht="18" customHeight="1">
      <c r="A67" s="196"/>
      <c r="B67" s="7" t="s">
        <v>753</v>
      </c>
      <c r="F67" s="7"/>
      <c r="G67" s="7"/>
      <c r="H67" s="216"/>
      <c r="I67" s="216"/>
      <c r="V67" s="197"/>
    </row>
    <row r="68" spans="1:22" ht="17.399999999999999" customHeight="1">
      <c r="A68" s="196"/>
      <c r="B68" s="7"/>
      <c r="E68" s="30" t="s">
        <v>754</v>
      </c>
      <c r="F68" s="7"/>
      <c r="G68" s="7"/>
      <c r="V68" s="197"/>
    </row>
    <row r="69" spans="1:22" ht="17.399999999999999" customHeight="1">
      <c r="A69" s="196"/>
      <c r="B69" s="7"/>
      <c r="E69" s="14"/>
      <c r="F69" s="7"/>
      <c r="G69" s="7"/>
      <c r="V69" s="197"/>
    </row>
    <row r="70" spans="1:22" ht="17.399999999999999" customHeight="1">
      <c r="A70" s="196"/>
      <c r="B70" s="14" t="s">
        <v>755</v>
      </c>
      <c r="C70" s="14"/>
      <c r="D70" s="14"/>
      <c r="E70" s="14"/>
      <c r="F70" s="14"/>
      <c r="G70" s="120"/>
      <c r="H70" s="120"/>
      <c r="V70" s="197"/>
    </row>
    <row r="71" spans="1:22" ht="17.399999999999999" customHeight="1">
      <c r="A71" s="196"/>
      <c r="B71" s="14"/>
      <c r="C71" s="120" t="s">
        <v>756</v>
      </c>
      <c r="D71" s="28" t="s">
        <v>138</v>
      </c>
      <c r="E71" s="28">
        <v>10</v>
      </c>
      <c r="F71" s="14"/>
      <c r="G71" s="47" t="s">
        <v>757</v>
      </c>
      <c r="H71" s="120"/>
      <c r="V71" s="197"/>
    </row>
    <row r="72" spans="1:22" ht="17.399999999999999" customHeight="1">
      <c r="A72" s="196"/>
      <c r="B72" s="7"/>
      <c r="E72" s="14"/>
      <c r="F72" s="7"/>
      <c r="G72" s="7"/>
      <c r="V72" s="197"/>
    </row>
    <row r="73" spans="1:22" ht="17.399999999999999" customHeight="1">
      <c r="A73" s="196"/>
      <c r="B73" s="47" t="s">
        <v>758</v>
      </c>
      <c r="E73" s="14"/>
      <c r="F73" s="7"/>
      <c r="G73" s="7"/>
      <c r="V73" s="197"/>
    </row>
    <row r="74" spans="1:22" ht="17.399999999999999" customHeight="1">
      <c r="A74" s="196"/>
      <c r="B74" s="47" t="s">
        <v>759</v>
      </c>
      <c r="E74" s="14"/>
      <c r="F74" s="7"/>
      <c r="G74" s="7"/>
      <c r="V74" s="197"/>
    </row>
    <row r="75" spans="1:22" ht="17.399999999999999" customHeight="1" thickBot="1">
      <c r="A75" s="196"/>
      <c r="B75" s="102" t="s">
        <v>138</v>
      </c>
      <c r="C75" s="120">
        <f>E71</f>
        <v>10</v>
      </c>
      <c r="D75" s="28" t="s">
        <v>326</v>
      </c>
      <c r="E75" s="28" t="s">
        <v>430</v>
      </c>
      <c r="F75" s="641">
        <f>S29</f>
        <v>5</v>
      </c>
      <c r="G75" s="641"/>
      <c r="H75" s="102" t="s">
        <v>358</v>
      </c>
      <c r="I75" s="230">
        <f>S30</f>
        <v>1.45186744</v>
      </c>
      <c r="J75" s="252" t="s">
        <v>358</v>
      </c>
      <c r="K75" s="293">
        <f>J18</f>
        <v>0.01</v>
      </c>
      <c r="L75" s="14" t="s">
        <v>361</v>
      </c>
      <c r="M75" s="14" t="s">
        <v>326</v>
      </c>
      <c r="N75" s="28">
        <v>1</v>
      </c>
      <c r="V75" s="197"/>
    </row>
    <row r="76" spans="1:22" ht="17.399999999999999" customHeight="1" thickBot="1">
      <c r="A76" s="196"/>
      <c r="B76" s="475" t="s">
        <v>539</v>
      </c>
      <c r="C76" s="476" t="s">
        <v>138</v>
      </c>
      <c r="D76" s="477">
        <f>C75*(F75+I75+K75)*N75</f>
        <v>64.618674400000003</v>
      </c>
      <c r="E76" s="14" t="s">
        <v>316</v>
      </c>
      <c r="F76" s="7"/>
      <c r="G76" s="7"/>
      <c r="V76" s="197"/>
    </row>
    <row r="77" spans="1:22" ht="17.399999999999999" customHeight="1">
      <c r="A77" s="196"/>
      <c r="B77" s="7"/>
      <c r="E77" s="14"/>
      <c r="F77" s="7"/>
      <c r="G77" s="7"/>
      <c r="V77" s="197"/>
    </row>
    <row r="78" spans="1:22" ht="17.399999999999999" customHeight="1">
      <c r="A78" s="196"/>
      <c r="B78" s="47" t="s">
        <v>760</v>
      </c>
      <c r="E78" s="14"/>
      <c r="F78" s="7"/>
      <c r="G78" s="7"/>
      <c r="J78" s="14" t="s">
        <v>761</v>
      </c>
      <c r="L78" s="28" t="s">
        <v>487</v>
      </c>
      <c r="N78" s="14" t="s">
        <v>762</v>
      </c>
      <c r="V78" s="197"/>
    </row>
    <row r="79" spans="1:22" ht="17.399999999999999" customHeight="1">
      <c r="A79" s="196"/>
      <c r="B79" s="7"/>
      <c r="E79" s="14"/>
      <c r="F79" s="7"/>
      <c r="G79" s="7"/>
      <c r="L79" s="28" t="s">
        <v>138</v>
      </c>
      <c r="N79" s="986">
        <f>0.8*D76</f>
        <v>51.694939520000005</v>
      </c>
      <c r="O79" s="986"/>
      <c r="V79" s="197"/>
    </row>
    <row r="80" spans="1:22" ht="17.399999999999999" customHeight="1">
      <c r="A80" s="196"/>
      <c r="B80" s="7"/>
      <c r="E80" s="14"/>
      <c r="F80" s="14" t="s">
        <v>763</v>
      </c>
      <c r="G80" s="7"/>
      <c r="L80" s="28" t="s">
        <v>138</v>
      </c>
      <c r="N80" s="960">
        <f>N79*1.2</f>
        <v>62.033927424000005</v>
      </c>
      <c r="O80" s="960"/>
      <c r="V80" s="197"/>
    </row>
    <row r="81" spans="1:23" ht="17.399999999999999" customHeight="1">
      <c r="A81" s="196"/>
      <c r="K81" s="211" t="s">
        <v>486</v>
      </c>
      <c r="L81" s="28" t="str">
        <f>IF(I82&gt;M82,"&gt;","&lt;")</f>
        <v>&gt;</v>
      </c>
      <c r="M81" s="269" t="s">
        <v>488</v>
      </c>
      <c r="O81" s="18"/>
      <c r="P81" s="280"/>
      <c r="V81" s="197"/>
    </row>
    <row r="82" spans="1:23" ht="17.399999999999999" customHeight="1">
      <c r="A82" s="196"/>
      <c r="I82" s="637">
        <f>S28</f>
        <v>750</v>
      </c>
      <c r="J82" s="637"/>
      <c r="K82" s="27"/>
      <c r="L82" s="27" t="str">
        <f>IF(I82&gt;=M82,"&gt;","&lt;")</f>
        <v>&gt;</v>
      </c>
      <c r="M82" s="637">
        <f>N80</f>
        <v>62.033927424000005</v>
      </c>
      <c r="N82" s="637"/>
      <c r="P82" s="280"/>
      <c r="V82" s="197"/>
    </row>
    <row r="83" spans="1:23" ht="17.399999999999999" customHeight="1">
      <c r="A83" s="196"/>
      <c r="K83" s="256" t="s">
        <v>489</v>
      </c>
      <c r="M83" s="18" t="str">
        <f>IF(I82&gt;M82,"Suitable Dimensions","Under Dimensioned")</f>
        <v>Suitable Dimensions</v>
      </c>
      <c r="V83" s="197"/>
    </row>
    <row r="84" spans="1:23" ht="17.399999999999999" customHeight="1">
      <c r="A84" s="196"/>
      <c r="K84" s="256"/>
      <c r="M84" s="18"/>
      <c r="V84" s="197"/>
    </row>
    <row r="85" spans="1:23" ht="17.399999999999999" customHeight="1">
      <c r="A85" s="196"/>
      <c r="K85" s="256"/>
      <c r="M85" s="18"/>
      <c r="V85" s="197"/>
    </row>
    <row r="86" spans="1:23" ht="17.399999999999999" customHeight="1">
      <c r="A86" s="196"/>
      <c r="K86" s="256"/>
      <c r="M86" s="18"/>
      <c r="V86" s="197"/>
    </row>
    <row r="87" spans="1:23" ht="17.399999999999999" customHeight="1">
      <c r="A87" s="196"/>
      <c r="B87" s="7"/>
      <c r="E87" s="14"/>
      <c r="F87" s="7"/>
      <c r="G87" s="7"/>
      <c r="V87" s="197"/>
    </row>
    <row r="88" spans="1:23" s="14" customFormat="1" ht="15.6" customHeight="1">
      <c r="A88" s="206"/>
      <c r="B88" s="207"/>
      <c r="C88" s="207"/>
      <c r="D88" s="207"/>
      <c r="E88" s="207"/>
      <c r="F88" s="207"/>
      <c r="G88" s="207"/>
      <c r="H88" s="207"/>
      <c r="I88" s="207"/>
      <c r="J88" s="207"/>
      <c r="K88" s="207"/>
      <c r="L88" s="207"/>
      <c r="M88" s="207"/>
      <c r="N88" s="207"/>
      <c r="O88" s="207"/>
      <c r="P88" s="207"/>
      <c r="Q88" s="236"/>
      <c r="R88" s="194"/>
      <c r="S88" s="237"/>
      <c r="T88" s="207"/>
      <c r="U88" s="207"/>
      <c r="V88" s="140"/>
    </row>
    <row r="89" spans="1:23" ht="18" hidden="1" customHeight="1">
      <c r="A89" s="238"/>
      <c r="B89" s="239"/>
      <c r="C89" s="239"/>
      <c r="D89" s="239"/>
      <c r="E89" s="239"/>
      <c r="F89" s="239"/>
      <c r="G89" s="239"/>
      <c r="H89" s="239"/>
      <c r="I89" s="239"/>
      <c r="J89" s="239"/>
      <c r="K89" s="239"/>
      <c r="L89" s="239"/>
      <c r="M89" s="239"/>
      <c r="N89" s="239"/>
      <c r="O89" s="239"/>
      <c r="P89" s="239"/>
      <c r="Q89" s="239"/>
      <c r="R89" s="239"/>
      <c r="S89" s="239"/>
      <c r="T89" s="239"/>
      <c r="U89" s="239"/>
      <c r="V89" s="240"/>
    </row>
    <row r="90" spans="1:23" ht="18" hidden="1" customHeight="1">
      <c r="A90" s="196"/>
      <c r="B90" s="667" t="str">
        <f>B7</f>
        <v>T1</v>
      </c>
      <c r="C90" s="668"/>
      <c r="D90" s="679" t="str">
        <f>D7</f>
        <v>Core3</v>
      </c>
      <c r="E90" s="994"/>
      <c r="F90" s="468"/>
      <c r="H90" s="639" t="str">
        <f>H7</f>
        <v>(Low Imp. Busbar)</v>
      </c>
      <c r="I90" s="639"/>
      <c r="J90" s="639"/>
      <c r="K90" s="639"/>
      <c r="L90" s="639"/>
      <c r="M90" s="639"/>
      <c r="P90" s="198"/>
      <c r="S90" s="199" t="s">
        <v>398</v>
      </c>
      <c r="T90" s="667" t="str">
        <f>T7</f>
        <v>REB500</v>
      </c>
      <c r="U90" s="668"/>
      <c r="V90" s="197"/>
    </row>
    <row r="91" spans="1:23" ht="18" hidden="1" customHeight="1">
      <c r="A91" s="469"/>
      <c r="F91" s="468"/>
      <c r="T91" s="992">
        <f>T8</f>
        <v>0</v>
      </c>
      <c r="U91" s="993"/>
      <c r="V91" s="197"/>
    </row>
    <row r="92" spans="1:23" ht="18" hidden="1" customHeight="1">
      <c r="A92" s="196"/>
      <c r="H92" s="661" t="s">
        <v>401</v>
      </c>
      <c r="I92" s="661"/>
      <c r="J92" s="662" t="s">
        <v>402</v>
      </c>
      <c r="K92" s="662"/>
      <c r="L92" s="701" t="s">
        <v>403</v>
      </c>
      <c r="M92" s="701"/>
      <c r="T92" s="992">
        <f>T9</f>
        <v>0</v>
      </c>
      <c r="U92" s="993"/>
      <c r="V92" s="197"/>
    </row>
    <row r="93" spans="1:23" ht="18" hidden="1" customHeight="1">
      <c r="A93" s="196"/>
      <c r="B93" s="47" t="s">
        <v>404</v>
      </c>
      <c r="H93" s="667">
        <f>H10</f>
        <v>2500</v>
      </c>
      <c r="I93" s="668"/>
      <c r="J93" s="667" t="str">
        <f>J10</f>
        <v>-</v>
      </c>
      <c r="K93" s="668"/>
      <c r="L93" s="667" t="str">
        <f>L10</f>
        <v>-</v>
      </c>
      <c r="M93" s="668"/>
      <c r="N93" s="203" t="s">
        <v>353</v>
      </c>
      <c r="O93" s="501">
        <f>O10</f>
        <v>1</v>
      </c>
      <c r="P93" s="27" t="s">
        <v>9</v>
      </c>
      <c r="R93" s="267"/>
      <c r="S93" s="267"/>
      <c r="V93" s="197"/>
    </row>
    <row r="94" spans="1:23" ht="18" hidden="1" customHeight="1">
      <c r="A94" s="196"/>
      <c r="B94" s="47" t="s">
        <v>405</v>
      </c>
      <c r="H94" s="14"/>
      <c r="I94" s="14"/>
      <c r="J94" s="667" t="str">
        <f>H11</f>
        <v>PX - B</v>
      </c>
      <c r="K94" s="668"/>
      <c r="L94" s="14"/>
      <c r="M94" s="14"/>
      <c r="V94" s="197"/>
    </row>
    <row r="95" spans="1:23" ht="18" hidden="1" customHeight="1">
      <c r="A95" s="196"/>
      <c r="B95" s="47" t="s">
        <v>407</v>
      </c>
      <c r="I95" s="120" t="s">
        <v>508</v>
      </c>
      <c r="J95" s="656">
        <v>9.3000000000000007</v>
      </c>
      <c r="K95" s="657"/>
      <c r="L95" s="204" t="s">
        <v>344</v>
      </c>
      <c r="V95" s="197"/>
    </row>
    <row r="96" spans="1:23" ht="18" hidden="1" customHeight="1">
      <c r="A96" s="196"/>
      <c r="B96" s="47" t="s">
        <v>409</v>
      </c>
      <c r="I96" s="120" t="s">
        <v>509</v>
      </c>
      <c r="J96" s="656">
        <v>500</v>
      </c>
      <c r="K96" s="657"/>
      <c r="L96" s="14" t="s">
        <v>316</v>
      </c>
      <c r="T96" s="307"/>
      <c r="U96" s="18"/>
      <c r="V96" s="197"/>
      <c r="W96" s="30" t="str">
        <f>M163</f>
        <v>Required Vk</v>
      </c>
    </row>
    <row r="97" spans="1:22" ht="18" hidden="1" customHeight="1">
      <c r="A97" s="196"/>
      <c r="B97" s="14" t="s">
        <v>412</v>
      </c>
      <c r="I97" s="120" t="s">
        <v>413</v>
      </c>
      <c r="J97" s="656">
        <v>60</v>
      </c>
      <c r="K97" s="657"/>
      <c r="L97" s="14" t="s">
        <v>414</v>
      </c>
      <c r="V97" s="197"/>
    </row>
    <row r="98" spans="1:22" ht="18" hidden="1" customHeight="1">
      <c r="A98" s="196"/>
      <c r="V98" s="197"/>
    </row>
    <row r="99" spans="1:22" ht="18" hidden="1" customHeight="1">
      <c r="A99" s="205" t="s">
        <v>415</v>
      </c>
      <c r="V99" s="197"/>
    </row>
    <row r="100" spans="1:22" ht="18" hidden="1" customHeight="1">
      <c r="A100" s="196"/>
      <c r="V100" s="197"/>
    </row>
    <row r="101" spans="1:22" ht="18" hidden="1" customHeight="1">
      <c r="A101" s="196"/>
      <c r="B101" s="141" t="s">
        <v>416</v>
      </c>
      <c r="C101" s="285"/>
      <c r="D101" s="146" t="str">
        <f>T90</f>
        <v>REB500</v>
      </c>
      <c r="E101" s="239"/>
      <c r="F101" s="239"/>
      <c r="G101" s="239"/>
      <c r="H101" s="145"/>
      <c r="I101" s="272" t="s">
        <v>138</v>
      </c>
      <c r="J101" s="648">
        <f>J18</f>
        <v>0.01</v>
      </c>
      <c r="K101" s="649"/>
      <c r="L101" s="3" t="s">
        <v>168</v>
      </c>
      <c r="N101" s="209" t="s">
        <v>521</v>
      </c>
      <c r="V101" s="197"/>
    </row>
    <row r="102" spans="1:22" ht="18" hidden="1" customHeight="1">
      <c r="A102" s="196"/>
      <c r="B102" s="96" t="s">
        <v>416</v>
      </c>
      <c r="C102" s="14"/>
      <c r="D102" s="47">
        <f>T91</f>
        <v>0</v>
      </c>
      <c r="H102" s="28"/>
      <c r="I102" s="101" t="s">
        <v>138</v>
      </c>
      <c r="J102" s="648">
        <f>J19</f>
        <v>0</v>
      </c>
      <c r="K102" s="649"/>
      <c r="L102" s="3" t="s">
        <v>168</v>
      </c>
      <c r="N102" s="120" t="s">
        <v>502</v>
      </c>
      <c r="O102" s="27" t="s">
        <v>138</v>
      </c>
      <c r="P102" s="27" t="s">
        <v>522</v>
      </c>
      <c r="Q102" s="27" t="s">
        <v>326</v>
      </c>
      <c r="R102" s="27" t="s">
        <v>522</v>
      </c>
      <c r="S102" s="27" t="s">
        <v>326</v>
      </c>
      <c r="T102" s="27" t="s">
        <v>431</v>
      </c>
      <c r="V102" s="197"/>
    </row>
    <row r="103" spans="1:22" ht="18" hidden="1" customHeight="1">
      <c r="A103" s="196"/>
      <c r="B103" s="96" t="s">
        <v>416</v>
      </c>
      <c r="C103" s="14"/>
      <c r="D103" s="47">
        <f>T92</f>
        <v>0</v>
      </c>
      <c r="H103" s="28"/>
      <c r="I103" s="101" t="s">
        <v>138</v>
      </c>
      <c r="J103" s="648">
        <f>J20</f>
        <v>0</v>
      </c>
      <c r="K103" s="649"/>
      <c r="L103" s="3" t="s">
        <v>168</v>
      </c>
      <c r="N103" s="27"/>
      <c r="O103" s="27" t="s">
        <v>138</v>
      </c>
      <c r="P103" s="27">
        <f>O93</f>
        <v>1</v>
      </c>
      <c r="Q103" s="27" t="s">
        <v>326</v>
      </c>
      <c r="R103" s="27">
        <f>O93</f>
        <v>1</v>
      </c>
      <c r="S103" s="27" t="s">
        <v>326</v>
      </c>
      <c r="T103" s="27">
        <f>J95</f>
        <v>9.3000000000000007</v>
      </c>
      <c r="V103" s="197"/>
    </row>
    <row r="104" spans="1:22" ht="18" hidden="1" customHeight="1">
      <c r="A104" s="196"/>
      <c r="B104" s="465" t="s">
        <v>423</v>
      </c>
      <c r="C104" s="271"/>
      <c r="D104" s="271"/>
      <c r="E104" s="271"/>
      <c r="F104" s="219"/>
      <c r="G104" s="219"/>
      <c r="H104" s="202"/>
      <c r="I104" s="220" t="s">
        <v>138</v>
      </c>
      <c r="J104" s="646">
        <f>J21</f>
        <v>1.44186744</v>
      </c>
      <c r="K104" s="647"/>
      <c r="L104" s="309" t="s">
        <v>168</v>
      </c>
      <c r="O104" s="27" t="s">
        <v>138</v>
      </c>
      <c r="P104" s="637">
        <f>P103*R103*T103</f>
        <v>9.3000000000000007</v>
      </c>
      <c r="Q104" s="639"/>
      <c r="R104" s="27" t="s">
        <v>168</v>
      </c>
      <c r="V104" s="197"/>
    </row>
    <row r="105" spans="1:22" ht="18" hidden="1" customHeight="1">
      <c r="A105" s="196"/>
      <c r="B105" s="1" t="s">
        <v>424</v>
      </c>
      <c r="C105" s="2"/>
      <c r="D105" s="2"/>
      <c r="E105" s="2"/>
      <c r="F105" s="208"/>
      <c r="G105" s="208"/>
      <c r="H105" s="236" t="s">
        <v>523</v>
      </c>
      <c r="I105" s="195" t="s">
        <v>138</v>
      </c>
      <c r="J105" s="648">
        <f>SUM(J101:J104)</f>
        <v>1.45186744</v>
      </c>
      <c r="K105" s="649"/>
      <c r="L105" s="3" t="s">
        <v>168</v>
      </c>
      <c r="V105" s="197"/>
    </row>
    <row r="106" spans="1:22" ht="18" hidden="1" customHeight="1">
      <c r="A106" s="196"/>
      <c r="B106" s="47"/>
      <c r="C106" s="47"/>
      <c r="D106" s="47"/>
      <c r="E106" s="47"/>
      <c r="H106" s="27"/>
      <c r="I106" s="28"/>
      <c r="J106" s="211"/>
      <c r="L106" s="47"/>
      <c r="S106" s="27"/>
      <c r="V106" s="197"/>
    </row>
    <row r="107" spans="1:22" ht="18" hidden="1" customHeight="1">
      <c r="A107" s="270"/>
      <c r="B107" s="117" t="s">
        <v>723</v>
      </c>
      <c r="V107" s="197"/>
    </row>
    <row r="108" spans="1:22" ht="18" hidden="1" customHeight="1">
      <c r="A108" s="243"/>
      <c r="B108" s="5"/>
      <c r="C108" s="47" t="s">
        <v>724</v>
      </c>
      <c r="D108" s="14"/>
      <c r="E108" s="14"/>
      <c r="F108" s="14"/>
      <c r="G108" s="14"/>
      <c r="H108" s="291"/>
      <c r="I108" s="120"/>
      <c r="J108" s="291"/>
      <c r="K108" s="291"/>
      <c r="L108" s="14"/>
      <c r="M108" s="14"/>
      <c r="N108" s="14"/>
      <c r="O108" s="14"/>
      <c r="P108" s="14"/>
      <c r="Q108" s="120" t="s">
        <v>725</v>
      </c>
      <c r="R108" s="102" t="s">
        <v>138</v>
      </c>
      <c r="S108" s="638">
        <v>31500</v>
      </c>
      <c r="T108" s="638"/>
      <c r="U108" s="47" t="s">
        <v>9</v>
      </c>
      <c r="V108" s="97" t="s">
        <v>140</v>
      </c>
    </row>
    <row r="109" spans="1:22" ht="18" hidden="1" customHeight="1">
      <c r="A109" s="196"/>
      <c r="B109" s="5"/>
      <c r="C109" s="47" t="s">
        <v>556</v>
      </c>
      <c r="D109" s="14"/>
      <c r="E109" s="14"/>
      <c r="F109" s="18"/>
      <c r="G109" s="18"/>
      <c r="H109" s="291"/>
      <c r="I109" s="120"/>
      <c r="J109" s="291"/>
      <c r="K109" s="291"/>
      <c r="L109" s="14"/>
      <c r="M109" s="14"/>
      <c r="N109" s="14"/>
      <c r="O109" s="14"/>
      <c r="P109" s="14"/>
      <c r="Q109" s="120" t="s">
        <v>434</v>
      </c>
      <c r="R109" s="102" t="s">
        <v>138</v>
      </c>
      <c r="S109" s="638" t="str">
        <f>J93</f>
        <v>-</v>
      </c>
      <c r="T109" s="638"/>
      <c r="U109" s="14" t="s">
        <v>9</v>
      </c>
      <c r="V109" s="197"/>
    </row>
    <row r="110" spans="1:22" ht="18" hidden="1" customHeight="1">
      <c r="A110" s="196"/>
      <c r="B110" s="5"/>
      <c r="C110" s="47" t="s">
        <v>726</v>
      </c>
      <c r="D110" s="14"/>
      <c r="E110" s="14"/>
      <c r="F110" s="18"/>
      <c r="G110" s="18"/>
      <c r="H110" s="291"/>
      <c r="I110" s="120"/>
      <c r="J110" s="291"/>
      <c r="K110" s="291"/>
      <c r="L110" s="14"/>
      <c r="M110" s="14"/>
      <c r="N110" s="14"/>
      <c r="O110" s="14"/>
      <c r="P110" s="14"/>
      <c r="Q110" s="120" t="s">
        <v>727</v>
      </c>
      <c r="R110" s="102" t="s">
        <v>138</v>
      </c>
      <c r="S110" s="638">
        <v>33</v>
      </c>
      <c r="T110" s="638"/>
      <c r="U110" s="14" t="s">
        <v>174</v>
      </c>
      <c r="V110" s="197"/>
    </row>
    <row r="111" spans="1:22" ht="18" hidden="1" customHeight="1">
      <c r="A111" s="196"/>
      <c r="B111" s="5"/>
      <c r="C111" s="47" t="s">
        <v>557</v>
      </c>
      <c r="D111" s="14"/>
      <c r="E111" s="14"/>
      <c r="F111" s="18"/>
      <c r="G111" s="18"/>
      <c r="H111" s="291"/>
      <c r="I111" s="120"/>
      <c r="J111" s="291"/>
      <c r="K111" s="291"/>
      <c r="L111" s="14"/>
      <c r="M111" s="14"/>
      <c r="N111" s="14"/>
      <c r="O111" s="14"/>
      <c r="P111" s="14"/>
      <c r="Q111" s="120" t="s">
        <v>484</v>
      </c>
      <c r="R111" s="102" t="s">
        <v>138</v>
      </c>
      <c r="S111" s="638">
        <f>J96</f>
        <v>500</v>
      </c>
      <c r="T111" s="638"/>
      <c r="U111" s="14" t="s">
        <v>316</v>
      </c>
      <c r="V111" s="197"/>
    </row>
    <row r="112" spans="1:22" ht="18" hidden="1" customHeight="1">
      <c r="A112" s="196"/>
      <c r="B112" s="5"/>
      <c r="C112" s="47" t="s">
        <v>728</v>
      </c>
      <c r="D112" s="14"/>
      <c r="E112" s="14"/>
      <c r="F112" s="18"/>
      <c r="G112" s="18"/>
      <c r="H112" s="291"/>
      <c r="I112" s="120"/>
      <c r="J112" s="291"/>
      <c r="K112" s="291"/>
      <c r="L112" s="14"/>
      <c r="M112" s="14"/>
      <c r="N112" s="14"/>
      <c r="O112" s="14"/>
      <c r="P112" s="14"/>
      <c r="Q112" s="120" t="s">
        <v>431</v>
      </c>
      <c r="R112" s="102" t="s">
        <v>138</v>
      </c>
      <c r="S112" s="641">
        <f>P104</f>
        <v>9.3000000000000007</v>
      </c>
      <c r="T112" s="638"/>
      <c r="U112" s="14" t="s">
        <v>168</v>
      </c>
      <c r="V112" s="197"/>
    </row>
    <row r="113" spans="1:25" ht="18" hidden="1" customHeight="1">
      <c r="A113" s="196"/>
      <c r="B113" s="5"/>
      <c r="C113" s="47" t="s">
        <v>729</v>
      </c>
      <c r="D113" s="14"/>
      <c r="E113" s="14"/>
      <c r="F113" s="18"/>
      <c r="G113" s="18"/>
      <c r="H113" s="291"/>
      <c r="I113" s="120"/>
      <c r="J113" s="291"/>
      <c r="K113" s="291"/>
      <c r="L113" s="14"/>
      <c r="M113" s="14"/>
      <c r="N113" s="14"/>
      <c r="O113" s="14"/>
      <c r="P113" s="14"/>
      <c r="Q113" s="120" t="s">
        <v>533</v>
      </c>
      <c r="R113" s="102" t="s">
        <v>138</v>
      </c>
      <c r="S113" s="641">
        <f>J105</f>
        <v>1.45186744</v>
      </c>
      <c r="T113" s="638"/>
      <c r="U113" s="14" t="s">
        <v>168</v>
      </c>
      <c r="V113" s="197"/>
    </row>
    <row r="114" spans="1:25" ht="18" hidden="1" customHeight="1">
      <c r="A114" s="180"/>
      <c r="B114" s="5"/>
      <c r="C114" s="47" t="s">
        <v>560</v>
      </c>
      <c r="D114" s="14"/>
      <c r="E114" s="14"/>
      <c r="F114" s="14"/>
      <c r="G114" s="14"/>
      <c r="H114" s="291"/>
      <c r="I114" s="120"/>
      <c r="J114" s="291"/>
      <c r="K114" s="291"/>
      <c r="L114" s="14"/>
      <c r="M114" s="14"/>
      <c r="N114" s="14"/>
      <c r="O114" s="14"/>
      <c r="P114" s="14"/>
      <c r="Q114" s="120" t="s">
        <v>725</v>
      </c>
      <c r="R114" s="102" t="s">
        <v>138</v>
      </c>
      <c r="S114" s="638">
        <f>O93</f>
        <v>1</v>
      </c>
      <c r="T114" s="638"/>
      <c r="U114" s="14" t="s">
        <v>9</v>
      </c>
      <c r="V114" s="197"/>
    </row>
    <row r="115" spans="1:25" ht="18" hidden="1" customHeight="1">
      <c r="A115" s="180"/>
      <c r="B115" s="5"/>
      <c r="C115" s="47" t="s">
        <v>730</v>
      </c>
      <c r="D115" s="14"/>
      <c r="E115" s="14"/>
      <c r="F115" s="14"/>
      <c r="G115" s="14"/>
      <c r="H115" s="291"/>
      <c r="I115" s="120"/>
      <c r="J115" s="291"/>
      <c r="K115" s="291"/>
      <c r="L115" s="14"/>
      <c r="M115" s="14"/>
      <c r="N115" s="14"/>
      <c r="O115" s="14"/>
      <c r="P115" s="14"/>
      <c r="Q115" s="120" t="s">
        <v>731</v>
      </c>
      <c r="R115" s="102" t="s">
        <v>138</v>
      </c>
      <c r="S115" s="638">
        <v>50</v>
      </c>
      <c r="T115" s="638"/>
      <c r="U115" s="47"/>
      <c r="V115" s="197"/>
    </row>
    <row r="116" spans="1:25" ht="18" hidden="1" customHeight="1">
      <c r="A116" s="180"/>
      <c r="B116" s="291"/>
      <c r="C116" s="47"/>
      <c r="D116" s="14"/>
      <c r="E116" s="14"/>
      <c r="F116" s="14"/>
      <c r="G116" s="14"/>
      <c r="H116" s="291"/>
      <c r="I116" s="120"/>
      <c r="J116" s="291"/>
      <c r="K116" s="291"/>
      <c r="L116" s="14"/>
      <c r="M116" s="14"/>
      <c r="N116" s="291"/>
      <c r="O116" s="291"/>
      <c r="P116" s="14"/>
      <c r="Q116" s="120"/>
      <c r="R116" s="14"/>
      <c r="S116" s="291"/>
      <c r="T116" s="291"/>
      <c r="U116" s="291"/>
      <c r="V116" s="312"/>
    </row>
    <row r="117" spans="1:25" ht="18" hidden="1" customHeight="1">
      <c r="A117" s="180"/>
      <c r="C117" s="18" t="s">
        <v>732</v>
      </c>
      <c r="D117" s="14"/>
      <c r="E117" s="14"/>
      <c r="F117" s="14"/>
      <c r="G117" s="14"/>
      <c r="H117" s="14"/>
      <c r="I117" s="14"/>
      <c r="J117" s="14"/>
      <c r="K117" s="14"/>
      <c r="L117" s="14"/>
      <c r="M117" s="14"/>
      <c r="N117" s="14"/>
      <c r="O117" s="14"/>
      <c r="P117" s="14"/>
      <c r="Q117" s="14"/>
      <c r="R117" s="14"/>
      <c r="S117" s="14"/>
      <c r="T117" s="14"/>
      <c r="U117" s="14"/>
      <c r="V117" s="197"/>
      <c r="W117" s="291"/>
      <c r="X117" s="291"/>
      <c r="Y117" s="291"/>
    </row>
    <row r="118" spans="1:25" ht="18" hidden="1" customHeight="1">
      <c r="A118" s="180"/>
      <c r="C118" s="28"/>
      <c r="D118" s="47" t="s">
        <v>733</v>
      </c>
      <c r="E118" s="28"/>
      <c r="F118" s="28"/>
      <c r="G118" s="28"/>
      <c r="H118" s="14"/>
      <c r="I118" s="14"/>
      <c r="J118" s="28"/>
      <c r="K118" s="28"/>
      <c r="L118" s="28"/>
      <c r="M118" s="28"/>
      <c r="N118" s="47"/>
      <c r="O118" s="28"/>
      <c r="V118" s="197"/>
      <c r="X118" s="291"/>
      <c r="Y118" s="291"/>
    </row>
    <row r="119" spans="1:25" ht="18" hidden="1" customHeight="1">
      <c r="A119" s="180"/>
      <c r="D119" s="27"/>
      <c r="E119" s="27"/>
      <c r="F119" s="27"/>
      <c r="G119" s="27"/>
      <c r="I119" s="638" t="s">
        <v>734</v>
      </c>
      <c r="J119" s="638" t="s">
        <v>138</v>
      </c>
      <c r="K119" s="881" t="s">
        <v>725</v>
      </c>
      <c r="L119" s="881"/>
      <c r="M119" s="27"/>
      <c r="N119" s="308"/>
      <c r="O119" s="234"/>
      <c r="V119" s="197"/>
      <c r="X119" s="291"/>
      <c r="Y119" s="291"/>
    </row>
    <row r="120" spans="1:25" ht="18" hidden="1" customHeight="1">
      <c r="A120" s="180"/>
      <c r="D120" s="27"/>
      <c r="G120" s="27"/>
      <c r="I120" s="638"/>
      <c r="J120" s="638"/>
      <c r="K120" s="991" t="s">
        <v>735</v>
      </c>
      <c r="L120" s="991"/>
      <c r="V120" s="197"/>
    </row>
    <row r="121" spans="1:25" ht="18" hidden="1" customHeight="1">
      <c r="A121" s="196"/>
      <c r="B121" s="18" t="s">
        <v>736</v>
      </c>
      <c r="C121" s="14"/>
      <c r="V121" s="197"/>
    </row>
    <row r="122" spans="1:25" ht="18" hidden="1" customHeight="1">
      <c r="A122" s="196"/>
      <c r="B122" s="28"/>
      <c r="C122" s="385" t="s">
        <v>737</v>
      </c>
      <c r="D122" s="14"/>
      <c r="E122" s="14"/>
      <c r="F122" s="14"/>
      <c r="G122" s="14"/>
      <c r="H122" s="14"/>
      <c r="I122" s="14"/>
      <c r="J122" s="14"/>
      <c r="K122" s="14"/>
      <c r="L122" s="14"/>
      <c r="M122" s="14"/>
      <c r="N122" s="14"/>
      <c r="O122" s="14"/>
      <c r="P122" s="28"/>
      <c r="Q122" s="120"/>
      <c r="R122" s="14"/>
      <c r="S122" s="14"/>
      <c r="T122" s="14"/>
      <c r="U122" s="14"/>
      <c r="V122" s="197"/>
    </row>
    <row r="123" spans="1:25" ht="18" hidden="1" customHeight="1">
      <c r="A123" s="196"/>
      <c r="B123" s="28"/>
      <c r="C123" s="7" t="s">
        <v>738</v>
      </c>
      <c r="D123" s="14"/>
      <c r="E123" s="14"/>
      <c r="F123" s="14"/>
      <c r="G123" s="14"/>
      <c r="H123" s="14"/>
      <c r="K123" s="14"/>
      <c r="L123" s="28"/>
      <c r="M123" s="47"/>
      <c r="N123" s="14"/>
      <c r="O123" s="14"/>
      <c r="P123" s="14"/>
      <c r="Q123" s="14"/>
      <c r="R123" s="14"/>
      <c r="S123" s="14"/>
      <c r="T123" s="14"/>
      <c r="U123" s="14"/>
      <c r="V123" s="197"/>
    </row>
    <row r="124" spans="1:25" ht="18" hidden="1" customHeight="1">
      <c r="A124" s="196"/>
      <c r="B124" s="14" t="s">
        <v>739</v>
      </c>
      <c r="C124" s="7"/>
      <c r="D124" s="14"/>
      <c r="E124" s="14"/>
      <c r="F124" s="280"/>
      <c r="K124" s="28"/>
      <c r="L124" s="28"/>
      <c r="M124" s="293"/>
      <c r="N124" s="28"/>
      <c r="O124" s="47"/>
      <c r="P124" s="14"/>
      <c r="Q124" s="14"/>
      <c r="R124" s="14"/>
      <c r="S124" s="14"/>
      <c r="T124" s="14"/>
      <c r="U124" s="14"/>
      <c r="V124" s="197"/>
    </row>
    <row r="125" spans="1:25" ht="18" hidden="1" customHeight="1">
      <c r="A125" s="196"/>
      <c r="B125" s="14"/>
      <c r="C125" s="14" t="s">
        <v>740</v>
      </c>
      <c r="D125" s="47"/>
      <c r="E125" s="14"/>
      <c r="F125" s="280"/>
      <c r="K125" s="28"/>
      <c r="L125" s="28"/>
      <c r="M125" s="14"/>
      <c r="N125" s="14"/>
      <c r="O125" s="14"/>
      <c r="P125" s="14"/>
      <c r="Q125" s="14"/>
      <c r="R125" s="14"/>
      <c r="S125" s="14"/>
      <c r="T125" s="14"/>
      <c r="U125" s="14"/>
      <c r="V125" s="197"/>
    </row>
    <row r="126" spans="1:25" ht="18" hidden="1" customHeight="1">
      <c r="A126" s="196"/>
      <c r="B126" s="14"/>
      <c r="C126" s="7" t="s">
        <v>741</v>
      </c>
      <c r="D126" s="14"/>
      <c r="E126" s="14"/>
      <c r="F126" s="14"/>
      <c r="G126" s="14"/>
      <c r="H126" s="14"/>
      <c r="K126" s="28"/>
      <c r="L126" s="28"/>
      <c r="M126" s="47"/>
      <c r="N126" s="14"/>
      <c r="O126" s="14"/>
      <c r="P126" s="14"/>
      <c r="Q126" s="14"/>
      <c r="R126" s="14"/>
      <c r="S126" s="14"/>
      <c r="T126" s="14"/>
      <c r="U126" s="14"/>
      <c r="V126" s="197"/>
    </row>
    <row r="127" spans="1:25" ht="18" hidden="1" customHeight="1">
      <c r="A127" s="196"/>
      <c r="B127" s="14"/>
      <c r="C127" s="7" t="s">
        <v>742</v>
      </c>
      <c r="K127" s="28"/>
      <c r="L127" s="28"/>
      <c r="M127" s="28"/>
      <c r="O127" s="14"/>
      <c r="P127" s="28"/>
      <c r="Q127" s="290"/>
      <c r="R127" s="28"/>
      <c r="S127" s="14"/>
      <c r="T127" s="14"/>
      <c r="U127" s="14"/>
      <c r="V127" s="197"/>
    </row>
    <row r="128" spans="1:25" ht="18" hidden="1" customHeight="1">
      <c r="A128" s="465"/>
      <c r="B128" s="219"/>
      <c r="C128" s="219"/>
      <c r="D128" s="219"/>
      <c r="E128" s="219"/>
      <c r="F128" s="219"/>
      <c r="G128" s="219"/>
      <c r="H128" s="219"/>
      <c r="I128" s="219"/>
      <c r="J128" s="219"/>
      <c r="K128" s="271" t="s">
        <v>140</v>
      </c>
      <c r="L128" s="271" t="s">
        <v>743</v>
      </c>
      <c r="M128" s="202"/>
      <c r="N128" s="271"/>
      <c r="O128" s="271"/>
      <c r="P128" s="241"/>
      <c r="Q128" s="486"/>
      <c r="R128" s="241"/>
      <c r="S128" s="271"/>
      <c r="T128" s="271"/>
      <c r="U128" s="271"/>
      <c r="V128" s="466"/>
    </row>
    <row r="129" spans="1:22" s="14" customFormat="1" ht="18" hidden="1" customHeight="1">
      <c r="A129" s="206"/>
      <c r="B129" s="207"/>
      <c r="C129" s="207"/>
      <c r="D129" s="207"/>
      <c r="E129" s="207"/>
      <c r="F129" s="207"/>
      <c r="G129" s="207"/>
      <c r="H129" s="207"/>
      <c r="I129" s="207"/>
      <c r="J129" s="207"/>
      <c r="K129" s="207"/>
      <c r="L129" s="207"/>
      <c r="M129" s="207"/>
      <c r="N129" s="207"/>
      <c r="O129" s="207"/>
      <c r="P129" s="207"/>
      <c r="Q129" s="236"/>
      <c r="R129" s="194"/>
      <c r="S129" s="237"/>
      <c r="T129" s="207"/>
      <c r="U129" s="207"/>
      <c r="V129" s="140"/>
    </row>
    <row r="130" spans="1:22" ht="18" hidden="1" customHeight="1">
      <c r="A130" s="238"/>
      <c r="B130" s="285"/>
      <c r="C130" s="285"/>
      <c r="D130" s="239"/>
      <c r="E130" s="239"/>
      <c r="F130" s="239"/>
      <c r="G130" s="239"/>
      <c r="H130" s="239"/>
      <c r="I130" s="239"/>
      <c r="J130" s="239"/>
      <c r="K130" s="323"/>
      <c r="L130" s="323"/>
      <c r="M130" s="239"/>
      <c r="N130" s="239"/>
      <c r="O130" s="323"/>
      <c r="P130" s="323"/>
      <c r="Q130" s="145"/>
      <c r="R130" s="239"/>
      <c r="S130" s="239"/>
      <c r="T130" s="285"/>
      <c r="U130" s="285"/>
      <c r="V130" s="240"/>
    </row>
    <row r="131" spans="1:22" ht="18" hidden="1" customHeight="1">
      <c r="A131" s="96"/>
      <c r="B131" s="7" t="s">
        <v>744</v>
      </c>
      <c r="C131" s="7"/>
      <c r="D131" s="14"/>
      <c r="E131" s="7"/>
      <c r="F131" s="7"/>
      <c r="L131" s="27"/>
      <c r="O131" s="27"/>
      <c r="P131" s="27"/>
      <c r="Q131" s="28"/>
      <c r="T131" s="14"/>
      <c r="U131" s="14"/>
      <c r="V131" s="197"/>
    </row>
    <row r="132" spans="1:22" ht="18" hidden="1" customHeight="1">
      <c r="A132" s="96"/>
      <c r="B132" s="14"/>
      <c r="C132" s="7"/>
      <c r="D132" s="7"/>
      <c r="E132" s="14"/>
      <c r="F132" s="7"/>
      <c r="L132" s="27"/>
      <c r="M132" s="14"/>
      <c r="O132" s="14"/>
      <c r="P132" s="14"/>
      <c r="Q132" s="14"/>
      <c r="R132" s="14"/>
      <c r="S132" s="14"/>
      <c r="T132" s="14"/>
      <c r="U132" s="14"/>
      <c r="V132" s="197"/>
    </row>
    <row r="133" spans="1:22" ht="18" hidden="1" customHeight="1">
      <c r="A133" s="96"/>
      <c r="B133" s="14"/>
      <c r="C133" s="120" t="s">
        <v>745</v>
      </c>
      <c r="D133" s="28" t="s">
        <v>138</v>
      </c>
      <c r="E133" s="861">
        <f>S108</f>
        <v>31500</v>
      </c>
      <c r="F133" s="861"/>
      <c r="G133" s="14"/>
      <c r="H133" s="14"/>
      <c r="I133" s="102"/>
      <c r="J133" s="47"/>
      <c r="K133" s="47"/>
      <c r="L133" s="14"/>
      <c r="M133" s="14"/>
      <c r="N133" s="14"/>
      <c r="O133" s="14"/>
      <c r="P133" s="14"/>
      <c r="Q133" s="14"/>
      <c r="R133" s="14"/>
      <c r="S133" s="14"/>
      <c r="T133" s="14"/>
      <c r="U133" s="14"/>
      <c r="V133" s="197"/>
    </row>
    <row r="134" spans="1:22" ht="18" hidden="1" customHeight="1">
      <c r="A134" s="96"/>
      <c r="B134" s="14"/>
      <c r="C134" s="120"/>
      <c r="D134" s="28"/>
      <c r="E134" s="860" t="str">
        <f>"5 x "&amp;S109&amp;""</f>
        <v>5 x -</v>
      </c>
      <c r="F134" s="860"/>
      <c r="G134" s="28"/>
      <c r="H134" s="269"/>
      <c r="K134" s="28"/>
      <c r="L134" s="230"/>
      <c r="M134" s="269"/>
      <c r="O134" s="14"/>
      <c r="P134" s="14"/>
      <c r="Q134" s="14"/>
      <c r="R134" s="14"/>
      <c r="S134" s="14"/>
      <c r="T134" s="14"/>
      <c r="U134" s="14"/>
      <c r="V134" s="197"/>
    </row>
    <row r="135" spans="1:22" ht="18" hidden="1" customHeight="1">
      <c r="A135" s="96"/>
      <c r="J135" s="14"/>
      <c r="K135" s="269"/>
      <c r="M135" s="14"/>
      <c r="N135" s="14"/>
      <c r="O135" s="14"/>
      <c r="P135" s="14"/>
      <c r="Q135" s="14"/>
      <c r="R135" s="14"/>
      <c r="S135" s="14"/>
      <c r="T135" s="14"/>
      <c r="U135" s="14"/>
      <c r="V135" s="197"/>
    </row>
    <row r="136" spans="1:22" ht="18" hidden="1" customHeight="1">
      <c r="A136" s="96"/>
      <c r="C136" s="471" t="s">
        <v>745</v>
      </c>
      <c r="D136" s="194" t="s">
        <v>138</v>
      </c>
      <c r="E136" s="990" t="e">
        <f>S108/5/S109</f>
        <v>#VALUE!</v>
      </c>
      <c r="F136" s="648"/>
      <c r="G136" s="27"/>
      <c r="H136" s="27"/>
      <c r="I136" s="27"/>
      <c r="J136" s="120"/>
      <c r="K136" s="28"/>
      <c r="L136" s="120"/>
      <c r="M136" s="28"/>
      <c r="N136" s="120"/>
      <c r="O136" s="28"/>
      <c r="P136" s="120"/>
      <c r="Q136" s="308"/>
      <c r="V136" s="197"/>
    </row>
    <row r="137" spans="1:22" ht="18" hidden="1" customHeight="1">
      <c r="A137" s="96"/>
      <c r="C137" s="120"/>
      <c r="D137" s="28"/>
      <c r="E137" s="230"/>
      <c r="F137" s="230"/>
      <c r="G137" s="27"/>
      <c r="H137" s="27"/>
      <c r="I137" s="27"/>
      <c r="J137" s="120"/>
      <c r="K137" s="28"/>
      <c r="L137" s="120"/>
      <c r="M137" s="28"/>
      <c r="N137" s="120"/>
      <c r="O137" s="28"/>
      <c r="P137" s="120"/>
      <c r="Q137" s="308"/>
      <c r="V137" s="197"/>
    </row>
    <row r="138" spans="1:22" ht="18" hidden="1" customHeight="1">
      <c r="A138" s="96"/>
      <c r="B138" s="14" t="s">
        <v>746</v>
      </c>
      <c r="C138" s="14"/>
      <c r="D138" s="14"/>
      <c r="E138" s="7"/>
      <c r="F138" s="102"/>
      <c r="G138" s="7"/>
      <c r="H138" s="7"/>
      <c r="I138" s="251"/>
      <c r="J138" s="120"/>
      <c r="K138" s="28"/>
      <c r="L138" s="120"/>
      <c r="M138" s="28"/>
      <c r="N138" s="120"/>
      <c r="O138" s="28"/>
      <c r="P138" s="120"/>
      <c r="Q138" s="308"/>
      <c r="V138" s="197"/>
    </row>
    <row r="139" spans="1:22" ht="18" hidden="1" customHeight="1">
      <c r="A139" s="96"/>
      <c r="C139" s="14"/>
      <c r="D139" s="14"/>
      <c r="E139" s="638" t="s">
        <v>747</v>
      </c>
      <c r="F139" s="638">
        <v>1</v>
      </c>
      <c r="G139" s="638"/>
      <c r="H139" s="638" t="s">
        <v>323</v>
      </c>
      <c r="I139" s="472" t="s">
        <v>323</v>
      </c>
      <c r="J139" s="120"/>
      <c r="K139" s="28"/>
      <c r="L139" s="120"/>
      <c r="M139" s="28"/>
      <c r="N139" s="120"/>
      <c r="O139" s="28"/>
      <c r="P139" s="120"/>
      <c r="Q139" s="308"/>
      <c r="V139" s="197"/>
    </row>
    <row r="140" spans="1:22" ht="18" hidden="1" customHeight="1">
      <c r="A140" s="96"/>
      <c r="C140" s="14"/>
      <c r="D140" s="14"/>
      <c r="E140" s="985"/>
      <c r="F140" s="285"/>
      <c r="G140" s="286" t="s">
        <v>748</v>
      </c>
      <c r="H140" s="638"/>
      <c r="I140" s="14" t="s">
        <v>152</v>
      </c>
      <c r="J140" s="120"/>
      <c r="K140" s="28"/>
      <c r="L140" s="120"/>
      <c r="M140" s="28"/>
      <c r="N140" s="120"/>
      <c r="O140" s="28"/>
      <c r="P140" s="120"/>
      <c r="Q140" s="308"/>
      <c r="V140" s="197"/>
    </row>
    <row r="141" spans="1:22" ht="18" hidden="1" customHeight="1">
      <c r="A141" s="96"/>
      <c r="C141" s="120"/>
      <c r="D141" s="28"/>
      <c r="E141" s="230"/>
      <c r="F141" s="230"/>
      <c r="G141" s="27"/>
      <c r="H141" s="27"/>
      <c r="I141" s="27"/>
      <c r="J141" s="120"/>
      <c r="K141" s="28"/>
      <c r="L141" s="120"/>
      <c r="M141" s="28"/>
      <c r="N141" s="120"/>
      <c r="O141" s="28"/>
      <c r="P141" s="120"/>
      <c r="Q141" s="308"/>
      <c r="V141" s="197"/>
    </row>
    <row r="142" spans="1:22" ht="18" hidden="1" customHeight="1">
      <c r="A142" s="96"/>
      <c r="B142" s="14" t="s">
        <v>764</v>
      </c>
      <c r="J142" s="120"/>
      <c r="K142" s="28"/>
      <c r="L142" s="120"/>
      <c r="M142" s="28"/>
      <c r="N142" s="121" t="s">
        <v>138</v>
      </c>
      <c r="O142" s="47" t="e">
        <f>#REF!</f>
        <v>#REF!</v>
      </c>
      <c r="P142" s="120"/>
      <c r="Q142" s="308"/>
      <c r="V142" s="197"/>
    </row>
    <row r="143" spans="1:22" ht="18" hidden="1" customHeight="1">
      <c r="A143" s="196"/>
      <c r="C143" s="120"/>
      <c r="D143" s="28"/>
      <c r="E143" s="230"/>
      <c r="F143" s="230"/>
      <c r="G143" s="27"/>
      <c r="H143" s="27"/>
      <c r="I143" s="27"/>
      <c r="J143" s="120"/>
      <c r="K143" s="28"/>
      <c r="L143" s="120"/>
      <c r="M143" s="28"/>
      <c r="N143" s="120"/>
      <c r="O143" s="28"/>
      <c r="P143" s="120"/>
      <c r="Q143" s="308"/>
      <c r="V143" s="197"/>
    </row>
    <row r="144" spans="1:22" ht="18" hidden="1" customHeight="1">
      <c r="A144" s="96"/>
      <c r="C144" s="120"/>
      <c r="F144" s="661">
        <v>1</v>
      </c>
      <c r="G144" s="661"/>
      <c r="H144" s="661"/>
      <c r="I144" s="27"/>
      <c r="J144" s="638" t="s">
        <v>326</v>
      </c>
      <c r="K144" s="987" t="e">
        <f>O142</f>
        <v>#REF!</v>
      </c>
      <c r="L144" s="120"/>
      <c r="M144" s="28"/>
      <c r="N144" s="120"/>
      <c r="O144" s="28"/>
      <c r="P144" s="120"/>
      <c r="Q144" s="308"/>
      <c r="V144" s="197"/>
    </row>
    <row r="145" spans="1:22" ht="18" hidden="1" customHeight="1">
      <c r="A145" s="196"/>
      <c r="C145" s="120"/>
      <c r="D145" s="120" t="s">
        <v>749</v>
      </c>
      <c r="E145" s="102" t="s">
        <v>138</v>
      </c>
      <c r="F145" s="14" t="s">
        <v>750</v>
      </c>
      <c r="I145" s="27"/>
      <c r="J145" s="639"/>
      <c r="K145" s="986"/>
      <c r="L145" s="120"/>
      <c r="M145" s="28"/>
      <c r="N145" s="120"/>
      <c r="O145" s="28"/>
      <c r="P145" s="120"/>
      <c r="Q145" s="308"/>
      <c r="V145" s="197"/>
    </row>
    <row r="146" spans="1:22" ht="18" hidden="1" customHeight="1">
      <c r="A146" s="196"/>
      <c r="C146" s="120"/>
      <c r="D146" s="28"/>
      <c r="E146" s="230" t="s">
        <v>138</v>
      </c>
      <c r="F146" s="988" t="e">
        <f>1*O142/(2*3.14*50)</f>
        <v>#REF!</v>
      </c>
      <c r="G146" s="988"/>
      <c r="H146" s="28" t="s">
        <v>751</v>
      </c>
      <c r="I146" s="27"/>
      <c r="J146" s="120"/>
      <c r="K146" s="28"/>
      <c r="L146" s="120"/>
      <c r="M146" s="28"/>
      <c r="N146" s="120"/>
      <c r="O146" s="28"/>
      <c r="P146" s="120"/>
      <c r="Q146" s="308"/>
      <c r="V146" s="197"/>
    </row>
    <row r="147" spans="1:22" ht="18" hidden="1" customHeight="1">
      <c r="A147" s="196"/>
      <c r="C147" s="120"/>
      <c r="D147" s="120" t="s">
        <v>749</v>
      </c>
      <c r="E147" s="230" t="s">
        <v>138</v>
      </c>
      <c r="F147" s="989" t="e">
        <f>F146*1000</f>
        <v>#REF!</v>
      </c>
      <c r="G147" s="989"/>
      <c r="H147" s="28" t="s">
        <v>354</v>
      </c>
      <c r="I147" s="27"/>
      <c r="J147" s="120"/>
      <c r="K147" s="28"/>
      <c r="L147" s="120"/>
      <c r="M147" s="28"/>
      <c r="N147" s="120"/>
      <c r="O147" s="28"/>
      <c r="P147" s="120"/>
      <c r="Q147" s="308"/>
      <c r="V147" s="197"/>
    </row>
    <row r="148" spans="1:22" ht="18" hidden="1" customHeight="1">
      <c r="A148" s="196"/>
      <c r="B148" s="14" t="s">
        <v>752</v>
      </c>
      <c r="E148" s="28" t="s">
        <v>138</v>
      </c>
      <c r="F148" s="27">
        <v>10</v>
      </c>
      <c r="G148" s="27"/>
      <c r="H148" s="257"/>
      <c r="I148" s="257"/>
      <c r="J148" s="473"/>
      <c r="K148" s="257"/>
      <c r="L148" s="473"/>
      <c r="M148" s="257"/>
      <c r="N148" s="473"/>
      <c r="O148" s="257"/>
      <c r="P148" s="473"/>
      <c r="Q148" s="474"/>
      <c r="V148" s="197"/>
    </row>
    <row r="149" spans="1:22" ht="18" hidden="1" customHeight="1">
      <c r="A149" s="196"/>
      <c r="G149" s="27"/>
      <c r="H149" s="257"/>
      <c r="I149" s="257"/>
      <c r="J149" s="473"/>
      <c r="K149" s="257"/>
      <c r="L149" s="473"/>
      <c r="M149" s="257"/>
      <c r="N149" s="473"/>
      <c r="O149" s="257"/>
      <c r="P149" s="473"/>
      <c r="Q149" s="474"/>
      <c r="V149" s="197"/>
    </row>
    <row r="150" spans="1:22" ht="18" hidden="1" customHeight="1">
      <c r="A150" s="196"/>
      <c r="B150" s="7" t="s">
        <v>753</v>
      </c>
      <c r="F150" s="7"/>
      <c r="G150" s="7"/>
      <c r="H150" s="216"/>
      <c r="I150" s="216"/>
      <c r="V150" s="197"/>
    </row>
    <row r="151" spans="1:22" ht="18" hidden="1" customHeight="1">
      <c r="A151" s="196"/>
      <c r="B151" s="7"/>
      <c r="E151" s="14" t="s">
        <v>765</v>
      </c>
      <c r="F151" s="7"/>
      <c r="G151" s="7"/>
      <c r="V151" s="197"/>
    </row>
    <row r="152" spans="1:22" ht="18" hidden="1" customHeight="1">
      <c r="A152" s="196"/>
      <c r="B152" s="14" t="s">
        <v>755</v>
      </c>
      <c r="C152" s="14"/>
      <c r="D152" s="14"/>
      <c r="E152" s="14"/>
      <c r="F152" s="14"/>
      <c r="G152" s="120"/>
      <c r="H152" s="120"/>
      <c r="V152" s="197"/>
    </row>
    <row r="153" spans="1:22" ht="18" hidden="1" customHeight="1">
      <c r="A153" s="196"/>
      <c r="B153" s="14"/>
      <c r="C153" s="120" t="s">
        <v>756</v>
      </c>
      <c r="D153" s="28" t="s">
        <v>138</v>
      </c>
      <c r="E153" s="989" t="e">
        <f>MAX(E136,F148)</f>
        <v>#VALUE!</v>
      </c>
      <c r="F153" s="989"/>
      <c r="G153" s="47" t="s">
        <v>757</v>
      </c>
      <c r="H153" s="120"/>
      <c r="V153" s="197"/>
    </row>
    <row r="154" spans="1:22" ht="18" hidden="1" customHeight="1">
      <c r="A154" s="196"/>
      <c r="B154" s="7"/>
      <c r="E154" s="14"/>
      <c r="F154" s="7"/>
      <c r="G154" s="7"/>
      <c r="V154" s="197"/>
    </row>
    <row r="155" spans="1:22" ht="18" hidden="1" customHeight="1">
      <c r="A155" s="196"/>
      <c r="B155" s="47" t="s">
        <v>758</v>
      </c>
      <c r="E155" s="14"/>
      <c r="F155" s="7"/>
      <c r="G155" s="7"/>
      <c r="V155" s="197"/>
    </row>
    <row r="156" spans="1:22" ht="18" hidden="1" customHeight="1">
      <c r="A156" s="196"/>
      <c r="B156" s="47" t="s">
        <v>759</v>
      </c>
      <c r="E156" s="14"/>
      <c r="F156" s="7"/>
      <c r="G156" s="7"/>
      <c r="V156" s="197"/>
    </row>
    <row r="157" spans="1:22" ht="18" hidden="1" customHeight="1" thickBot="1">
      <c r="A157" s="196"/>
      <c r="B157" s="102" t="s">
        <v>138</v>
      </c>
      <c r="C157" s="120" t="e">
        <f>E153</f>
        <v>#VALUE!</v>
      </c>
      <c r="D157" s="28" t="s">
        <v>326</v>
      </c>
      <c r="E157" s="28" t="s">
        <v>430</v>
      </c>
      <c r="F157" s="641">
        <f>S112</f>
        <v>9.3000000000000007</v>
      </c>
      <c r="G157" s="641"/>
      <c r="H157" s="102" t="s">
        <v>358</v>
      </c>
      <c r="I157" s="230">
        <f>S113</f>
        <v>1.45186744</v>
      </c>
      <c r="J157" s="252" t="s">
        <v>358</v>
      </c>
      <c r="K157" s="293">
        <f>J101</f>
        <v>0.01</v>
      </c>
      <c r="L157" s="14" t="s">
        <v>361</v>
      </c>
      <c r="M157" s="14" t="s">
        <v>326</v>
      </c>
      <c r="N157" s="28">
        <v>1</v>
      </c>
      <c r="V157" s="197"/>
    </row>
    <row r="158" spans="1:22" ht="18" hidden="1" customHeight="1" thickBot="1">
      <c r="A158" s="196"/>
      <c r="B158" s="475" t="s">
        <v>539</v>
      </c>
      <c r="C158" s="476" t="s">
        <v>138</v>
      </c>
      <c r="D158" s="477" t="e">
        <f>C157*(F157+I157+K157)*N157</f>
        <v>#VALUE!</v>
      </c>
      <c r="E158" s="14" t="s">
        <v>316</v>
      </c>
      <c r="F158" s="7"/>
      <c r="G158" s="7"/>
      <c r="V158" s="197"/>
    </row>
    <row r="159" spans="1:22" ht="18" hidden="1" customHeight="1">
      <c r="A159" s="196"/>
      <c r="B159" s="7"/>
      <c r="E159" s="14"/>
      <c r="F159" s="7"/>
      <c r="G159" s="7"/>
      <c r="V159" s="197"/>
    </row>
    <row r="160" spans="1:22" ht="18" hidden="1" customHeight="1">
      <c r="A160" s="196"/>
      <c r="B160" s="47" t="s">
        <v>760</v>
      </c>
      <c r="E160" s="14"/>
      <c r="F160" s="7"/>
      <c r="G160" s="7"/>
      <c r="J160" s="14" t="s">
        <v>761</v>
      </c>
      <c r="L160" s="28" t="s">
        <v>487</v>
      </c>
      <c r="N160" s="14" t="s">
        <v>762</v>
      </c>
      <c r="V160" s="197"/>
    </row>
    <row r="161" spans="1:22" ht="18" hidden="1" customHeight="1">
      <c r="A161" s="196"/>
      <c r="B161" s="7"/>
      <c r="E161" s="14"/>
      <c r="F161" s="7"/>
      <c r="G161" s="7"/>
      <c r="L161" s="28" t="s">
        <v>138</v>
      </c>
      <c r="N161" s="986" t="e">
        <f>0.8*D158</f>
        <v>#VALUE!</v>
      </c>
      <c r="O161" s="986"/>
      <c r="V161" s="197"/>
    </row>
    <row r="162" spans="1:22" ht="18" hidden="1" customHeight="1">
      <c r="A162" s="196"/>
      <c r="B162" s="7"/>
      <c r="E162" s="14"/>
      <c r="F162" s="14" t="s">
        <v>763</v>
      </c>
      <c r="G162" s="7"/>
      <c r="L162" s="28" t="s">
        <v>138</v>
      </c>
      <c r="N162" s="960" t="e">
        <f>N161*1.2</f>
        <v>#VALUE!</v>
      </c>
      <c r="O162" s="960"/>
      <c r="V162" s="197"/>
    </row>
    <row r="163" spans="1:22" ht="18" hidden="1" customHeight="1">
      <c r="A163" s="196"/>
      <c r="B163" s="7"/>
      <c r="E163" s="14"/>
      <c r="F163" s="7"/>
      <c r="G163" s="7"/>
      <c r="K163" s="211" t="s">
        <v>486</v>
      </c>
      <c r="L163" s="28" t="e">
        <f>IF(J164&gt;M164,"&gt;","&lt;")</f>
        <v>#VALUE!</v>
      </c>
      <c r="M163" s="269" t="s">
        <v>488</v>
      </c>
      <c r="O163" s="18"/>
      <c r="P163" s="280"/>
      <c r="V163" s="197"/>
    </row>
    <row r="164" spans="1:22" ht="18" hidden="1" customHeight="1">
      <c r="A164" s="196"/>
      <c r="D164" s="223"/>
      <c r="E164" s="223"/>
      <c r="F164" s="27"/>
      <c r="G164" s="223"/>
      <c r="J164" s="637">
        <f>S111</f>
        <v>500</v>
      </c>
      <c r="K164" s="637"/>
      <c r="L164" s="27" t="e">
        <f>IF(J164&gt;=M164,"&gt;","&lt;")</f>
        <v>#VALUE!</v>
      </c>
      <c r="M164" s="637" t="e">
        <f>N162</f>
        <v>#VALUE!</v>
      </c>
      <c r="N164" s="637"/>
      <c r="P164" s="280"/>
      <c r="V164" s="197"/>
    </row>
    <row r="165" spans="1:22" ht="18" hidden="1" customHeight="1">
      <c r="A165" s="196"/>
      <c r="K165" s="256" t="s">
        <v>489</v>
      </c>
      <c r="M165" s="18" t="e">
        <f>IF(J164&gt;M164,"Suitable Dimensions","Under Dimensioned")</f>
        <v>#VALUE!</v>
      </c>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465"/>
      <c r="B169" s="219"/>
      <c r="C169" s="219"/>
      <c r="D169" s="219"/>
      <c r="E169" s="219"/>
      <c r="F169" s="219"/>
      <c r="G169" s="219"/>
      <c r="H169" s="219"/>
      <c r="I169" s="219"/>
      <c r="J169" s="219"/>
      <c r="K169" s="219"/>
      <c r="L169" s="219"/>
      <c r="M169" s="219"/>
      <c r="N169" s="219"/>
      <c r="O169" s="219"/>
      <c r="P169" s="219"/>
      <c r="Q169" s="219"/>
      <c r="R169" s="219"/>
      <c r="S169" s="219"/>
      <c r="T169" s="219"/>
      <c r="U169" s="219"/>
      <c r="V169" s="466"/>
    </row>
    <row r="170" spans="1:22" s="14" customFormat="1" ht="18" hidden="1" customHeight="1">
      <c r="A170" s="206"/>
      <c r="B170" s="207"/>
      <c r="C170" s="207"/>
      <c r="D170" s="207"/>
      <c r="E170" s="207"/>
      <c r="F170" s="207"/>
      <c r="G170" s="207"/>
      <c r="H170" s="207"/>
      <c r="I170" s="207"/>
      <c r="J170" s="207"/>
      <c r="K170" s="207"/>
      <c r="L170" s="207"/>
      <c r="M170" s="207"/>
      <c r="N170" s="207"/>
      <c r="O170" s="207"/>
      <c r="P170" s="207"/>
      <c r="Q170" s="236"/>
      <c r="R170" s="194"/>
      <c r="S170" s="237"/>
      <c r="T170" s="207"/>
      <c r="U170" s="207"/>
      <c r="V170" s="140"/>
    </row>
    <row r="171" spans="1:22" ht="18" hidden="1" customHeight="1">
      <c r="A171" s="238"/>
      <c r="B171" s="239"/>
      <c r="C171" s="239"/>
      <c r="D171" s="239"/>
      <c r="E171" s="239"/>
      <c r="F171" s="239"/>
      <c r="G171" s="239"/>
      <c r="H171" s="239"/>
      <c r="I171" s="239"/>
      <c r="J171" s="239"/>
      <c r="K171" s="239"/>
      <c r="L171" s="239"/>
      <c r="M171" s="239"/>
      <c r="N171" s="239"/>
      <c r="O171" s="239"/>
      <c r="P171" s="239"/>
      <c r="Q171" s="239"/>
      <c r="R171" s="239"/>
      <c r="S171" s="239"/>
      <c r="T171" s="239"/>
      <c r="U171" s="239"/>
      <c r="V171" s="240"/>
    </row>
    <row r="172" spans="1:22" ht="18" hidden="1" customHeight="1">
      <c r="A172" s="196"/>
      <c r="B172" s="650" t="str">
        <f>B90</f>
        <v>T1</v>
      </c>
      <c r="C172" s="651"/>
      <c r="D172" s="650" t="str">
        <f>D90</f>
        <v>Core3</v>
      </c>
      <c r="E172" s="651"/>
      <c r="F172" s="468"/>
      <c r="H172" s="639" t="str">
        <f>H90</f>
        <v>(Low Imp. Busbar)</v>
      </c>
      <c r="I172" s="639"/>
      <c r="J172" s="639"/>
      <c r="K172" s="639"/>
      <c r="L172" s="639"/>
      <c r="M172" s="639"/>
      <c r="P172" s="198"/>
      <c r="S172" s="199" t="s">
        <v>398</v>
      </c>
      <c r="T172" s="650" t="str">
        <f>T90</f>
        <v>REB500</v>
      </c>
      <c r="U172" s="651"/>
      <c r="V172" s="197"/>
    </row>
    <row r="173" spans="1:22" ht="18" hidden="1" customHeight="1">
      <c r="A173" s="469"/>
      <c r="F173" s="468"/>
      <c r="T173" s="650">
        <f>T91</f>
        <v>0</v>
      </c>
      <c r="U173" s="651"/>
      <c r="V173" s="197"/>
    </row>
    <row r="174" spans="1:22" ht="18" hidden="1" customHeight="1">
      <c r="A174" s="196"/>
      <c r="H174" s="661" t="s">
        <v>401</v>
      </c>
      <c r="I174" s="661"/>
      <c r="J174" s="661" t="s">
        <v>402</v>
      </c>
      <c r="K174" s="661"/>
      <c r="L174" s="662" t="s">
        <v>403</v>
      </c>
      <c r="M174" s="662"/>
      <c r="T174" s="650">
        <f>T92</f>
        <v>0</v>
      </c>
      <c r="U174" s="651"/>
      <c r="V174" s="197"/>
    </row>
    <row r="175" spans="1:22" ht="18" hidden="1" customHeight="1">
      <c r="A175" s="196"/>
      <c r="B175" s="47" t="s">
        <v>404</v>
      </c>
      <c r="H175" s="650">
        <f>H93</f>
        <v>2500</v>
      </c>
      <c r="I175" s="651"/>
      <c r="J175" s="650" t="str">
        <f>J93</f>
        <v>-</v>
      </c>
      <c r="K175" s="651"/>
      <c r="L175" s="652" t="str">
        <f>L93</f>
        <v>-</v>
      </c>
      <c r="M175" s="653"/>
      <c r="N175" s="203" t="s">
        <v>353</v>
      </c>
      <c r="O175" s="268">
        <f>O93</f>
        <v>1</v>
      </c>
      <c r="P175" s="27" t="s">
        <v>9</v>
      </c>
      <c r="R175" s="267"/>
      <c r="S175" s="267"/>
      <c r="V175" s="197"/>
    </row>
    <row r="176" spans="1:22" ht="18" hidden="1" customHeight="1">
      <c r="A176" s="196"/>
      <c r="B176" s="47" t="s">
        <v>405</v>
      </c>
      <c r="H176" s="14"/>
      <c r="K176" s="14"/>
      <c r="L176" s="650" t="str">
        <f>J94</f>
        <v>PX - B</v>
      </c>
      <c r="M176" s="651"/>
      <c r="N176" s="14"/>
      <c r="V176" s="197"/>
    </row>
    <row r="177" spans="1:23" ht="18" hidden="1" customHeight="1">
      <c r="A177" s="196"/>
      <c r="B177" s="47" t="s">
        <v>407</v>
      </c>
      <c r="K177" s="120" t="s">
        <v>508</v>
      </c>
      <c r="L177" s="656" t="s">
        <v>7</v>
      </c>
      <c r="M177" s="657"/>
      <c r="N177" s="204" t="s">
        <v>344</v>
      </c>
      <c r="V177" s="197"/>
    </row>
    <row r="178" spans="1:23" ht="18" hidden="1" customHeight="1">
      <c r="A178" s="196"/>
      <c r="B178" s="47" t="s">
        <v>409</v>
      </c>
      <c r="K178" s="120" t="s">
        <v>509</v>
      </c>
      <c r="L178" s="656" t="s">
        <v>7</v>
      </c>
      <c r="M178" s="657"/>
      <c r="N178" s="14" t="s">
        <v>316</v>
      </c>
      <c r="V178" s="197"/>
      <c r="W178" s="30" t="e">
        <f>G238</f>
        <v>#VALUE!</v>
      </c>
    </row>
    <row r="179" spans="1:23" ht="18" hidden="1" customHeight="1">
      <c r="A179" s="196"/>
      <c r="B179" s="14" t="s">
        <v>412</v>
      </c>
      <c r="K179" s="120" t="s">
        <v>413</v>
      </c>
      <c r="L179" s="656" t="s">
        <v>7</v>
      </c>
      <c r="M179" s="657"/>
      <c r="N179" s="14" t="s">
        <v>414</v>
      </c>
      <c r="V179" s="197"/>
    </row>
    <row r="180" spans="1:23" ht="18" hidden="1" customHeight="1">
      <c r="A180" s="196"/>
      <c r="V180" s="197"/>
    </row>
    <row r="181" spans="1:23" ht="18" hidden="1" customHeight="1">
      <c r="A181" s="205" t="s">
        <v>415</v>
      </c>
      <c r="V181" s="197"/>
    </row>
    <row r="182" spans="1:23" ht="18" hidden="1" customHeight="1">
      <c r="A182" s="196"/>
      <c r="V182" s="197"/>
    </row>
    <row r="183" spans="1:23" ht="18" hidden="1" customHeight="1">
      <c r="A183" s="196"/>
      <c r="B183" s="141" t="s">
        <v>416</v>
      </c>
      <c r="C183" s="285"/>
      <c r="D183" s="146" t="str">
        <f>T172</f>
        <v>REB500</v>
      </c>
      <c r="E183" s="239"/>
      <c r="F183" s="239"/>
      <c r="G183" s="239"/>
      <c r="H183" s="145"/>
      <c r="I183" s="272" t="s">
        <v>138</v>
      </c>
      <c r="J183" s="648">
        <f>J101</f>
        <v>0.01</v>
      </c>
      <c r="K183" s="649"/>
      <c r="L183" s="3" t="s">
        <v>168</v>
      </c>
      <c r="N183" s="209" t="s">
        <v>521</v>
      </c>
      <c r="V183" s="197"/>
    </row>
    <row r="184" spans="1:23" ht="18" hidden="1" customHeight="1">
      <c r="A184" s="196"/>
      <c r="B184" s="96" t="s">
        <v>416</v>
      </c>
      <c r="C184" s="14"/>
      <c r="D184" s="47">
        <f>T173</f>
        <v>0</v>
      </c>
      <c r="H184" s="28"/>
      <c r="I184" s="101" t="s">
        <v>138</v>
      </c>
      <c r="J184" s="648">
        <f>J102</f>
        <v>0</v>
      </c>
      <c r="K184" s="649"/>
      <c r="L184" s="3" t="s">
        <v>168</v>
      </c>
      <c r="N184" s="120" t="s">
        <v>502</v>
      </c>
      <c r="O184" s="27" t="s">
        <v>138</v>
      </c>
      <c r="P184" s="27" t="s">
        <v>522</v>
      </c>
      <c r="Q184" s="27" t="s">
        <v>326</v>
      </c>
      <c r="R184" s="27" t="s">
        <v>522</v>
      </c>
      <c r="S184" s="27" t="s">
        <v>326</v>
      </c>
      <c r="T184" s="27" t="s">
        <v>431</v>
      </c>
      <c r="V184" s="197"/>
    </row>
    <row r="185" spans="1:23" ht="18" hidden="1" customHeight="1">
      <c r="A185" s="196"/>
      <c r="B185" s="96" t="s">
        <v>416</v>
      </c>
      <c r="C185" s="14"/>
      <c r="D185" s="47">
        <f>T174</f>
        <v>0</v>
      </c>
      <c r="H185" s="28"/>
      <c r="I185" s="101" t="s">
        <v>138</v>
      </c>
      <c r="J185" s="648">
        <f>J103</f>
        <v>0</v>
      </c>
      <c r="K185" s="649"/>
      <c r="L185" s="3" t="s">
        <v>168</v>
      </c>
      <c r="N185" s="27"/>
      <c r="O185" s="27" t="s">
        <v>138</v>
      </c>
      <c r="P185" s="27">
        <f>O175</f>
        <v>1</v>
      </c>
      <c r="Q185" s="27" t="s">
        <v>326</v>
      </c>
      <c r="R185" s="27">
        <f>O175</f>
        <v>1</v>
      </c>
      <c r="S185" s="27" t="s">
        <v>326</v>
      </c>
      <c r="T185" s="27" t="str">
        <f>L177</f>
        <v>-</v>
      </c>
      <c r="V185" s="197"/>
    </row>
    <row r="186" spans="1:23" ht="18" hidden="1" customHeight="1">
      <c r="A186" s="196"/>
      <c r="B186" s="465" t="s">
        <v>423</v>
      </c>
      <c r="C186" s="271"/>
      <c r="D186" s="271"/>
      <c r="E186" s="271"/>
      <c r="F186" s="219"/>
      <c r="G186" s="219"/>
      <c r="H186" s="202"/>
      <c r="I186" s="220" t="s">
        <v>138</v>
      </c>
      <c r="J186" s="646">
        <f>J104</f>
        <v>1.44186744</v>
      </c>
      <c r="K186" s="647"/>
      <c r="L186" s="309" t="s">
        <v>168</v>
      </c>
      <c r="O186" s="27" t="s">
        <v>138</v>
      </c>
      <c r="P186" s="637" t="e">
        <f>P185*R185*T185</f>
        <v>#VALUE!</v>
      </c>
      <c r="Q186" s="639"/>
      <c r="R186" s="27" t="s">
        <v>168</v>
      </c>
      <c r="V186" s="197"/>
    </row>
    <row r="187" spans="1:23" ht="18" hidden="1" customHeight="1">
      <c r="A187" s="196"/>
      <c r="B187" s="1" t="s">
        <v>424</v>
      </c>
      <c r="C187" s="2"/>
      <c r="D187" s="2"/>
      <c r="E187" s="2"/>
      <c r="F187" s="208"/>
      <c r="G187" s="208"/>
      <c r="H187" s="236" t="s">
        <v>523</v>
      </c>
      <c r="I187" s="195" t="s">
        <v>138</v>
      </c>
      <c r="J187" s="648">
        <f>SUM(J183:J186)</f>
        <v>1.45186744</v>
      </c>
      <c r="K187" s="649"/>
      <c r="L187" s="3" t="s">
        <v>168</v>
      </c>
      <c r="V187" s="197"/>
    </row>
    <row r="188" spans="1:23" ht="18" hidden="1" customHeight="1">
      <c r="A188" s="196"/>
      <c r="B188" s="47"/>
      <c r="C188" s="47"/>
      <c r="D188" s="47"/>
      <c r="E188" s="47"/>
      <c r="H188" s="27"/>
      <c r="I188" s="28"/>
      <c r="J188" s="211"/>
      <c r="L188" s="47"/>
      <c r="S188" s="27"/>
      <c r="V188" s="197"/>
    </row>
    <row r="189" spans="1:23" ht="18" hidden="1" customHeight="1">
      <c r="A189" s="964" t="s">
        <v>547</v>
      </c>
      <c r="B189" s="965"/>
      <c r="C189" s="965"/>
      <c r="D189" s="965"/>
      <c r="E189" s="965"/>
      <c r="F189" s="965"/>
      <c r="G189" s="965"/>
      <c r="H189" s="965"/>
      <c r="I189" s="965"/>
      <c r="J189" s="965"/>
      <c r="K189" s="965"/>
      <c r="L189" s="965"/>
      <c r="M189" s="965"/>
      <c r="N189" s="965"/>
      <c r="O189" s="965"/>
      <c r="P189" s="965"/>
      <c r="Q189" s="965"/>
      <c r="R189" s="965"/>
      <c r="S189" s="965"/>
      <c r="T189" s="965"/>
      <c r="U189" s="965"/>
      <c r="V189" s="966"/>
    </row>
    <row r="190" spans="1:23" ht="18" hidden="1" customHeight="1">
      <c r="A190" s="967"/>
      <c r="B190" s="965"/>
      <c r="C190" s="965"/>
      <c r="D190" s="965"/>
      <c r="E190" s="965"/>
      <c r="F190" s="965"/>
      <c r="G190" s="965"/>
      <c r="H190" s="965"/>
      <c r="I190" s="965"/>
      <c r="J190" s="965"/>
      <c r="K190" s="965"/>
      <c r="L190" s="965"/>
      <c r="M190" s="965"/>
      <c r="N190" s="965"/>
      <c r="O190" s="965"/>
      <c r="P190" s="965"/>
      <c r="Q190" s="965"/>
      <c r="R190" s="965"/>
      <c r="S190" s="965"/>
      <c r="T190" s="965"/>
      <c r="U190" s="965"/>
      <c r="V190" s="966"/>
    </row>
    <row r="191" spans="1:23" ht="18" hidden="1" customHeight="1">
      <c r="A191" s="196"/>
      <c r="Q191" s="223"/>
      <c r="R191" s="204"/>
      <c r="V191" s="197"/>
    </row>
    <row r="192" spans="1:23" ht="18" hidden="1" customHeight="1">
      <c r="A192" s="196"/>
      <c r="C192" s="28" t="s">
        <v>484</v>
      </c>
      <c r="D192" s="28" t="s">
        <v>138</v>
      </c>
      <c r="E192" s="28" t="s">
        <v>548</v>
      </c>
      <c r="F192" s="28" t="s">
        <v>504</v>
      </c>
      <c r="G192" s="28" t="s">
        <v>358</v>
      </c>
      <c r="H192" s="28" t="s">
        <v>502</v>
      </c>
      <c r="I192" s="28" t="s">
        <v>549</v>
      </c>
      <c r="J192" s="28" t="s">
        <v>506</v>
      </c>
      <c r="K192" s="28" t="s">
        <v>550</v>
      </c>
      <c r="L192" s="28" t="s">
        <v>522</v>
      </c>
      <c r="M192" s="28" t="s">
        <v>326</v>
      </c>
      <c r="N192" s="28">
        <v>1.3</v>
      </c>
      <c r="O192" s="47" t="s">
        <v>361</v>
      </c>
      <c r="V192" s="197"/>
    </row>
    <row r="193" spans="1:25" ht="18" hidden="1" customHeight="1">
      <c r="A193" s="196" t="s">
        <v>551</v>
      </c>
      <c r="C193" s="14"/>
      <c r="D193" s="28"/>
      <c r="E193" s="14"/>
      <c r="F193" s="14"/>
      <c r="G193" s="14"/>
      <c r="H193" s="14"/>
      <c r="I193" s="14"/>
      <c r="J193" s="14"/>
      <c r="K193" s="14"/>
      <c r="L193" s="14"/>
      <c r="M193" s="14"/>
      <c r="N193" s="14"/>
      <c r="O193" s="14"/>
      <c r="V193" s="197"/>
    </row>
    <row r="194" spans="1:25" ht="18" hidden="1" customHeight="1">
      <c r="A194" s="196"/>
      <c r="C194" s="28" t="s">
        <v>504</v>
      </c>
      <c r="D194" s="28" t="s">
        <v>138</v>
      </c>
      <c r="E194" s="28" t="s">
        <v>548</v>
      </c>
      <c r="F194" s="28">
        <v>1.3</v>
      </c>
      <c r="G194" s="28" t="s">
        <v>326</v>
      </c>
      <c r="H194" s="638" t="s">
        <v>484</v>
      </c>
      <c r="I194" s="920"/>
      <c r="J194" s="28" t="s">
        <v>326</v>
      </c>
      <c r="K194" s="28" t="s">
        <v>522</v>
      </c>
      <c r="L194" s="28" t="s">
        <v>552</v>
      </c>
      <c r="M194" s="28" t="s">
        <v>506</v>
      </c>
      <c r="N194" s="47" t="s">
        <v>553</v>
      </c>
      <c r="O194" s="28" t="s">
        <v>502</v>
      </c>
      <c r="V194" s="197"/>
    </row>
    <row r="195" spans="1:25" ht="18" hidden="1" customHeight="1">
      <c r="A195" s="196"/>
      <c r="V195" s="197"/>
    </row>
    <row r="196" spans="1:25" ht="18" hidden="1" customHeight="1">
      <c r="A196" s="180"/>
      <c r="B196" s="5"/>
      <c r="C196" s="47" t="s">
        <v>554</v>
      </c>
      <c r="D196" s="14"/>
      <c r="E196" s="14"/>
      <c r="F196" s="14"/>
      <c r="G196" s="14"/>
      <c r="H196" s="291"/>
      <c r="I196" s="120"/>
      <c r="J196" s="291"/>
      <c r="K196" s="291"/>
      <c r="L196" s="14"/>
      <c r="M196" s="14"/>
      <c r="N196" s="14"/>
      <c r="O196" s="14"/>
      <c r="P196" s="14"/>
      <c r="Q196" s="120" t="s">
        <v>555</v>
      </c>
      <c r="R196" s="102" t="s">
        <v>138</v>
      </c>
      <c r="S196" s="638">
        <f>S114</f>
        <v>1</v>
      </c>
      <c r="T196" s="638"/>
      <c r="U196" s="47" t="s">
        <v>9</v>
      </c>
      <c r="V196" s="197"/>
    </row>
    <row r="197" spans="1:25" ht="18" hidden="1" customHeight="1">
      <c r="A197" s="180"/>
      <c r="B197" s="5"/>
      <c r="C197" s="47" t="s">
        <v>556</v>
      </c>
      <c r="D197" s="14"/>
      <c r="E197" s="14"/>
      <c r="F197" s="18"/>
      <c r="G197" s="18"/>
      <c r="H197" s="291"/>
      <c r="I197" s="120"/>
      <c r="J197" s="291"/>
      <c r="K197" s="291"/>
      <c r="L197" s="14"/>
      <c r="M197" s="14"/>
      <c r="N197" s="14"/>
      <c r="O197" s="14"/>
      <c r="P197" s="14"/>
      <c r="Q197" s="120" t="s">
        <v>434</v>
      </c>
      <c r="R197" s="102" t="s">
        <v>138</v>
      </c>
      <c r="S197" s="638" t="str">
        <f>L175</f>
        <v>-</v>
      </c>
      <c r="T197" s="638"/>
      <c r="U197" s="14" t="s">
        <v>9</v>
      </c>
      <c r="V197" s="197"/>
    </row>
    <row r="198" spans="1:25" ht="18" hidden="1" customHeight="1">
      <c r="A198" s="180"/>
      <c r="B198" s="5"/>
      <c r="C198" s="47" t="s">
        <v>557</v>
      </c>
      <c r="D198" s="14"/>
      <c r="E198" s="14"/>
      <c r="F198" s="18"/>
      <c r="G198" s="18"/>
      <c r="H198" s="291"/>
      <c r="I198" s="120"/>
      <c r="J198" s="291"/>
      <c r="K198" s="291"/>
      <c r="L198" s="14"/>
      <c r="M198" s="14"/>
      <c r="N198" s="14"/>
      <c r="O198" s="14"/>
      <c r="P198" s="14"/>
      <c r="Q198" s="120" t="s">
        <v>484</v>
      </c>
      <c r="R198" s="102" t="s">
        <v>138</v>
      </c>
      <c r="S198" s="638" t="str">
        <f>L178</f>
        <v>-</v>
      </c>
      <c r="T198" s="638"/>
      <c r="U198" s="14" t="s">
        <v>316</v>
      </c>
      <c r="V198" s="197"/>
    </row>
    <row r="199" spans="1:25" ht="18" hidden="1" customHeight="1">
      <c r="A199" s="180"/>
      <c r="B199" s="5"/>
      <c r="C199" s="47" t="s">
        <v>558</v>
      </c>
      <c r="D199" s="14"/>
      <c r="E199" s="14"/>
      <c r="F199" s="18"/>
      <c r="G199" s="18"/>
      <c r="H199" s="291"/>
      <c r="I199" s="120"/>
      <c r="J199" s="291"/>
      <c r="K199" s="291"/>
      <c r="L199" s="14"/>
      <c r="M199" s="14"/>
      <c r="N199" s="14"/>
      <c r="O199" s="14"/>
      <c r="P199" s="14"/>
      <c r="Q199" s="120" t="s">
        <v>502</v>
      </c>
      <c r="R199" s="102" t="s">
        <v>138</v>
      </c>
      <c r="S199" s="641" t="e">
        <f>P186</f>
        <v>#VALUE!</v>
      </c>
      <c r="T199" s="638"/>
      <c r="U199" s="14" t="s">
        <v>168</v>
      </c>
      <c r="V199" s="197"/>
      <c r="W199" s="291"/>
      <c r="X199" s="291"/>
      <c r="Y199" s="291"/>
    </row>
    <row r="200" spans="1:25" ht="18" hidden="1" customHeight="1">
      <c r="A200" s="180"/>
      <c r="B200" s="5"/>
      <c r="C200" s="47" t="s">
        <v>559</v>
      </c>
      <c r="D200" s="14"/>
      <c r="E200" s="14"/>
      <c r="F200" s="18"/>
      <c r="G200" s="18"/>
      <c r="H200" s="291"/>
      <c r="I200" s="120"/>
      <c r="J200" s="291"/>
      <c r="K200" s="291"/>
      <c r="L200" s="14"/>
      <c r="M200" s="14"/>
      <c r="N200" s="14"/>
      <c r="O200" s="14"/>
      <c r="P200" s="14"/>
      <c r="Q200" s="120" t="s">
        <v>523</v>
      </c>
      <c r="R200" s="102" t="s">
        <v>138</v>
      </c>
      <c r="S200" s="641">
        <f>J187</f>
        <v>1.45186744</v>
      </c>
      <c r="T200" s="638"/>
      <c r="U200" s="14" t="s">
        <v>168</v>
      </c>
      <c r="V200" s="197"/>
      <c r="X200" s="291"/>
      <c r="Y200" s="291"/>
    </row>
    <row r="201" spans="1:25" ht="18" hidden="1" customHeight="1">
      <c r="A201" s="180"/>
      <c r="B201" s="5"/>
      <c r="C201" s="47" t="s">
        <v>560</v>
      </c>
      <c r="D201" s="14"/>
      <c r="E201" s="14"/>
      <c r="F201" s="14"/>
      <c r="G201" s="14"/>
      <c r="H201" s="291"/>
      <c r="I201" s="120"/>
      <c r="J201" s="291"/>
      <c r="K201" s="291"/>
      <c r="L201" s="14"/>
      <c r="M201" s="14"/>
      <c r="N201" s="14"/>
      <c r="O201" s="14"/>
      <c r="P201" s="14"/>
      <c r="Q201" s="120" t="s">
        <v>522</v>
      </c>
      <c r="R201" s="102" t="s">
        <v>138</v>
      </c>
      <c r="S201" s="638">
        <f>O175</f>
        <v>1</v>
      </c>
      <c r="T201" s="638"/>
      <c r="U201" s="14" t="s">
        <v>9</v>
      </c>
      <c r="V201" s="197"/>
      <c r="X201" s="291"/>
      <c r="Y201" s="291"/>
    </row>
    <row r="202" spans="1:25" ht="18" hidden="1" customHeight="1">
      <c r="A202" s="180"/>
      <c r="B202" s="5"/>
      <c r="C202" s="47" t="s">
        <v>561</v>
      </c>
      <c r="D202" s="14"/>
      <c r="E202" s="14"/>
      <c r="F202" s="14"/>
      <c r="G202" s="14"/>
      <c r="H202" s="291"/>
      <c r="I202" s="120"/>
      <c r="J202" s="291"/>
      <c r="K202" s="291"/>
      <c r="L202" s="14"/>
      <c r="M202" s="14"/>
      <c r="N202" s="14"/>
      <c r="O202" s="14"/>
      <c r="P202" s="14"/>
      <c r="Q202" s="120" t="s">
        <v>506</v>
      </c>
      <c r="R202" s="102" t="s">
        <v>138</v>
      </c>
      <c r="S202" s="638">
        <v>20</v>
      </c>
      <c r="T202" s="638"/>
      <c r="U202" s="47"/>
      <c r="V202" s="197"/>
    </row>
    <row r="203" spans="1:25" ht="18" hidden="1" customHeight="1">
      <c r="A203" s="311"/>
      <c r="B203" s="291"/>
      <c r="C203" s="47" t="s">
        <v>562</v>
      </c>
      <c r="D203" s="14"/>
      <c r="E203" s="14"/>
      <c r="F203" s="14"/>
      <c r="G203" s="14"/>
      <c r="H203" s="291"/>
      <c r="I203" s="120"/>
      <c r="J203" s="291"/>
      <c r="K203" s="291"/>
      <c r="L203" s="14"/>
      <c r="M203" s="14"/>
      <c r="N203" s="291"/>
      <c r="O203" s="291"/>
      <c r="P203" s="14"/>
      <c r="Q203" s="120" t="s">
        <v>504</v>
      </c>
      <c r="R203" s="14"/>
      <c r="S203" s="291"/>
      <c r="T203" s="291"/>
      <c r="U203" s="291"/>
      <c r="V203" s="312"/>
      <c r="W203" s="291"/>
      <c r="X203" s="291"/>
      <c r="Y203" s="291"/>
    </row>
    <row r="204" spans="1:25" ht="18" hidden="1" customHeight="1">
      <c r="A204" s="196"/>
      <c r="C204" s="14"/>
      <c r="D204" s="14"/>
      <c r="E204" s="14"/>
      <c r="F204" s="14"/>
      <c r="G204" s="14"/>
      <c r="H204" s="14"/>
      <c r="I204" s="14"/>
      <c r="J204" s="14"/>
      <c r="K204" s="14"/>
      <c r="L204" s="14"/>
      <c r="M204" s="14"/>
      <c r="N204" s="14"/>
      <c r="O204" s="14"/>
      <c r="P204" s="14"/>
      <c r="Q204" s="14"/>
      <c r="R204" s="14"/>
      <c r="S204" s="14"/>
      <c r="T204" s="14"/>
      <c r="U204" s="14"/>
      <c r="V204" s="197"/>
    </row>
    <row r="205" spans="1:25" ht="18" hidden="1" customHeight="1">
      <c r="A205" s="196"/>
      <c r="C205" s="28" t="s">
        <v>504</v>
      </c>
      <c r="D205" s="28" t="s">
        <v>138</v>
      </c>
      <c r="E205" s="28" t="s">
        <v>548</v>
      </c>
      <c r="F205" s="28">
        <v>1.3</v>
      </c>
      <c r="G205" s="28" t="s">
        <v>326</v>
      </c>
      <c r="H205" s="638" t="s">
        <v>484</v>
      </c>
      <c r="I205" s="920"/>
      <c r="J205" s="28" t="s">
        <v>326</v>
      </c>
      <c r="K205" s="28" t="s">
        <v>522</v>
      </c>
      <c r="L205" s="28" t="s">
        <v>552</v>
      </c>
      <c r="M205" s="28" t="s">
        <v>506</v>
      </c>
      <c r="N205" s="47" t="s">
        <v>553</v>
      </c>
      <c r="O205" s="28" t="s">
        <v>502</v>
      </c>
      <c r="V205" s="197"/>
    </row>
    <row r="206" spans="1:25" ht="18" hidden="1" customHeight="1">
      <c r="A206" s="196"/>
      <c r="D206" s="27" t="s">
        <v>138</v>
      </c>
      <c r="E206" s="27" t="s">
        <v>548</v>
      </c>
      <c r="F206" s="27">
        <v>1.3</v>
      </c>
      <c r="G206" s="27" t="s">
        <v>326</v>
      </c>
      <c r="H206" s="639" t="str">
        <f>S198</f>
        <v>-</v>
      </c>
      <c r="I206" s="985"/>
      <c r="J206" s="27" t="s">
        <v>326</v>
      </c>
      <c r="K206" s="27">
        <f>S201</f>
        <v>1</v>
      </c>
      <c r="L206" s="27" t="s">
        <v>552</v>
      </c>
      <c r="M206" s="27">
        <f>S202</f>
        <v>20</v>
      </c>
      <c r="N206" s="308" t="s">
        <v>553</v>
      </c>
      <c r="O206" s="234" t="e">
        <f>S199</f>
        <v>#VALUE!</v>
      </c>
      <c r="V206" s="197"/>
    </row>
    <row r="207" spans="1:25" ht="18" hidden="1" customHeight="1">
      <c r="A207" s="196"/>
      <c r="D207" s="27" t="s">
        <v>138</v>
      </c>
      <c r="E207" s="639" t="e">
        <f>((F206*H206*K206)/M206)-O206</f>
        <v>#VALUE!</v>
      </c>
      <c r="F207" s="639"/>
      <c r="G207" s="27" t="s">
        <v>168</v>
      </c>
      <c r="V207" s="197"/>
    </row>
    <row r="208" spans="1:25" ht="18" hidden="1" customHeight="1">
      <c r="A208" s="196"/>
      <c r="D208" s="27"/>
      <c r="E208" s="27"/>
      <c r="F208" s="27"/>
      <c r="G208" s="27"/>
      <c r="V208" s="197"/>
    </row>
    <row r="209" spans="1:22" ht="18" hidden="1" customHeight="1">
      <c r="A209" s="196"/>
      <c r="D209" s="27"/>
      <c r="E209" s="27"/>
      <c r="F209" s="27"/>
      <c r="G209" s="27"/>
      <c r="V209" s="197"/>
    </row>
    <row r="210" spans="1:22" ht="18" hidden="1" customHeight="1">
      <c r="A210" s="196"/>
      <c r="D210" s="27"/>
      <c r="E210" s="27"/>
      <c r="F210" s="27"/>
      <c r="G210" s="27"/>
      <c r="V210" s="197"/>
    </row>
    <row r="211" spans="1:22" ht="18" hidden="1" customHeight="1">
      <c r="A211" s="196"/>
      <c r="D211" s="27"/>
      <c r="E211" s="27"/>
      <c r="F211" s="27"/>
      <c r="G211" s="27"/>
      <c r="V211" s="197"/>
    </row>
    <row r="212" spans="1:22" ht="18" hidden="1" customHeight="1">
      <c r="A212" s="196"/>
      <c r="D212" s="27"/>
      <c r="E212" s="27"/>
      <c r="F212" s="27"/>
      <c r="G212" s="27"/>
      <c r="V212" s="197"/>
    </row>
    <row r="213" spans="1:22" ht="18" hidden="1" customHeight="1">
      <c r="A213" s="196"/>
      <c r="V213" s="197"/>
    </row>
    <row r="214" spans="1:22" s="14" customFormat="1" ht="18" hidden="1" customHeight="1">
      <c r="A214" s="206"/>
      <c r="B214" s="207"/>
      <c r="C214" s="207"/>
      <c r="D214" s="207"/>
      <c r="E214" s="207"/>
      <c r="F214" s="207"/>
      <c r="G214" s="207"/>
      <c r="H214" s="207"/>
      <c r="I214" s="207"/>
      <c r="J214" s="207"/>
      <c r="K214" s="207"/>
      <c r="L214" s="207"/>
      <c r="M214" s="207"/>
      <c r="N214" s="207"/>
      <c r="O214" s="207"/>
      <c r="P214" s="207"/>
      <c r="Q214" s="236"/>
      <c r="R214" s="194"/>
      <c r="S214" s="237"/>
      <c r="T214" s="207"/>
      <c r="U214" s="207"/>
      <c r="V214" s="140"/>
    </row>
    <row r="215" spans="1:22" ht="18" hidden="1" customHeight="1">
      <c r="A215" s="238"/>
      <c r="B215" s="239"/>
      <c r="C215" s="239"/>
      <c r="D215" s="239"/>
      <c r="E215" s="239"/>
      <c r="F215" s="239"/>
      <c r="G215" s="239"/>
      <c r="H215" s="239"/>
      <c r="I215" s="239"/>
      <c r="J215" s="239"/>
      <c r="K215" s="239"/>
      <c r="L215" s="239"/>
      <c r="M215" s="239"/>
      <c r="N215" s="239"/>
      <c r="O215" s="239"/>
      <c r="P215" s="239"/>
      <c r="Q215" s="239"/>
      <c r="R215" s="239"/>
      <c r="S215" s="239"/>
      <c r="T215" s="239"/>
      <c r="U215" s="239"/>
      <c r="V215" s="240"/>
    </row>
    <row r="216" spans="1:22" ht="18" hidden="1" customHeight="1">
      <c r="A216" s="96" t="s">
        <v>766</v>
      </c>
      <c r="B216" s="14"/>
      <c r="C216" s="14"/>
      <c r="D216" s="14"/>
      <c r="E216" s="14"/>
      <c r="F216" s="14"/>
      <c r="G216" s="14"/>
      <c r="H216" s="14"/>
      <c r="I216" s="14"/>
      <c r="J216" s="14"/>
      <c r="K216" s="14"/>
      <c r="L216" s="14"/>
      <c r="M216" s="14"/>
      <c r="N216" s="14"/>
      <c r="O216" s="14"/>
      <c r="P216" s="28"/>
      <c r="Q216" s="120"/>
      <c r="R216" s="14"/>
      <c r="S216" s="14"/>
      <c r="T216" s="14"/>
      <c r="U216" s="14"/>
      <c r="V216" s="197"/>
    </row>
    <row r="217" spans="1:22" ht="18" hidden="1" customHeight="1">
      <c r="A217" s="96"/>
      <c r="B217" s="14"/>
      <c r="C217" s="14"/>
      <c r="D217" s="14"/>
      <c r="E217" s="14"/>
      <c r="F217" s="14"/>
      <c r="G217" s="14"/>
      <c r="H217" s="14"/>
      <c r="K217" s="14" t="s">
        <v>767</v>
      </c>
      <c r="L217" s="28"/>
      <c r="M217" s="47"/>
      <c r="N217" s="14"/>
      <c r="O217" s="14"/>
      <c r="P217" s="14"/>
      <c r="Q217" s="14"/>
      <c r="R217" s="14"/>
      <c r="S217" s="14"/>
      <c r="T217" s="14"/>
      <c r="U217" s="14"/>
      <c r="V217" s="197"/>
    </row>
    <row r="218" spans="1:22" ht="18" hidden="1" customHeight="1">
      <c r="A218" s="96"/>
      <c r="B218" s="28" t="s">
        <v>756</v>
      </c>
      <c r="C218" s="290" t="s">
        <v>663</v>
      </c>
      <c r="D218" s="14" t="s">
        <v>768</v>
      </c>
      <c r="E218" s="14"/>
      <c r="F218" s="280" t="s">
        <v>769</v>
      </c>
      <c r="K218" s="28" t="s">
        <v>756</v>
      </c>
      <c r="L218" s="28" t="s">
        <v>138</v>
      </c>
      <c r="M218" s="293" t="s">
        <v>770</v>
      </c>
      <c r="N218" s="28"/>
      <c r="O218" s="47"/>
      <c r="P218" s="14"/>
      <c r="Q218" s="14"/>
      <c r="R218" s="14"/>
      <c r="S218" s="14"/>
      <c r="T218" s="14"/>
      <c r="U218" s="14"/>
      <c r="V218" s="197"/>
    </row>
    <row r="219" spans="1:22" ht="18" hidden="1" customHeight="1">
      <c r="A219" s="96"/>
      <c r="B219" s="28" t="s">
        <v>756</v>
      </c>
      <c r="C219" s="290" t="s">
        <v>663</v>
      </c>
      <c r="D219" s="47" t="s">
        <v>771</v>
      </c>
      <c r="E219" s="14"/>
      <c r="F219" s="280" t="s">
        <v>772</v>
      </c>
      <c r="K219" s="28"/>
      <c r="L219" s="28" t="s">
        <v>138</v>
      </c>
      <c r="M219" s="14" t="s">
        <v>773</v>
      </c>
      <c r="N219" s="14"/>
      <c r="O219" s="14"/>
      <c r="P219" s="14"/>
      <c r="Q219" s="14"/>
      <c r="R219" s="14"/>
      <c r="S219" s="14"/>
      <c r="T219" s="14"/>
      <c r="U219" s="14"/>
      <c r="V219" s="197"/>
    </row>
    <row r="220" spans="1:22" ht="18" hidden="1" customHeight="1">
      <c r="A220" s="96"/>
      <c r="B220" s="14"/>
      <c r="C220" s="14"/>
      <c r="D220" s="14"/>
      <c r="E220" s="14"/>
      <c r="F220" s="14"/>
      <c r="G220" s="14"/>
      <c r="H220" s="14"/>
      <c r="K220" s="28" t="s">
        <v>768</v>
      </c>
      <c r="L220" s="28" t="s">
        <v>138</v>
      </c>
      <c r="M220" s="47" t="s">
        <v>774</v>
      </c>
      <c r="N220" s="14"/>
      <c r="O220" s="14"/>
      <c r="P220" s="14"/>
      <c r="Q220" s="14"/>
      <c r="R220" s="14"/>
      <c r="S220" s="14"/>
      <c r="T220" s="14"/>
      <c r="U220" s="14"/>
      <c r="V220" s="197"/>
    </row>
    <row r="221" spans="1:22" ht="18" hidden="1" customHeight="1">
      <c r="A221" s="96"/>
      <c r="B221" s="14"/>
      <c r="C221" s="14"/>
      <c r="K221" s="28" t="s">
        <v>771</v>
      </c>
      <c r="L221" s="28" t="s">
        <v>138</v>
      </c>
      <c r="M221" s="28">
        <v>10</v>
      </c>
      <c r="O221" s="14" t="s">
        <v>775</v>
      </c>
      <c r="P221" s="28" t="s">
        <v>776</v>
      </c>
      <c r="Q221" s="290" t="s">
        <v>777</v>
      </c>
      <c r="R221" s="28">
        <v>120</v>
      </c>
      <c r="S221" s="14" t="s">
        <v>778</v>
      </c>
      <c r="T221" s="14"/>
      <c r="U221" s="14"/>
      <c r="V221" s="197"/>
    </row>
    <row r="222" spans="1:22" ht="18" hidden="1" customHeight="1">
      <c r="A222" s="96"/>
      <c r="B222" s="14"/>
      <c r="C222" s="14"/>
      <c r="L222" s="28" t="s">
        <v>138</v>
      </c>
      <c r="M222" s="27">
        <v>20</v>
      </c>
      <c r="N222" s="14"/>
      <c r="O222" s="14" t="s">
        <v>775</v>
      </c>
      <c r="P222" s="28" t="s">
        <v>776</v>
      </c>
      <c r="Q222" s="290" t="s">
        <v>777</v>
      </c>
      <c r="R222" s="28">
        <v>300</v>
      </c>
      <c r="S222" s="14" t="s">
        <v>778</v>
      </c>
      <c r="T222" s="14"/>
      <c r="U222" s="14"/>
      <c r="V222" s="197"/>
    </row>
    <row r="223" spans="1:22" ht="18" hidden="1" customHeight="1">
      <c r="A223" s="96"/>
      <c r="B223" s="14"/>
      <c r="C223" s="14"/>
      <c r="N223" s="14"/>
      <c r="O223" s="14"/>
      <c r="P223" s="28"/>
      <c r="Q223" s="120"/>
      <c r="R223" s="14"/>
      <c r="S223" s="14"/>
      <c r="T223" s="14"/>
      <c r="U223" s="14"/>
      <c r="V223" s="197"/>
    </row>
    <row r="224" spans="1:22" ht="18" hidden="1" customHeight="1">
      <c r="A224" s="96" t="s">
        <v>779</v>
      </c>
      <c r="B224" s="14"/>
      <c r="C224" s="14"/>
      <c r="K224" s="27" t="s">
        <v>768</v>
      </c>
      <c r="L224" s="27" t="s">
        <v>138</v>
      </c>
      <c r="M224" s="639" t="s">
        <v>436</v>
      </c>
      <c r="N224" s="639"/>
      <c r="O224" s="27" t="s">
        <v>780</v>
      </c>
      <c r="P224" s="27">
        <v>5</v>
      </c>
      <c r="Q224" s="28" t="s">
        <v>326</v>
      </c>
      <c r="R224" s="639" t="s">
        <v>434</v>
      </c>
      <c r="S224" s="639"/>
      <c r="T224" s="14" t="s">
        <v>361</v>
      </c>
      <c r="U224" s="14"/>
      <c r="V224" s="197"/>
    </row>
    <row r="225" spans="1:22" ht="18" hidden="1" customHeight="1">
      <c r="A225" s="96"/>
      <c r="B225" s="14"/>
      <c r="C225" s="14"/>
      <c r="L225" s="27" t="s">
        <v>138</v>
      </c>
      <c r="M225" s="639">
        <f>S196</f>
        <v>1</v>
      </c>
      <c r="N225" s="639"/>
      <c r="O225" s="27" t="s">
        <v>780</v>
      </c>
      <c r="P225" s="27">
        <v>5</v>
      </c>
      <c r="Q225" s="28" t="s">
        <v>326</v>
      </c>
      <c r="R225" s="639" t="str">
        <f>S197</f>
        <v>-</v>
      </c>
      <c r="S225" s="639"/>
      <c r="T225" s="14" t="s">
        <v>361</v>
      </c>
      <c r="U225" s="14"/>
      <c r="V225" s="197"/>
    </row>
    <row r="226" spans="1:22" ht="18" hidden="1" customHeight="1">
      <c r="A226" s="96"/>
      <c r="B226" s="14"/>
      <c r="C226" s="14"/>
      <c r="D226" s="14"/>
      <c r="E226" s="120"/>
      <c r="F226" s="28"/>
      <c r="L226" s="27" t="s">
        <v>138</v>
      </c>
      <c r="M226" s="638" t="e">
        <f>M225/(P225*R225)</f>
        <v>#VALUE!</v>
      </c>
      <c r="N226" s="639"/>
      <c r="O226" s="14"/>
      <c r="P226" s="14"/>
      <c r="Q226" s="14"/>
      <c r="R226" s="14"/>
      <c r="S226" s="14"/>
      <c r="T226" s="14"/>
      <c r="U226" s="14"/>
      <c r="V226" s="197"/>
    </row>
    <row r="227" spans="1:22" ht="18" hidden="1" customHeight="1">
      <c r="A227" s="96"/>
      <c r="B227" s="14"/>
      <c r="C227" s="14"/>
      <c r="D227" s="14"/>
      <c r="E227" s="14"/>
      <c r="F227" s="28"/>
      <c r="G227" s="14"/>
      <c r="H227" s="14"/>
      <c r="I227" s="102"/>
      <c r="J227" s="47"/>
      <c r="K227" s="47"/>
      <c r="L227" s="14"/>
      <c r="M227" s="14"/>
      <c r="N227" s="14"/>
      <c r="O227" s="14"/>
      <c r="P227" s="14"/>
      <c r="Q227" s="14"/>
      <c r="R227" s="14"/>
      <c r="S227" s="14"/>
      <c r="T227" s="14"/>
      <c r="U227" s="14"/>
      <c r="V227" s="197"/>
    </row>
    <row r="228" spans="1:22" ht="18" hidden="1" customHeight="1">
      <c r="A228" s="96" t="s">
        <v>781</v>
      </c>
      <c r="B228" s="14"/>
      <c r="C228" s="14"/>
      <c r="D228" s="14"/>
      <c r="E228" s="269" t="s">
        <v>782</v>
      </c>
      <c r="F228" s="14"/>
      <c r="G228" s="28" t="s">
        <v>138</v>
      </c>
      <c r="H228" s="641" t="e">
        <f>'[2]Parameters &amp; Fault Cal.'!Q184</f>
        <v>#REF!</v>
      </c>
      <c r="I228" s="639"/>
      <c r="J228" s="30" t="s">
        <v>542</v>
      </c>
      <c r="K228" s="28" t="s">
        <v>771</v>
      </c>
      <c r="L228" s="230" t="s">
        <v>138</v>
      </c>
      <c r="M228" s="641" t="e">
        <f>IF(H228&lt;=120,M221,M222)</f>
        <v>#REF!</v>
      </c>
      <c r="N228" s="639"/>
      <c r="O228" s="14"/>
      <c r="P228" s="14"/>
      <c r="Q228" s="14"/>
      <c r="R228" s="14"/>
      <c r="S228" s="14"/>
      <c r="T228" s="14"/>
      <c r="U228" s="14"/>
      <c r="V228" s="197"/>
    </row>
    <row r="229" spans="1:22" ht="18" hidden="1" customHeight="1">
      <c r="A229" s="196"/>
      <c r="J229" s="14"/>
      <c r="K229" s="269"/>
      <c r="M229" s="14"/>
      <c r="N229" s="14"/>
      <c r="O229" s="14"/>
      <c r="P229" s="14"/>
      <c r="Q229" s="14"/>
      <c r="R229" s="14"/>
      <c r="S229" s="14"/>
      <c r="T229" s="14"/>
      <c r="U229" s="14"/>
      <c r="V229" s="197"/>
    </row>
    <row r="230" spans="1:22" ht="18" hidden="1" customHeight="1">
      <c r="A230" s="96" t="s">
        <v>783</v>
      </c>
      <c r="E230" s="211"/>
      <c r="G230" s="27" t="s">
        <v>138</v>
      </c>
      <c r="H230" s="27" t="s">
        <v>506</v>
      </c>
      <c r="I230" s="27" t="s">
        <v>565</v>
      </c>
      <c r="J230" s="120" t="s">
        <v>502</v>
      </c>
      <c r="K230" s="28" t="s">
        <v>358</v>
      </c>
      <c r="L230" s="120" t="s">
        <v>504</v>
      </c>
      <c r="M230" s="28" t="s">
        <v>550</v>
      </c>
      <c r="N230" s="120" t="s">
        <v>502</v>
      </c>
      <c r="O230" s="28" t="s">
        <v>358</v>
      </c>
      <c r="P230" s="120" t="s">
        <v>523</v>
      </c>
      <c r="Q230" s="308" t="s">
        <v>361</v>
      </c>
      <c r="V230" s="197"/>
    </row>
    <row r="231" spans="1:22" ht="18" hidden="1" customHeight="1">
      <c r="A231" s="196"/>
      <c r="G231" s="27" t="s">
        <v>138</v>
      </c>
      <c r="H231" s="254">
        <f>S202</f>
        <v>20</v>
      </c>
      <c r="I231" s="257" t="s">
        <v>565</v>
      </c>
      <c r="J231" s="313" t="e">
        <f>S199</f>
        <v>#VALUE!</v>
      </c>
      <c r="K231" s="257" t="s">
        <v>358</v>
      </c>
      <c r="L231" s="313" t="e">
        <f>E207</f>
        <v>#VALUE!</v>
      </c>
      <c r="M231" s="257" t="s">
        <v>550</v>
      </c>
      <c r="N231" s="313" t="e">
        <f>S199</f>
        <v>#VALUE!</v>
      </c>
      <c r="O231" s="257" t="s">
        <v>358</v>
      </c>
      <c r="P231" s="313">
        <f>S200</f>
        <v>1.45186744</v>
      </c>
      <c r="Q231" s="474" t="s">
        <v>361</v>
      </c>
      <c r="V231" s="197"/>
    </row>
    <row r="232" spans="1:22" ht="18" hidden="1" customHeight="1">
      <c r="A232" s="196"/>
      <c r="G232" s="27" t="s">
        <v>138</v>
      </c>
      <c r="H232" s="637" t="e">
        <f>H231*((J231+L231)/(N231+P231))</f>
        <v>#VALUE!</v>
      </c>
      <c r="I232" s="637"/>
      <c r="V232" s="197"/>
    </row>
    <row r="233" spans="1:22" ht="18" hidden="1" customHeight="1">
      <c r="A233" s="196"/>
      <c r="V233" s="197"/>
    </row>
    <row r="234" spans="1:22" ht="18" hidden="1" customHeight="1">
      <c r="A234" s="196" t="s">
        <v>784</v>
      </c>
      <c r="E234" s="256"/>
      <c r="F234" s="27"/>
      <c r="G234" s="308"/>
      <c r="V234" s="197"/>
    </row>
    <row r="235" spans="1:22" ht="18" hidden="1" customHeight="1">
      <c r="A235" s="196"/>
      <c r="D235" s="223"/>
      <c r="E235" s="223"/>
      <c r="F235" s="27"/>
      <c r="G235" s="223"/>
      <c r="H235" s="223"/>
      <c r="V235" s="197"/>
    </row>
    <row r="236" spans="1:22" ht="18" hidden="1" customHeight="1">
      <c r="A236" s="196"/>
      <c r="D236" s="637" t="e">
        <f>H232</f>
        <v>#VALUE!</v>
      </c>
      <c r="E236" s="639"/>
      <c r="F236" s="27" t="e">
        <f>IF(D236&gt;=G236,"&gt;","&lt;")</f>
        <v>#VALUE!</v>
      </c>
      <c r="G236" s="637" t="e">
        <f>M226</f>
        <v>#VALUE!</v>
      </c>
      <c r="H236" s="639"/>
      <c r="I236" s="18"/>
      <c r="J236" s="280" t="s">
        <v>769</v>
      </c>
      <c r="V236" s="197"/>
    </row>
    <row r="237" spans="1:22" ht="18" hidden="1" customHeight="1">
      <c r="A237" s="196"/>
      <c r="D237" s="637" t="e">
        <f>H232</f>
        <v>#VALUE!</v>
      </c>
      <c r="E237" s="639"/>
      <c r="F237" s="27" t="e">
        <f>IF(D237&gt;=G237,"&gt;","&lt;")</f>
        <v>#VALUE!</v>
      </c>
      <c r="G237" s="637" t="e">
        <f>M228</f>
        <v>#REF!</v>
      </c>
      <c r="H237" s="639"/>
      <c r="J237" s="280" t="s">
        <v>772</v>
      </c>
      <c r="V237" s="197"/>
    </row>
    <row r="238" spans="1:22" ht="18" hidden="1" customHeight="1">
      <c r="A238" s="196"/>
      <c r="E238" s="256" t="s">
        <v>489</v>
      </c>
      <c r="G238" s="18" t="e">
        <f>IF(AND(F236="&gt;",F237="&gt;")=TRUE,"Suitably Dimensioned","Under Dimensioned")</f>
        <v>#VALUE!</v>
      </c>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s="14" customFormat="1" ht="18" hidden="1" customHeight="1">
      <c r="A258" s="206"/>
      <c r="B258" s="207"/>
      <c r="C258" s="207"/>
      <c r="D258" s="207"/>
      <c r="E258" s="207"/>
      <c r="F258" s="207"/>
      <c r="G258" s="207"/>
      <c r="H258" s="207"/>
      <c r="I258" s="207"/>
      <c r="J258" s="207"/>
      <c r="K258" s="207"/>
      <c r="L258" s="207"/>
      <c r="M258" s="207"/>
      <c r="N258" s="207"/>
      <c r="O258" s="207"/>
      <c r="P258" s="207"/>
      <c r="Q258" s="236"/>
      <c r="R258" s="194"/>
      <c r="S258" s="237"/>
      <c r="T258" s="207"/>
      <c r="U258" s="207"/>
      <c r="V258" s="140"/>
    </row>
    <row r="259" spans="1:22" ht="18" customHeight="1">
      <c r="A259" s="238"/>
      <c r="B259" s="239"/>
      <c r="C259" s="239"/>
      <c r="D259" s="239"/>
      <c r="E259" s="239"/>
      <c r="F259" s="239"/>
      <c r="G259" s="239"/>
      <c r="H259" s="239"/>
      <c r="I259" s="239"/>
      <c r="J259" s="239"/>
      <c r="K259" s="239"/>
      <c r="L259" s="239"/>
      <c r="M259" s="239"/>
      <c r="N259" s="239"/>
      <c r="O259" s="239"/>
      <c r="P259" s="239"/>
      <c r="Q259" s="239"/>
      <c r="R259" s="239"/>
      <c r="S259" s="239"/>
      <c r="T259" s="239"/>
      <c r="U259" s="239"/>
      <c r="V259" s="240"/>
    </row>
    <row r="260" spans="1:22" ht="18" customHeight="1">
      <c r="A260" s="465" t="s">
        <v>512</v>
      </c>
      <c r="B260" s="14"/>
      <c r="C260" s="14"/>
      <c r="D260" s="120"/>
      <c r="E260" s="120"/>
      <c r="F260" s="18"/>
      <c r="G260" s="18"/>
      <c r="H260" s="14"/>
      <c r="I260" s="14"/>
      <c r="J260" s="14"/>
      <c r="K260" s="14"/>
      <c r="L260" s="14"/>
      <c r="M260" s="14"/>
      <c r="N260" s="14"/>
      <c r="O260" s="14"/>
      <c r="P260" s="28"/>
      <c r="Q260" s="120"/>
      <c r="R260" s="47"/>
      <c r="S260" s="218"/>
      <c r="T260" s="271"/>
      <c r="U260" s="14"/>
      <c r="V260" s="97"/>
    </row>
    <row r="261" spans="1:22" ht="18" customHeight="1">
      <c r="A261" s="614" t="s">
        <v>97</v>
      </c>
      <c r="B261" s="620"/>
      <c r="C261" s="615"/>
      <c r="D261" s="614" t="s">
        <v>98</v>
      </c>
      <c r="E261" s="620"/>
      <c r="F261" s="615"/>
      <c r="G261" s="614" t="s">
        <v>99</v>
      </c>
      <c r="H261" s="615"/>
      <c r="I261" s="614" t="s">
        <v>100</v>
      </c>
      <c r="J261" s="615"/>
      <c r="K261" s="614" t="s">
        <v>513</v>
      </c>
      <c r="L261" s="615"/>
      <c r="M261" s="614" t="s">
        <v>514</v>
      </c>
      <c r="N261" s="615"/>
      <c r="O261" s="614" t="s">
        <v>515</v>
      </c>
      <c r="P261" s="615"/>
      <c r="Q261" s="614" t="s">
        <v>516</v>
      </c>
      <c r="R261" s="615"/>
      <c r="S261" s="614" t="s">
        <v>105</v>
      </c>
      <c r="T261" s="620"/>
      <c r="U261" s="620"/>
      <c r="V261" s="615"/>
    </row>
    <row r="262" spans="1:22" ht="18" customHeight="1">
      <c r="A262" s="616"/>
      <c r="B262" s="621"/>
      <c r="C262" s="617"/>
      <c r="D262" s="616"/>
      <c r="E262" s="621"/>
      <c r="F262" s="617"/>
      <c r="G262" s="616"/>
      <c r="H262" s="617"/>
      <c r="I262" s="616"/>
      <c r="J262" s="617"/>
      <c r="K262" s="616"/>
      <c r="L262" s="617"/>
      <c r="M262" s="616"/>
      <c r="N262" s="617"/>
      <c r="O262" s="616"/>
      <c r="P262" s="617"/>
      <c r="Q262" s="616"/>
      <c r="R262" s="617"/>
      <c r="S262" s="616"/>
      <c r="T262" s="621"/>
      <c r="U262" s="621"/>
      <c r="V262" s="617"/>
    </row>
    <row r="263" spans="1:22" ht="18" customHeight="1">
      <c r="A263" s="616"/>
      <c r="B263" s="621"/>
      <c r="C263" s="617"/>
      <c r="D263" s="616"/>
      <c r="E263" s="621"/>
      <c r="F263" s="617"/>
      <c r="G263" s="616"/>
      <c r="H263" s="617"/>
      <c r="I263" s="616"/>
      <c r="J263" s="617"/>
      <c r="K263" s="616"/>
      <c r="L263" s="617"/>
      <c r="M263" s="616"/>
      <c r="N263" s="617"/>
      <c r="O263" s="616"/>
      <c r="P263" s="617"/>
      <c r="Q263" s="616"/>
      <c r="R263" s="617"/>
      <c r="S263" s="616"/>
      <c r="T263" s="621"/>
      <c r="U263" s="621"/>
      <c r="V263" s="617"/>
    </row>
    <row r="264" spans="1:22" ht="18" customHeight="1">
      <c r="A264" s="618"/>
      <c r="B264" s="622"/>
      <c r="C264" s="619"/>
      <c r="D264" s="618"/>
      <c r="E264" s="622"/>
      <c r="F264" s="619"/>
      <c r="G264" s="618"/>
      <c r="H264" s="619"/>
      <c r="I264" s="618"/>
      <c r="J264" s="619"/>
      <c r="K264" s="618"/>
      <c r="L264" s="619"/>
      <c r="M264" s="618"/>
      <c r="N264" s="619"/>
      <c r="O264" s="618"/>
      <c r="P264" s="619"/>
      <c r="Q264" s="618"/>
      <c r="R264" s="619"/>
      <c r="S264" s="618"/>
      <c r="T264" s="622"/>
      <c r="U264" s="622"/>
      <c r="V264" s="619"/>
    </row>
    <row r="265" spans="1:22" ht="18" customHeight="1">
      <c r="A265" s="623" t="str">
        <f>B7</f>
        <v>T1</v>
      </c>
      <c r="B265" s="623" t="str">
        <f>D7</f>
        <v>Core3</v>
      </c>
      <c r="C265" s="623"/>
      <c r="D265" s="613">
        <f>H10</f>
        <v>2500</v>
      </c>
      <c r="E265" s="613"/>
      <c r="F265" s="624">
        <f>O10</f>
        <v>1</v>
      </c>
      <c r="G265" s="613">
        <f>'CT-VT Burdens'!S19</f>
        <v>80</v>
      </c>
      <c r="H265" s="783">
        <f>'CT-VT Burdens'!S10</f>
        <v>2.5</v>
      </c>
      <c r="I265" s="783" t="str">
        <f>H11</f>
        <v>PX - B</v>
      </c>
      <c r="J265" s="783" t="e">
        <f>#REF!</f>
        <v>#REF!</v>
      </c>
      <c r="K265" s="612">
        <f>H12</f>
        <v>5</v>
      </c>
      <c r="L265" s="612"/>
      <c r="M265" s="612">
        <f>H13</f>
        <v>750</v>
      </c>
      <c r="N265" s="612"/>
      <c r="O265" s="613">
        <f>H14</f>
        <v>60</v>
      </c>
      <c r="P265" s="613"/>
      <c r="Q265" s="629" t="str">
        <f>IF(T8="",T7,IF(T9="",T7&amp;"+"&amp;T8,T7&amp;"+"&amp;T8&amp;"+"&amp;T9))</f>
        <v>REB500</v>
      </c>
      <c r="R265" s="629"/>
      <c r="S265" s="628" t="str">
        <f>M83</f>
        <v>Suitable Dimensions</v>
      </c>
      <c r="T265" s="628"/>
      <c r="U265" s="628"/>
      <c r="V265" s="628"/>
    </row>
    <row r="266" spans="1:22" ht="18" customHeight="1">
      <c r="A266" s="623"/>
      <c r="B266" s="623"/>
      <c r="C266" s="623"/>
      <c r="D266" s="613" t="str">
        <f>J10</f>
        <v>-</v>
      </c>
      <c r="E266" s="613"/>
      <c r="F266" s="625"/>
      <c r="G266" s="613"/>
      <c r="H266" s="613"/>
      <c r="I266" s="783"/>
      <c r="J266" s="783"/>
      <c r="K266" s="785" t="s">
        <v>7</v>
      </c>
      <c r="L266" s="612"/>
      <c r="M266" s="785" t="s">
        <v>7</v>
      </c>
      <c r="N266" s="612"/>
      <c r="O266" s="786" t="s">
        <v>7</v>
      </c>
      <c r="P266" s="613"/>
      <c r="Q266" s="629"/>
      <c r="R266" s="629"/>
      <c r="S266" s="961" t="s">
        <v>7</v>
      </c>
      <c r="T266" s="628"/>
      <c r="U266" s="628"/>
      <c r="V266" s="628"/>
    </row>
    <row r="267" spans="1:22" ht="18" customHeight="1">
      <c r="A267" s="623"/>
      <c r="B267" s="623"/>
      <c r="C267" s="623"/>
      <c r="D267" s="613" t="str">
        <f>L10</f>
        <v>-</v>
      </c>
      <c r="E267" s="613"/>
      <c r="F267" s="626"/>
      <c r="G267" s="613"/>
      <c r="H267" s="613"/>
      <c r="I267" s="783"/>
      <c r="J267" s="783"/>
      <c r="K267" s="612" t="str">
        <f>L177</f>
        <v>-</v>
      </c>
      <c r="L267" s="612"/>
      <c r="M267" s="612" t="str">
        <f>L178</f>
        <v>-</v>
      </c>
      <c r="N267" s="612"/>
      <c r="O267" s="613" t="str">
        <f>L179</f>
        <v>-</v>
      </c>
      <c r="P267" s="613"/>
      <c r="Q267" s="629"/>
      <c r="R267" s="629"/>
      <c r="S267" s="628" t="s">
        <v>7</v>
      </c>
      <c r="T267" s="628"/>
      <c r="U267" s="628"/>
      <c r="V267" s="628"/>
    </row>
    <row r="268" spans="1:22" ht="18" customHeight="1">
      <c r="A268" s="196"/>
      <c r="V268" s="197"/>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s="14" customFormat="1" ht="18" customHeight="1">
      <c r="A299" s="206"/>
      <c r="B299" s="207"/>
      <c r="C299" s="207"/>
      <c r="D299" s="207"/>
      <c r="E299" s="207"/>
      <c r="F299" s="207"/>
      <c r="G299" s="207"/>
      <c r="H299" s="207"/>
      <c r="I299" s="207"/>
      <c r="J299" s="207"/>
      <c r="K299" s="207"/>
      <c r="L299" s="207"/>
      <c r="M299" s="207"/>
      <c r="N299" s="207"/>
      <c r="O299" s="207"/>
      <c r="P299" s="207"/>
      <c r="Q299" s="236"/>
      <c r="R299" s="194"/>
      <c r="S299" s="237"/>
      <c r="T299" s="207"/>
      <c r="U299" s="207"/>
      <c r="V299" s="140"/>
    </row>
  </sheetData>
  <mergeCells count="195">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10:I10"/>
    <mergeCell ref="J10:K10"/>
    <mergeCell ref="L10:M10"/>
    <mergeCell ref="H11:I11"/>
    <mergeCell ref="H12:I12"/>
    <mergeCell ref="H13:I13"/>
    <mergeCell ref="B7:C7"/>
    <mergeCell ref="D7:E7"/>
    <mergeCell ref="H7:M7"/>
    <mergeCell ref="J22:K22"/>
    <mergeCell ref="S25:T25"/>
    <mergeCell ref="S26:T26"/>
    <mergeCell ref="S27:T27"/>
    <mergeCell ref="S28:T28"/>
    <mergeCell ref="S29:T29"/>
    <mergeCell ref="H14:I14"/>
    <mergeCell ref="J18:K18"/>
    <mergeCell ref="J19:K19"/>
    <mergeCell ref="J20:K20"/>
    <mergeCell ref="J21:K21"/>
    <mergeCell ref="P21:Q21"/>
    <mergeCell ref="E50:F50"/>
    <mergeCell ref="E51:F51"/>
    <mergeCell ref="E53:F53"/>
    <mergeCell ref="E56:E57"/>
    <mergeCell ref="F56:G56"/>
    <mergeCell ref="H56:H57"/>
    <mergeCell ref="S30:T30"/>
    <mergeCell ref="S31:T31"/>
    <mergeCell ref="S32:T32"/>
    <mergeCell ref="I36:I37"/>
    <mergeCell ref="J36:J37"/>
    <mergeCell ref="K36:L36"/>
    <mergeCell ref="K37:L37"/>
    <mergeCell ref="N79:O79"/>
    <mergeCell ref="N80:O80"/>
    <mergeCell ref="I82:J82"/>
    <mergeCell ref="M82:N82"/>
    <mergeCell ref="B90:C90"/>
    <mergeCell ref="D90:E90"/>
    <mergeCell ref="H90:M90"/>
    <mergeCell ref="F59:H59"/>
    <mergeCell ref="J59:J60"/>
    <mergeCell ref="K59:K60"/>
    <mergeCell ref="F62:G62"/>
    <mergeCell ref="F63:G63"/>
    <mergeCell ref="F75:G75"/>
    <mergeCell ref="H93:I93"/>
    <mergeCell ref="J93:K93"/>
    <mergeCell ref="L93:M93"/>
    <mergeCell ref="J94:K94"/>
    <mergeCell ref="J95:K95"/>
    <mergeCell ref="J96:K96"/>
    <mergeCell ref="T90:U90"/>
    <mergeCell ref="T91:U91"/>
    <mergeCell ref="H92:I92"/>
    <mergeCell ref="J92:K92"/>
    <mergeCell ref="L92:M92"/>
    <mergeCell ref="T92:U92"/>
    <mergeCell ref="J105:K105"/>
    <mergeCell ref="S108:T108"/>
    <mergeCell ref="S109:T109"/>
    <mergeCell ref="S110:T110"/>
    <mergeCell ref="S111:T111"/>
    <mergeCell ref="S112:T112"/>
    <mergeCell ref="J97:K97"/>
    <mergeCell ref="J101:K101"/>
    <mergeCell ref="J102:K102"/>
    <mergeCell ref="J103:K103"/>
    <mergeCell ref="J104:K104"/>
    <mergeCell ref="P104:Q104"/>
    <mergeCell ref="E133:F133"/>
    <mergeCell ref="E134:F134"/>
    <mergeCell ref="E136:F136"/>
    <mergeCell ref="E139:E140"/>
    <mergeCell ref="F139:G139"/>
    <mergeCell ref="H139:H140"/>
    <mergeCell ref="S113:T113"/>
    <mergeCell ref="S114:T114"/>
    <mergeCell ref="S115:T115"/>
    <mergeCell ref="I119:I120"/>
    <mergeCell ref="J119:J120"/>
    <mergeCell ref="K119:L119"/>
    <mergeCell ref="K120:L120"/>
    <mergeCell ref="F157:G157"/>
    <mergeCell ref="N161:O161"/>
    <mergeCell ref="N162:O162"/>
    <mergeCell ref="J164:K164"/>
    <mergeCell ref="M164:N164"/>
    <mergeCell ref="B172:C172"/>
    <mergeCell ref="D172:E172"/>
    <mergeCell ref="H172:M172"/>
    <mergeCell ref="F144:H144"/>
    <mergeCell ref="J144:J145"/>
    <mergeCell ref="K144:K145"/>
    <mergeCell ref="F146:G146"/>
    <mergeCell ref="F147:G147"/>
    <mergeCell ref="E153:F153"/>
    <mergeCell ref="H175:I175"/>
    <mergeCell ref="J175:K175"/>
    <mergeCell ref="L175:M175"/>
    <mergeCell ref="L176:M176"/>
    <mergeCell ref="L177:M177"/>
    <mergeCell ref="L178:M178"/>
    <mergeCell ref="T172:U172"/>
    <mergeCell ref="T173:U173"/>
    <mergeCell ref="H174:I174"/>
    <mergeCell ref="J174:K174"/>
    <mergeCell ref="L174:M174"/>
    <mergeCell ref="T174:U174"/>
    <mergeCell ref="J187:K187"/>
    <mergeCell ref="A189:V190"/>
    <mergeCell ref="H194:I194"/>
    <mergeCell ref="S196:T196"/>
    <mergeCell ref="S197:T197"/>
    <mergeCell ref="S198:T198"/>
    <mergeCell ref="L179:M179"/>
    <mergeCell ref="J183:K183"/>
    <mergeCell ref="J184:K184"/>
    <mergeCell ref="J185:K185"/>
    <mergeCell ref="J186:K186"/>
    <mergeCell ref="P186:Q186"/>
    <mergeCell ref="R224:S224"/>
    <mergeCell ref="M225:N225"/>
    <mergeCell ref="R225:S225"/>
    <mergeCell ref="M226:N226"/>
    <mergeCell ref="S199:T199"/>
    <mergeCell ref="S200:T200"/>
    <mergeCell ref="S201:T201"/>
    <mergeCell ref="S202:T202"/>
    <mergeCell ref="H205:I205"/>
    <mergeCell ref="H206:I206"/>
    <mergeCell ref="H228:I228"/>
    <mergeCell ref="M228:N228"/>
    <mergeCell ref="H232:I232"/>
    <mergeCell ref="D236:E236"/>
    <mergeCell ref="G236:H236"/>
    <mergeCell ref="D237:E237"/>
    <mergeCell ref="G237:H237"/>
    <mergeCell ref="E207:F207"/>
    <mergeCell ref="M224:N224"/>
    <mergeCell ref="A265:A267"/>
    <mergeCell ref="B265:C267"/>
    <mergeCell ref="D265:E265"/>
    <mergeCell ref="F265:F267"/>
    <mergeCell ref="G265:G267"/>
    <mergeCell ref="H265:H267"/>
    <mergeCell ref="I265:J267"/>
    <mergeCell ref="A261:C264"/>
    <mergeCell ref="D261:F264"/>
    <mergeCell ref="G261:H264"/>
    <mergeCell ref="I261:J264"/>
    <mergeCell ref="D267:E267"/>
    <mergeCell ref="Q265:R267"/>
    <mergeCell ref="S265:V265"/>
    <mergeCell ref="D266:E266"/>
    <mergeCell ref="K266:L266"/>
    <mergeCell ref="M266:N266"/>
    <mergeCell ref="O266:P266"/>
    <mergeCell ref="S266:V266"/>
    <mergeCell ref="O261:P264"/>
    <mergeCell ref="Q261:R264"/>
    <mergeCell ref="S261:V264"/>
    <mergeCell ref="K261:L264"/>
    <mergeCell ref="M261:N264"/>
    <mergeCell ref="K267:L267"/>
    <mergeCell ref="M267:N267"/>
    <mergeCell ref="O267:P267"/>
    <mergeCell ref="S267:V267"/>
    <mergeCell ref="K265:L265"/>
    <mergeCell ref="M265:N265"/>
    <mergeCell ref="O265:P265"/>
  </mergeCells>
  <conditionalFormatting sqref="I236 G238">
    <cfRule type="cellIs" dxfId="93" priority="3" stopIfTrue="1" operator="equal">
      <formula>"Under Dimentioned"</formula>
    </cfRule>
  </conditionalFormatting>
  <conditionalFormatting sqref="O81 M83:M86">
    <cfRule type="cellIs" dxfId="92" priority="1" stopIfTrue="1" operator="equal">
      <formula>"Under Dimentioned"</formula>
    </cfRule>
  </conditionalFormatting>
  <conditionalFormatting sqref="O163 M165">
    <cfRule type="cellIs" dxfId="91" priority="2" stopIfTrue="1" operator="equal">
      <formula>"Under Dimentioned"</formula>
    </cfRule>
  </conditionalFormatting>
  <dataValidations count="2">
    <dataValidation type="list" allowBlank="1" showInputMessage="1" showErrorMessage="1" sqref="D172 IZ172 SV172 ACR172 AMN172 AWJ172 BGF172 BQB172 BZX172 CJT172 CTP172 DDL172 DNH172 DXD172 EGZ172 EQV172 FAR172 FKN172 FUJ172 GEF172 GOB172 GXX172 HHT172 HRP172 IBL172 ILH172 IVD172 JEZ172 JOV172 JYR172 KIN172 KSJ172 LCF172 LMB172 LVX172 MFT172 MPP172 MZL172 NJH172 NTD172 OCZ172 OMV172 OWR172 PGN172 PQJ172 QAF172 QKB172 QTX172 RDT172 RNP172 RXL172 SHH172 SRD172 TAZ172 TKV172 TUR172 UEN172 UOJ172 UYF172 VIB172 VRX172 WBT172 WLP172 WVL172 D65708 IZ65708 SV65708 ACR65708 AMN65708 AWJ65708 BGF65708 BQB65708 BZX65708 CJT65708 CTP65708 DDL65708 DNH65708 DXD65708 EGZ65708 EQV65708 FAR65708 FKN65708 FUJ65708 GEF65708 GOB65708 GXX65708 HHT65708 HRP65708 IBL65708 ILH65708 IVD65708 JEZ65708 JOV65708 JYR65708 KIN65708 KSJ65708 LCF65708 LMB65708 LVX65708 MFT65708 MPP65708 MZL65708 NJH65708 NTD65708 OCZ65708 OMV65708 OWR65708 PGN65708 PQJ65708 QAF65708 QKB65708 QTX65708 RDT65708 RNP65708 RXL65708 SHH65708 SRD65708 TAZ65708 TKV65708 TUR65708 UEN65708 UOJ65708 UYF65708 VIB65708 VRX65708 WBT65708 WLP65708 WVL65708 D131244 IZ131244 SV131244 ACR131244 AMN131244 AWJ131244 BGF131244 BQB131244 BZX131244 CJT131244 CTP131244 DDL131244 DNH131244 DXD131244 EGZ131244 EQV131244 FAR131244 FKN131244 FUJ131244 GEF131244 GOB131244 GXX131244 HHT131244 HRP131244 IBL131244 ILH131244 IVD131244 JEZ131244 JOV131244 JYR131244 KIN131244 KSJ131244 LCF131244 LMB131244 LVX131244 MFT131244 MPP131244 MZL131244 NJH131244 NTD131244 OCZ131244 OMV131244 OWR131244 PGN131244 PQJ131244 QAF131244 QKB131244 QTX131244 RDT131244 RNP131244 RXL131244 SHH131244 SRD131244 TAZ131244 TKV131244 TUR131244 UEN131244 UOJ131244 UYF131244 VIB131244 VRX131244 WBT131244 WLP131244 WVL131244 D196780 IZ196780 SV196780 ACR196780 AMN196780 AWJ196780 BGF196780 BQB196780 BZX196780 CJT196780 CTP196780 DDL196780 DNH196780 DXD196780 EGZ196780 EQV196780 FAR196780 FKN196780 FUJ196780 GEF196780 GOB196780 GXX196780 HHT196780 HRP196780 IBL196780 ILH196780 IVD196780 JEZ196780 JOV196780 JYR196780 KIN196780 KSJ196780 LCF196780 LMB196780 LVX196780 MFT196780 MPP196780 MZL196780 NJH196780 NTD196780 OCZ196780 OMV196780 OWR196780 PGN196780 PQJ196780 QAF196780 QKB196780 QTX196780 RDT196780 RNP196780 RXL196780 SHH196780 SRD196780 TAZ196780 TKV196780 TUR196780 UEN196780 UOJ196780 UYF196780 VIB196780 VRX196780 WBT196780 WLP196780 WVL196780 D262316 IZ262316 SV262316 ACR262316 AMN262316 AWJ262316 BGF262316 BQB262316 BZX262316 CJT262316 CTP262316 DDL262316 DNH262316 DXD262316 EGZ262316 EQV262316 FAR262316 FKN262316 FUJ262316 GEF262316 GOB262316 GXX262316 HHT262316 HRP262316 IBL262316 ILH262316 IVD262316 JEZ262316 JOV262316 JYR262316 KIN262316 KSJ262316 LCF262316 LMB262316 LVX262316 MFT262316 MPP262316 MZL262316 NJH262316 NTD262316 OCZ262316 OMV262316 OWR262316 PGN262316 PQJ262316 QAF262316 QKB262316 QTX262316 RDT262316 RNP262316 RXL262316 SHH262316 SRD262316 TAZ262316 TKV262316 TUR262316 UEN262316 UOJ262316 UYF262316 VIB262316 VRX262316 WBT262316 WLP262316 WVL262316 D327852 IZ327852 SV327852 ACR327852 AMN327852 AWJ327852 BGF327852 BQB327852 BZX327852 CJT327852 CTP327852 DDL327852 DNH327852 DXD327852 EGZ327852 EQV327852 FAR327852 FKN327852 FUJ327852 GEF327852 GOB327852 GXX327852 HHT327852 HRP327852 IBL327852 ILH327852 IVD327852 JEZ327852 JOV327852 JYR327852 KIN327852 KSJ327852 LCF327852 LMB327852 LVX327852 MFT327852 MPP327852 MZL327852 NJH327852 NTD327852 OCZ327852 OMV327852 OWR327852 PGN327852 PQJ327852 QAF327852 QKB327852 QTX327852 RDT327852 RNP327852 RXL327852 SHH327852 SRD327852 TAZ327852 TKV327852 TUR327852 UEN327852 UOJ327852 UYF327852 VIB327852 VRX327852 WBT327852 WLP327852 WVL327852 D393388 IZ393388 SV393388 ACR393388 AMN393388 AWJ393388 BGF393388 BQB393388 BZX393388 CJT393388 CTP393388 DDL393388 DNH393388 DXD393388 EGZ393388 EQV393388 FAR393388 FKN393388 FUJ393388 GEF393388 GOB393388 GXX393388 HHT393388 HRP393388 IBL393388 ILH393388 IVD393388 JEZ393388 JOV393388 JYR393388 KIN393388 KSJ393388 LCF393388 LMB393388 LVX393388 MFT393388 MPP393388 MZL393388 NJH393388 NTD393388 OCZ393388 OMV393388 OWR393388 PGN393388 PQJ393388 QAF393388 QKB393388 QTX393388 RDT393388 RNP393388 RXL393388 SHH393388 SRD393388 TAZ393388 TKV393388 TUR393388 UEN393388 UOJ393388 UYF393388 VIB393388 VRX393388 WBT393388 WLP393388 WVL393388 D458924 IZ458924 SV458924 ACR458924 AMN458924 AWJ458924 BGF458924 BQB458924 BZX458924 CJT458924 CTP458924 DDL458924 DNH458924 DXD458924 EGZ458924 EQV458924 FAR458924 FKN458924 FUJ458924 GEF458924 GOB458924 GXX458924 HHT458924 HRP458924 IBL458924 ILH458924 IVD458924 JEZ458924 JOV458924 JYR458924 KIN458924 KSJ458924 LCF458924 LMB458924 LVX458924 MFT458924 MPP458924 MZL458924 NJH458924 NTD458924 OCZ458924 OMV458924 OWR458924 PGN458924 PQJ458924 QAF458924 QKB458924 QTX458924 RDT458924 RNP458924 RXL458924 SHH458924 SRD458924 TAZ458924 TKV458924 TUR458924 UEN458924 UOJ458924 UYF458924 VIB458924 VRX458924 WBT458924 WLP458924 WVL458924 D524460 IZ524460 SV524460 ACR524460 AMN524460 AWJ524460 BGF524460 BQB524460 BZX524460 CJT524460 CTP524460 DDL524460 DNH524460 DXD524460 EGZ524460 EQV524460 FAR524460 FKN524460 FUJ524460 GEF524460 GOB524460 GXX524460 HHT524460 HRP524460 IBL524460 ILH524460 IVD524460 JEZ524460 JOV524460 JYR524460 KIN524460 KSJ524460 LCF524460 LMB524460 LVX524460 MFT524460 MPP524460 MZL524460 NJH524460 NTD524460 OCZ524460 OMV524460 OWR524460 PGN524460 PQJ524460 QAF524460 QKB524460 QTX524460 RDT524460 RNP524460 RXL524460 SHH524460 SRD524460 TAZ524460 TKV524460 TUR524460 UEN524460 UOJ524460 UYF524460 VIB524460 VRX524460 WBT524460 WLP524460 WVL524460 D589996 IZ589996 SV589996 ACR589996 AMN589996 AWJ589996 BGF589996 BQB589996 BZX589996 CJT589996 CTP589996 DDL589996 DNH589996 DXD589996 EGZ589996 EQV589996 FAR589996 FKN589996 FUJ589996 GEF589996 GOB589996 GXX589996 HHT589996 HRP589996 IBL589996 ILH589996 IVD589996 JEZ589996 JOV589996 JYR589996 KIN589996 KSJ589996 LCF589996 LMB589996 LVX589996 MFT589996 MPP589996 MZL589996 NJH589996 NTD589996 OCZ589996 OMV589996 OWR589996 PGN589996 PQJ589996 QAF589996 QKB589996 QTX589996 RDT589996 RNP589996 RXL589996 SHH589996 SRD589996 TAZ589996 TKV589996 TUR589996 UEN589996 UOJ589996 UYF589996 VIB589996 VRX589996 WBT589996 WLP589996 WVL589996 D655532 IZ655532 SV655532 ACR655532 AMN655532 AWJ655532 BGF655532 BQB655532 BZX655532 CJT655532 CTP655532 DDL655532 DNH655532 DXD655532 EGZ655532 EQV655532 FAR655532 FKN655532 FUJ655532 GEF655532 GOB655532 GXX655532 HHT655532 HRP655532 IBL655532 ILH655532 IVD655532 JEZ655532 JOV655532 JYR655532 KIN655532 KSJ655532 LCF655532 LMB655532 LVX655532 MFT655532 MPP655532 MZL655532 NJH655532 NTD655532 OCZ655532 OMV655532 OWR655532 PGN655532 PQJ655532 QAF655532 QKB655532 QTX655532 RDT655532 RNP655532 RXL655532 SHH655532 SRD655532 TAZ655532 TKV655532 TUR655532 UEN655532 UOJ655532 UYF655532 VIB655532 VRX655532 WBT655532 WLP655532 WVL655532 D721068 IZ721068 SV721068 ACR721068 AMN721068 AWJ721068 BGF721068 BQB721068 BZX721068 CJT721068 CTP721068 DDL721068 DNH721068 DXD721068 EGZ721068 EQV721068 FAR721068 FKN721068 FUJ721068 GEF721068 GOB721068 GXX721068 HHT721068 HRP721068 IBL721068 ILH721068 IVD721068 JEZ721068 JOV721068 JYR721068 KIN721068 KSJ721068 LCF721068 LMB721068 LVX721068 MFT721068 MPP721068 MZL721068 NJH721068 NTD721068 OCZ721068 OMV721068 OWR721068 PGN721068 PQJ721068 QAF721068 QKB721068 QTX721068 RDT721068 RNP721068 RXL721068 SHH721068 SRD721068 TAZ721068 TKV721068 TUR721068 UEN721068 UOJ721068 UYF721068 VIB721068 VRX721068 WBT721068 WLP721068 WVL721068 D786604 IZ786604 SV786604 ACR786604 AMN786604 AWJ786604 BGF786604 BQB786604 BZX786604 CJT786604 CTP786604 DDL786604 DNH786604 DXD786604 EGZ786604 EQV786604 FAR786604 FKN786604 FUJ786604 GEF786604 GOB786604 GXX786604 HHT786604 HRP786604 IBL786604 ILH786604 IVD786604 JEZ786604 JOV786604 JYR786604 KIN786604 KSJ786604 LCF786604 LMB786604 LVX786604 MFT786604 MPP786604 MZL786604 NJH786604 NTD786604 OCZ786604 OMV786604 OWR786604 PGN786604 PQJ786604 QAF786604 QKB786604 QTX786604 RDT786604 RNP786604 RXL786604 SHH786604 SRD786604 TAZ786604 TKV786604 TUR786604 UEN786604 UOJ786604 UYF786604 VIB786604 VRX786604 WBT786604 WLP786604 WVL786604 D852140 IZ852140 SV852140 ACR852140 AMN852140 AWJ852140 BGF852140 BQB852140 BZX852140 CJT852140 CTP852140 DDL852140 DNH852140 DXD852140 EGZ852140 EQV852140 FAR852140 FKN852140 FUJ852140 GEF852140 GOB852140 GXX852140 HHT852140 HRP852140 IBL852140 ILH852140 IVD852140 JEZ852140 JOV852140 JYR852140 KIN852140 KSJ852140 LCF852140 LMB852140 LVX852140 MFT852140 MPP852140 MZL852140 NJH852140 NTD852140 OCZ852140 OMV852140 OWR852140 PGN852140 PQJ852140 QAF852140 QKB852140 QTX852140 RDT852140 RNP852140 RXL852140 SHH852140 SRD852140 TAZ852140 TKV852140 TUR852140 UEN852140 UOJ852140 UYF852140 VIB852140 VRX852140 WBT852140 WLP852140 WVL852140 D917676 IZ917676 SV917676 ACR917676 AMN917676 AWJ917676 BGF917676 BQB917676 BZX917676 CJT917676 CTP917676 DDL917676 DNH917676 DXD917676 EGZ917676 EQV917676 FAR917676 FKN917676 FUJ917676 GEF917676 GOB917676 GXX917676 HHT917676 HRP917676 IBL917676 ILH917676 IVD917676 JEZ917676 JOV917676 JYR917676 KIN917676 KSJ917676 LCF917676 LMB917676 LVX917676 MFT917676 MPP917676 MZL917676 NJH917676 NTD917676 OCZ917676 OMV917676 OWR917676 PGN917676 PQJ917676 QAF917676 QKB917676 QTX917676 RDT917676 RNP917676 RXL917676 SHH917676 SRD917676 TAZ917676 TKV917676 TUR917676 UEN917676 UOJ917676 UYF917676 VIB917676 VRX917676 WBT917676 WLP917676 WVL917676 D983212 IZ983212 SV983212 ACR983212 AMN983212 AWJ983212 BGF983212 BQB983212 BZX983212 CJT983212 CTP983212 DDL983212 DNH983212 DXD983212 EGZ983212 EQV983212 FAR983212 FKN983212 FUJ983212 GEF983212 GOB983212 GXX983212 HHT983212 HRP983212 IBL983212 ILH983212 IVD983212 JEZ983212 JOV983212 JYR983212 KIN983212 KSJ983212 LCF983212 LMB983212 LVX983212 MFT983212 MPP983212 MZL983212 NJH983212 NTD983212 OCZ983212 OMV983212 OWR983212 PGN983212 PQJ983212 QAF983212 QKB983212 QTX983212 RDT983212 RNP983212 RXL983212 SHH983212 SRD983212 TAZ983212 TKV983212 TUR983212 UEN983212 UOJ983212 UYF983212 VIB983212 VRX983212 WBT983212 WLP983212 WVL983212 D90 IZ90 SV90 ACR90 AMN90 AWJ90 BGF90 BQB90 BZX90 CJT90 CTP90 DDL90 DNH90 DXD90 EGZ90 EQV90 FAR90 FKN90 FUJ90 GEF90 GOB90 GXX90 HHT90 HRP90 IBL90 ILH90 IVD90 JEZ90 JOV90 JYR90 KIN90 KSJ90 LCF90 LMB90 LVX90 MFT90 MPP90 MZL90 NJH90 NTD90 OCZ90 OMV90 OWR90 PGN90 PQJ90 QAF90 QKB90 QTX90 RDT90 RNP90 RXL90 SHH90 SRD90 TAZ90 TKV90 TUR90 UEN90 UOJ90 UYF90 VIB90 VRX90 WBT90 WLP90 WVL90 D65626 IZ65626 SV65626 ACR65626 AMN65626 AWJ65626 BGF65626 BQB65626 BZX65626 CJT65626 CTP65626 DDL65626 DNH65626 DXD65626 EGZ65626 EQV65626 FAR65626 FKN65626 FUJ65626 GEF65626 GOB65626 GXX65626 HHT65626 HRP65626 IBL65626 ILH65626 IVD65626 JEZ65626 JOV65626 JYR65626 KIN65626 KSJ65626 LCF65626 LMB65626 LVX65626 MFT65626 MPP65626 MZL65626 NJH65626 NTD65626 OCZ65626 OMV65626 OWR65626 PGN65626 PQJ65626 QAF65626 QKB65626 QTX65626 RDT65626 RNP65626 RXL65626 SHH65626 SRD65626 TAZ65626 TKV65626 TUR65626 UEN65626 UOJ65626 UYF65626 VIB65626 VRX65626 WBT65626 WLP65626 WVL65626 D131162 IZ131162 SV131162 ACR131162 AMN131162 AWJ131162 BGF131162 BQB131162 BZX131162 CJT131162 CTP131162 DDL131162 DNH131162 DXD131162 EGZ131162 EQV131162 FAR131162 FKN131162 FUJ131162 GEF131162 GOB131162 GXX131162 HHT131162 HRP131162 IBL131162 ILH131162 IVD131162 JEZ131162 JOV131162 JYR131162 KIN131162 KSJ131162 LCF131162 LMB131162 LVX131162 MFT131162 MPP131162 MZL131162 NJH131162 NTD131162 OCZ131162 OMV131162 OWR131162 PGN131162 PQJ131162 QAF131162 QKB131162 QTX131162 RDT131162 RNP131162 RXL131162 SHH131162 SRD131162 TAZ131162 TKV131162 TUR131162 UEN131162 UOJ131162 UYF131162 VIB131162 VRX131162 WBT131162 WLP131162 WVL131162 D196698 IZ196698 SV196698 ACR196698 AMN196698 AWJ196698 BGF196698 BQB196698 BZX196698 CJT196698 CTP196698 DDL196698 DNH196698 DXD196698 EGZ196698 EQV196698 FAR196698 FKN196698 FUJ196698 GEF196698 GOB196698 GXX196698 HHT196698 HRP196698 IBL196698 ILH196698 IVD196698 JEZ196698 JOV196698 JYR196698 KIN196698 KSJ196698 LCF196698 LMB196698 LVX196698 MFT196698 MPP196698 MZL196698 NJH196698 NTD196698 OCZ196698 OMV196698 OWR196698 PGN196698 PQJ196698 QAF196698 QKB196698 QTX196698 RDT196698 RNP196698 RXL196698 SHH196698 SRD196698 TAZ196698 TKV196698 TUR196698 UEN196698 UOJ196698 UYF196698 VIB196698 VRX196698 WBT196698 WLP196698 WVL196698 D262234 IZ262234 SV262234 ACR262234 AMN262234 AWJ262234 BGF262234 BQB262234 BZX262234 CJT262234 CTP262234 DDL262234 DNH262234 DXD262234 EGZ262234 EQV262234 FAR262234 FKN262234 FUJ262234 GEF262234 GOB262234 GXX262234 HHT262234 HRP262234 IBL262234 ILH262234 IVD262234 JEZ262234 JOV262234 JYR262234 KIN262234 KSJ262234 LCF262234 LMB262234 LVX262234 MFT262234 MPP262234 MZL262234 NJH262234 NTD262234 OCZ262234 OMV262234 OWR262234 PGN262234 PQJ262234 QAF262234 QKB262234 QTX262234 RDT262234 RNP262234 RXL262234 SHH262234 SRD262234 TAZ262234 TKV262234 TUR262234 UEN262234 UOJ262234 UYF262234 VIB262234 VRX262234 WBT262234 WLP262234 WVL262234 D327770 IZ327770 SV327770 ACR327770 AMN327770 AWJ327770 BGF327770 BQB327770 BZX327770 CJT327770 CTP327770 DDL327770 DNH327770 DXD327770 EGZ327770 EQV327770 FAR327770 FKN327770 FUJ327770 GEF327770 GOB327770 GXX327770 HHT327770 HRP327770 IBL327770 ILH327770 IVD327770 JEZ327770 JOV327770 JYR327770 KIN327770 KSJ327770 LCF327770 LMB327770 LVX327770 MFT327770 MPP327770 MZL327770 NJH327770 NTD327770 OCZ327770 OMV327770 OWR327770 PGN327770 PQJ327770 QAF327770 QKB327770 QTX327770 RDT327770 RNP327770 RXL327770 SHH327770 SRD327770 TAZ327770 TKV327770 TUR327770 UEN327770 UOJ327770 UYF327770 VIB327770 VRX327770 WBT327770 WLP327770 WVL327770 D393306 IZ393306 SV393306 ACR393306 AMN393306 AWJ393306 BGF393306 BQB393306 BZX393306 CJT393306 CTP393306 DDL393306 DNH393306 DXD393306 EGZ393306 EQV393306 FAR393306 FKN393306 FUJ393306 GEF393306 GOB393306 GXX393306 HHT393306 HRP393306 IBL393306 ILH393306 IVD393306 JEZ393306 JOV393306 JYR393306 KIN393306 KSJ393306 LCF393306 LMB393306 LVX393306 MFT393306 MPP393306 MZL393306 NJH393306 NTD393306 OCZ393306 OMV393306 OWR393306 PGN393306 PQJ393306 QAF393306 QKB393306 QTX393306 RDT393306 RNP393306 RXL393306 SHH393306 SRD393306 TAZ393306 TKV393306 TUR393306 UEN393306 UOJ393306 UYF393306 VIB393306 VRX393306 WBT393306 WLP393306 WVL393306 D458842 IZ458842 SV458842 ACR458842 AMN458842 AWJ458842 BGF458842 BQB458842 BZX458842 CJT458842 CTP458842 DDL458842 DNH458842 DXD458842 EGZ458842 EQV458842 FAR458842 FKN458842 FUJ458842 GEF458842 GOB458842 GXX458842 HHT458842 HRP458842 IBL458842 ILH458842 IVD458842 JEZ458842 JOV458842 JYR458842 KIN458842 KSJ458842 LCF458842 LMB458842 LVX458842 MFT458842 MPP458842 MZL458842 NJH458842 NTD458842 OCZ458842 OMV458842 OWR458842 PGN458842 PQJ458842 QAF458842 QKB458842 QTX458842 RDT458842 RNP458842 RXL458842 SHH458842 SRD458842 TAZ458842 TKV458842 TUR458842 UEN458842 UOJ458842 UYF458842 VIB458842 VRX458842 WBT458842 WLP458842 WVL458842 D524378 IZ524378 SV524378 ACR524378 AMN524378 AWJ524378 BGF524378 BQB524378 BZX524378 CJT524378 CTP524378 DDL524378 DNH524378 DXD524378 EGZ524378 EQV524378 FAR524378 FKN524378 FUJ524378 GEF524378 GOB524378 GXX524378 HHT524378 HRP524378 IBL524378 ILH524378 IVD524378 JEZ524378 JOV524378 JYR524378 KIN524378 KSJ524378 LCF524378 LMB524378 LVX524378 MFT524378 MPP524378 MZL524378 NJH524378 NTD524378 OCZ524378 OMV524378 OWR524378 PGN524378 PQJ524378 QAF524378 QKB524378 QTX524378 RDT524378 RNP524378 RXL524378 SHH524378 SRD524378 TAZ524378 TKV524378 TUR524378 UEN524378 UOJ524378 UYF524378 VIB524378 VRX524378 WBT524378 WLP524378 WVL524378 D589914 IZ589914 SV589914 ACR589914 AMN589914 AWJ589914 BGF589914 BQB589914 BZX589914 CJT589914 CTP589914 DDL589914 DNH589914 DXD589914 EGZ589914 EQV589914 FAR589914 FKN589914 FUJ589914 GEF589914 GOB589914 GXX589914 HHT589914 HRP589914 IBL589914 ILH589914 IVD589914 JEZ589914 JOV589914 JYR589914 KIN589914 KSJ589914 LCF589914 LMB589914 LVX589914 MFT589914 MPP589914 MZL589914 NJH589914 NTD589914 OCZ589914 OMV589914 OWR589914 PGN589914 PQJ589914 QAF589914 QKB589914 QTX589914 RDT589914 RNP589914 RXL589914 SHH589914 SRD589914 TAZ589914 TKV589914 TUR589914 UEN589914 UOJ589914 UYF589914 VIB589914 VRX589914 WBT589914 WLP589914 WVL589914 D655450 IZ655450 SV655450 ACR655450 AMN655450 AWJ655450 BGF655450 BQB655450 BZX655450 CJT655450 CTP655450 DDL655450 DNH655450 DXD655450 EGZ655450 EQV655450 FAR655450 FKN655450 FUJ655450 GEF655450 GOB655450 GXX655450 HHT655450 HRP655450 IBL655450 ILH655450 IVD655450 JEZ655450 JOV655450 JYR655450 KIN655450 KSJ655450 LCF655450 LMB655450 LVX655450 MFT655450 MPP655450 MZL655450 NJH655450 NTD655450 OCZ655450 OMV655450 OWR655450 PGN655450 PQJ655450 QAF655450 QKB655450 QTX655450 RDT655450 RNP655450 RXL655450 SHH655450 SRD655450 TAZ655450 TKV655450 TUR655450 UEN655450 UOJ655450 UYF655450 VIB655450 VRX655450 WBT655450 WLP655450 WVL655450 D720986 IZ720986 SV720986 ACR720986 AMN720986 AWJ720986 BGF720986 BQB720986 BZX720986 CJT720986 CTP720986 DDL720986 DNH720986 DXD720986 EGZ720986 EQV720986 FAR720986 FKN720986 FUJ720986 GEF720986 GOB720986 GXX720986 HHT720986 HRP720986 IBL720986 ILH720986 IVD720986 JEZ720986 JOV720986 JYR720986 KIN720986 KSJ720986 LCF720986 LMB720986 LVX720986 MFT720986 MPP720986 MZL720986 NJH720986 NTD720986 OCZ720986 OMV720986 OWR720986 PGN720986 PQJ720986 QAF720986 QKB720986 QTX720986 RDT720986 RNP720986 RXL720986 SHH720986 SRD720986 TAZ720986 TKV720986 TUR720986 UEN720986 UOJ720986 UYF720986 VIB720986 VRX720986 WBT720986 WLP720986 WVL720986 D786522 IZ786522 SV786522 ACR786522 AMN786522 AWJ786522 BGF786522 BQB786522 BZX786522 CJT786522 CTP786522 DDL786522 DNH786522 DXD786522 EGZ786522 EQV786522 FAR786522 FKN786522 FUJ786522 GEF786522 GOB786522 GXX786522 HHT786522 HRP786522 IBL786522 ILH786522 IVD786522 JEZ786522 JOV786522 JYR786522 KIN786522 KSJ786522 LCF786522 LMB786522 LVX786522 MFT786522 MPP786522 MZL786522 NJH786522 NTD786522 OCZ786522 OMV786522 OWR786522 PGN786522 PQJ786522 QAF786522 QKB786522 QTX786522 RDT786522 RNP786522 RXL786522 SHH786522 SRD786522 TAZ786522 TKV786522 TUR786522 UEN786522 UOJ786522 UYF786522 VIB786522 VRX786522 WBT786522 WLP786522 WVL786522 D852058 IZ852058 SV852058 ACR852058 AMN852058 AWJ852058 BGF852058 BQB852058 BZX852058 CJT852058 CTP852058 DDL852058 DNH852058 DXD852058 EGZ852058 EQV852058 FAR852058 FKN852058 FUJ852058 GEF852058 GOB852058 GXX852058 HHT852058 HRP852058 IBL852058 ILH852058 IVD852058 JEZ852058 JOV852058 JYR852058 KIN852058 KSJ852058 LCF852058 LMB852058 LVX852058 MFT852058 MPP852058 MZL852058 NJH852058 NTD852058 OCZ852058 OMV852058 OWR852058 PGN852058 PQJ852058 QAF852058 QKB852058 QTX852058 RDT852058 RNP852058 RXL852058 SHH852058 SRD852058 TAZ852058 TKV852058 TUR852058 UEN852058 UOJ852058 UYF852058 VIB852058 VRX852058 WBT852058 WLP852058 WVL852058 D917594 IZ917594 SV917594 ACR917594 AMN917594 AWJ917594 BGF917594 BQB917594 BZX917594 CJT917594 CTP917594 DDL917594 DNH917594 DXD917594 EGZ917594 EQV917594 FAR917594 FKN917594 FUJ917594 GEF917594 GOB917594 GXX917594 HHT917594 HRP917594 IBL917594 ILH917594 IVD917594 JEZ917594 JOV917594 JYR917594 KIN917594 KSJ917594 LCF917594 LMB917594 LVX917594 MFT917594 MPP917594 MZL917594 NJH917594 NTD917594 OCZ917594 OMV917594 OWR917594 PGN917594 PQJ917594 QAF917594 QKB917594 QTX917594 RDT917594 RNP917594 RXL917594 SHH917594 SRD917594 TAZ917594 TKV917594 TUR917594 UEN917594 UOJ917594 UYF917594 VIB917594 VRX917594 WBT917594 WLP917594 WVL917594 D983130 IZ983130 SV983130 ACR983130 AMN983130 AWJ983130 BGF983130 BQB983130 BZX983130 CJT983130 CTP983130 DDL983130 DNH983130 DXD983130 EGZ983130 EQV983130 FAR983130 FKN983130 FUJ983130 GEF983130 GOB983130 GXX983130 HHT983130 HRP983130 IBL983130 ILH983130 IVD983130 JEZ983130 JOV983130 JYR983130 KIN983130 KSJ983130 LCF983130 LMB983130 LVX983130 MFT983130 MPP983130 MZL983130 NJH983130 NTD983130 OCZ983130 OMV983130 OWR983130 PGN983130 PQJ983130 QAF983130 QKB983130 QTX983130 RDT983130 RNP983130 RXL983130 SHH983130 SRD983130 TAZ983130 TKV983130 TUR983130 UEN983130 UOJ983130 UYF983130 VIB983130 VRX983130 WBT983130 WLP983130 WVL983130" xr:uid="{A39DE34A-3532-4B69-A89B-687C36F939BC}">
      <formula1>"Core1,Core2,Core3"</formula1>
    </dataValidation>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43:E65543 IZ65543:JA65543 SV65543:SW65543 ACR65543:ACS65543 AMN65543:AMO65543 AWJ65543:AWK65543 BGF65543:BGG65543 BQB65543:BQC65543 BZX65543:BZY65543 CJT65543:CJU65543 CTP65543:CTQ65543 DDL65543:DDM65543 DNH65543:DNI65543 DXD65543:DXE65543 EGZ65543:EHA65543 EQV65543:EQW65543 FAR65543:FAS65543 FKN65543:FKO65543 FUJ65543:FUK65543 GEF65543:GEG65543 GOB65543:GOC65543 GXX65543:GXY65543 HHT65543:HHU65543 HRP65543:HRQ65543 IBL65543:IBM65543 ILH65543:ILI65543 IVD65543:IVE65543 JEZ65543:JFA65543 JOV65543:JOW65543 JYR65543:JYS65543 KIN65543:KIO65543 KSJ65543:KSK65543 LCF65543:LCG65543 LMB65543:LMC65543 LVX65543:LVY65543 MFT65543:MFU65543 MPP65543:MPQ65543 MZL65543:MZM65543 NJH65543:NJI65543 NTD65543:NTE65543 OCZ65543:ODA65543 OMV65543:OMW65543 OWR65543:OWS65543 PGN65543:PGO65543 PQJ65543:PQK65543 QAF65543:QAG65543 QKB65543:QKC65543 QTX65543:QTY65543 RDT65543:RDU65543 RNP65543:RNQ65543 RXL65543:RXM65543 SHH65543:SHI65543 SRD65543:SRE65543 TAZ65543:TBA65543 TKV65543:TKW65543 TUR65543:TUS65543 UEN65543:UEO65543 UOJ65543:UOK65543 UYF65543:UYG65543 VIB65543:VIC65543 VRX65543:VRY65543 WBT65543:WBU65543 WLP65543:WLQ65543 WVL65543:WVM65543 D131079:E131079 IZ131079:JA131079 SV131079:SW131079 ACR131079:ACS131079 AMN131079:AMO131079 AWJ131079:AWK131079 BGF131079:BGG131079 BQB131079:BQC131079 BZX131079:BZY131079 CJT131079:CJU131079 CTP131079:CTQ131079 DDL131079:DDM131079 DNH131079:DNI131079 DXD131079:DXE131079 EGZ131079:EHA131079 EQV131079:EQW131079 FAR131079:FAS131079 FKN131079:FKO131079 FUJ131079:FUK131079 GEF131079:GEG131079 GOB131079:GOC131079 GXX131079:GXY131079 HHT131079:HHU131079 HRP131079:HRQ131079 IBL131079:IBM131079 ILH131079:ILI131079 IVD131079:IVE131079 JEZ131079:JFA131079 JOV131079:JOW131079 JYR131079:JYS131079 KIN131079:KIO131079 KSJ131079:KSK131079 LCF131079:LCG131079 LMB131079:LMC131079 LVX131079:LVY131079 MFT131079:MFU131079 MPP131079:MPQ131079 MZL131079:MZM131079 NJH131079:NJI131079 NTD131079:NTE131079 OCZ131079:ODA131079 OMV131079:OMW131079 OWR131079:OWS131079 PGN131079:PGO131079 PQJ131079:PQK131079 QAF131079:QAG131079 QKB131079:QKC131079 QTX131079:QTY131079 RDT131079:RDU131079 RNP131079:RNQ131079 RXL131079:RXM131079 SHH131079:SHI131079 SRD131079:SRE131079 TAZ131079:TBA131079 TKV131079:TKW131079 TUR131079:TUS131079 UEN131079:UEO131079 UOJ131079:UOK131079 UYF131079:UYG131079 VIB131079:VIC131079 VRX131079:VRY131079 WBT131079:WBU131079 WLP131079:WLQ131079 WVL131079:WVM131079 D196615:E196615 IZ196615:JA196615 SV196615:SW196615 ACR196615:ACS196615 AMN196615:AMO196615 AWJ196615:AWK196615 BGF196615:BGG196615 BQB196615:BQC196615 BZX196615:BZY196615 CJT196615:CJU196615 CTP196615:CTQ196615 DDL196615:DDM196615 DNH196615:DNI196615 DXD196615:DXE196615 EGZ196615:EHA196615 EQV196615:EQW196615 FAR196615:FAS196615 FKN196615:FKO196615 FUJ196615:FUK196615 GEF196615:GEG196615 GOB196615:GOC196615 GXX196615:GXY196615 HHT196615:HHU196615 HRP196615:HRQ196615 IBL196615:IBM196615 ILH196615:ILI196615 IVD196615:IVE196615 JEZ196615:JFA196615 JOV196615:JOW196615 JYR196615:JYS196615 KIN196615:KIO196615 KSJ196615:KSK196615 LCF196615:LCG196615 LMB196615:LMC196615 LVX196615:LVY196615 MFT196615:MFU196615 MPP196615:MPQ196615 MZL196615:MZM196615 NJH196615:NJI196615 NTD196615:NTE196615 OCZ196615:ODA196615 OMV196615:OMW196615 OWR196615:OWS196615 PGN196615:PGO196615 PQJ196615:PQK196615 QAF196615:QAG196615 QKB196615:QKC196615 QTX196615:QTY196615 RDT196615:RDU196615 RNP196615:RNQ196615 RXL196615:RXM196615 SHH196615:SHI196615 SRD196615:SRE196615 TAZ196615:TBA196615 TKV196615:TKW196615 TUR196615:TUS196615 UEN196615:UEO196615 UOJ196615:UOK196615 UYF196615:UYG196615 VIB196615:VIC196615 VRX196615:VRY196615 WBT196615:WBU196615 WLP196615:WLQ196615 WVL196615:WVM196615 D262151:E262151 IZ262151:JA262151 SV262151:SW262151 ACR262151:ACS262151 AMN262151:AMO262151 AWJ262151:AWK262151 BGF262151:BGG262151 BQB262151:BQC262151 BZX262151:BZY262151 CJT262151:CJU262151 CTP262151:CTQ262151 DDL262151:DDM262151 DNH262151:DNI262151 DXD262151:DXE262151 EGZ262151:EHA262151 EQV262151:EQW262151 FAR262151:FAS262151 FKN262151:FKO262151 FUJ262151:FUK262151 GEF262151:GEG262151 GOB262151:GOC262151 GXX262151:GXY262151 HHT262151:HHU262151 HRP262151:HRQ262151 IBL262151:IBM262151 ILH262151:ILI262151 IVD262151:IVE262151 JEZ262151:JFA262151 JOV262151:JOW262151 JYR262151:JYS262151 KIN262151:KIO262151 KSJ262151:KSK262151 LCF262151:LCG262151 LMB262151:LMC262151 LVX262151:LVY262151 MFT262151:MFU262151 MPP262151:MPQ262151 MZL262151:MZM262151 NJH262151:NJI262151 NTD262151:NTE262151 OCZ262151:ODA262151 OMV262151:OMW262151 OWR262151:OWS262151 PGN262151:PGO262151 PQJ262151:PQK262151 QAF262151:QAG262151 QKB262151:QKC262151 QTX262151:QTY262151 RDT262151:RDU262151 RNP262151:RNQ262151 RXL262151:RXM262151 SHH262151:SHI262151 SRD262151:SRE262151 TAZ262151:TBA262151 TKV262151:TKW262151 TUR262151:TUS262151 UEN262151:UEO262151 UOJ262151:UOK262151 UYF262151:UYG262151 VIB262151:VIC262151 VRX262151:VRY262151 WBT262151:WBU262151 WLP262151:WLQ262151 WVL262151:WVM262151 D327687:E327687 IZ327687:JA327687 SV327687:SW327687 ACR327687:ACS327687 AMN327687:AMO327687 AWJ327687:AWK327687 BGF327687:BGG327687 BQB327687:BQC327687 BZX327687:BZY327687 CJT327687:CJU327687 CTP327687:CTQ327687 DDL327687:DDM327687 DNH327687:DNI327687 DXD327687:DXE327687 EGZ327687:EHA327687 EQV327687:EQW327687 FAR327687:FAS327687 FKN327687:FKO327687 FUJ327687:FUK327687 GEF327687:GEG327687 GOB327687:GOC327687 GXX327687:GXY327687 HHT327687:HHU327687 HRP327687:HRQ327687 IBL327687:IBM327687 ILH327687:ILI327687 IVD327687:IVE327687 JEZ327687:JFA327687 JOV327687:JOW327687 JYR327687:JYS327687 KIN327687:KIO327687 KSJ327687:KSK327687 LCF327687:LCG327687 LMB327687:LMC327687 LVX327687:LVY327687 MFT327687:MFU327687 MPP327687:MPQ327687 MZL327687:MZM327687 NJH327687:NJI327687 NTD327687:NTE327687 OCZ327687:ODA327687 OMV327687:OMW327687 OWR327687:OWS327687 PGN327687:PGO327687 PQJ327687:PQK327687 QAF327687:QAG327687 QKB327687:QKC327687 QTX327687:QTY327687 RDT327687:RDU327687 RNP327687:RNQ327687 RXL327687:RXM327687 SHH327687:SHI327687 SRD327687:SRE327687 TAZ327687:TBA327687 TKV327687:TKW327687 TUR327687:TUS327687 UEN327687:UEO327687 UOJ327687:UOK327687 UYF327687:UYG327687 VIB327687:VIC327687 VRX327687:VRY327687 WBT327687:WBU327687 WLP327687:WLQ327687 WVL327687:WVM327687 D393223:E393223 IZ393223:JA393223 SV393223:SW393223 ACR393223:ACS393223 AMN393223:AMO393223 AWJ393223:AWK393223 BGF393223:BGG393223 BQB393223:BQC393223 BZX393223:BZY393223 CJT393223:CJU393223 CTP393223:CTQ393223 DDL393223:DDM393223 DNH393223:DNI393223 DXD393223:DXE393223 EGZ393223:EHA393223 EQV393223:EQW393223 FAR393223:FAS393223 FKN393223:FKO393223 FUJ393223:FUK393223 GEF393223:GEG393223 GOB393223:GOC393223 GXX393223:GXY393223 HHT393223:HHU393223 HRP393223:HRQ393223 IBL393223:IBM393223 ILH393223:ILI393223 IVD393223:IVE393223 JEZ393223:JFA393223 JOV393223:JOW393223 JYR393223:JYS393223 KIN393223:KIO393223 KSJ393223:KSK393223 LCF393223:LCG393223 LMB393223:LMC393223 LVX393223:LVY393223 MFT393223:MFU393223 MPP393223:MPQ393223 MZL393223:MZM393223 NJH393223:NJI393223 NTD393223:NTE393223 OCZ393223:ODA393223 OMV393223:OMW393223 OWR393223:OWS393223 PGN393223:PGO393223 PQJ393223:PQK393223 QAF393223:QAG393223 QKB393223:QKC393223 QTX393223:QTY393223 RDT393223:RDU393223 RNP393223:RNQ393223 RXL393223:RXM393223 SHH393223:SHI393223 SRD393223:SRE393223 TAZ393223:TBA393223 TKV393223:TKW393223 TUR393223:TUS393223 UEN393223:UEO393223 UOJ393223:UOK393223 UYF393223:UYG393223 VIB393223:VIC393223 VRX393223:VRY393223 WBT393223:WBU393223 WLP393223:WLQ393223 WVL393223:WVM393223 D458759:E458759 IZ458759:JA458759 SV458759:SW458759 ACR458759:ACS458759 AMN458759:AMO458759 AWJ458759:AWK458759 BGF458759:BGG458759 BQB458759:BQC458759 BZX458759:BZY458759 CJT458759:CJU458759 CTP458759:CTQ458759 DDL458759:DDM458759 DNH458759:DNI458759 DXD458759:DXE458759 EGZ458759:EHA458759 EQV458759:EQW458759 FAR458759:FAS458759 FKN458759:FKO458759 FUJ458759:FUK458759 GEF458759:GEG458759 GOB458759:GOC458759 GXX458759:GXY458759 HHT458759:HHU458759 HRP458759:HRQ458759 IBL458759:IBM458759 ILH458759:ILI458759 IVD458759:IVE458759 JEZ458759:JFA458759 JOV458759:JOW458759 JYR458759:JYS458759 KIN458759:KIO458759 KSJ458759:KSK458759 LCF458759:LCG458759 LMB458759:LMC458759 LVX458759:LVY458759 MFT458759:MFU458759 MPP458759:MPQ458759 MZL458759:MZM458759 NJH458759:NJI458759 NTD458759:NTE458759 OCZ458759:ODA458759 OMV458759:OMW458759 OWR458759:OWS458759 PGN458759:PGO458759 PQJ458759:PQK458759 QAF458759:QAG458759 QKB458759:QKC458759 QTX458759:QTY458759 RDT458759:RDU458759 RNP458759:RNQ458759 RXL458759:RXM458759 SHH458759:SHI458759 SRD458759:SRE458759 TAZ458759:TBA458759 TKV458759:TKW458759 TUR458759:TUS458759 UEN458759:UEO458759 UOJ458759:UOK458759 UYF458759:UYG458759 VIB458759:VIC458759 VRX458759:VRY458759 WBT458759:WBU458759 WLP458759:WLQ458759 WVL458759:WVM458759 D524295:E524295 IZ524295:JA524295 SV524295:SW524295 ACR524295:ACS524295 AMN524295:AMO524295 AWJ524295:AWK524295 BGF524295:BGG524295 BQB524295:BQC524295 BZX524295:BZY524295 CJT524295:CJU524295 CTP524295:CTQ524295 DDL524295:DDM524295 DNH524295:DNI524295 DXD524295:DXE524295 EGZ524295:EHA524295 EQV524295:EQW524295 FAR524295:FAS524295 FKN524295:FKO524295 FUJ524295:FUK524295 GEF524295:GEG524295 GOB524295:GOC524295 GXX524295:GXY524295 HHT524295:HHU524295 HRP524295:HRQ524295 IBL524295:IBM524295 ILH524295:ILI524295 IVD524295:IVE524295 JEZ524295:JFA524295 JOV524295:JOW524295 JYR524295:JYS524295 KIN524295:KIO524295 KSJ524295:KSK524295 LCF524295:LCG524295 LMB524295:LMC524295 LVX524295:LVY524295 MFT524295:MFU524295 MPP524295:MPQ524295 MZL524295:MZM524295 NJH524295:NJI524295 NTD524295:NTE524295 OCZ524295:ODA524295 OMV524295:OMW524295 OWR524295:OWS524295 PGN524295:PGO524295 PQJ524295:PQK524295 QAF524295:QAG524295 QKB524295:QKC524295 QTX524295:QTY524295 RDT524295:RDU524295 RNP524295:RNQ524295 RXL524295:RXM524295 SHH524295:SHI524295 SRD524295:SRE524295 TAZ524295:TBA524295 TKV524295:TKW524295 TUR524295:TUS524295 UEN524295:UEO524295 UOJ524295:UOK524295 UYF524295:UYG524295 VIB524295:VIC524295 VRX524295:VRY524295 WBT524295:WBU524295 WLP524295:WLQ524295 WVL524295:WVM524295 D589831:E589831 IZ589831:JA589831 SV589831:SW589831 ACR589831:ACS589831 AMN589831:AMO589831 AWJ589831:AWK589831 BGF589831:BGG589831 BQB589831:BQC589831 BZX589831:BZY589831 CJT589831:CJU589831 CTP589831:CTQ589831 DDL589831:DDM589831 DNH589831:DNI589831 DXD589831:DXE589831 EGZ589831:EHA589831 EQV589831:EQW589831 FAR589831:FAS589831 FKN589831:FKO589831 FUJ589831:FUK589831 GEF589831:GEG589831 GOB589831:GOC589831 GXX589831:GXY589831 HHT589831:HHU589831 HRP589831:HRQ589831 IBL589831:IBM589831 ILH589831:ILI589831 IVD589831:IVE589831 JEZ589831:JFA589831 JOV589831:JOW589831 JYR589831:JYS589831 KIN589831:KIO589831 KSJ589831:KSK589831 LCF589831:LCG589831 LMB589831:LMC589831 LVX589831:LVY589831 MFT589831:MFU589831 MPP589831:MPQ589831 MZL589831:MZM589831 NJH589831:NJI589831 NTD589831:NTE589831 OCZ589831:ODA589831 OMV589831:OMW589831 OWR589831:OWS589831 PGN589831:PGO589831 PQJ589831:PQK589831 QAF589831:QAG589831 QKB589831:QKC589831 QTX589831:QTY589831 RDT589831:RDU589831 RNP589831:RNQ589831 RXL589831:RXM589831 SHH589831:SHI589831 SRD589831:SRE589831 TAZ589831:TBA589831 TKV589831:TKW589831 TUR589831:TUS589831 UEN589831:UEO589831 UOJ589831:UOK589831 UYF589831:UYG589831 VIB589831:VIC589831 VRX589831:VRY589831 WBT589831:WBU589831 WLP589831:WLQ589831 WVL589831:WVM589831 D655367:E655367 IZ655367:JA655367 SV655367:SW655367 ACR655367:ACS655367 AMN655367:AMO655367 AWJ655367:AWK655367 BGF655367:BGG655367 BQB655367:BQC655367 BZX655367:BZY655367 CJT655367:CJU655367 CTP655367:CTQ655367 DDL655367:DDM655367 DNH655367:DNI655367 DXD655367:DXE655367 EGZ655367:EHA655367 EQV655367:EQW655367 FAR655367:FAS655367 FKN655367:FKO655367 FUJ655367:FUK655367 GEF655367:GEG655367 GOB655367:GOC655367 GXX655367:GXY655367 HHT655367:HHU655367 HRP655367:HRQ655367 IBL655367:IBM655367 ILH655367:ILI655367 IVD655367:IVE655367 JEZ655367:JFA655367 JOV655367:JOW655367 JYR655367:JYS655367 KIN655367:KIO655367 KSJ655367:KSK655367 LCF655367:LCG655367 LMB655367:LMC655367 LVX655367:LVY655367 MFT655367:MFU655367 MPP655367:MPQ655367 MZL655367:MZM655367 NJH655367:NJI655367 NTD655367:NTE655367 OCZ655367:ODA655367 OMV655367:OMW655367 OWR655367:OWS655367 PGN655367:PGO655367 PQJ655367:PQK655367 QAF655367:QAG655367 QKB655367:QKC655367 QTX655367:QTY655367 RDT655367:RDU655367 RNP655367:RNQ655367 RXL655367:RXM655367 SHH655367:SHI655367 SRD655367:SRE655367 TAZ655367:TBA655367 TKV655367:TKW655367 TUR655367:TUS655367 UEN655367:UEO655367 UOJ655367:UOK655367 UYF655367:UYG655367 VIB655367:VIC655367 VRX655367:VRY655367 WBT655367:WBU655367 WLP655367:WLQ655367 WVL655367:WVM655367 D720903:E720903 IZ720903:JA720903 SV720903:SW720903 ACR720903:ACS720903 AMN720903:AMO720903 AWJ720903:AWK720903 BGF720903:BGG720903 BQB720903:BQC720903 BZX720903:BZY720903 CJT720903:CJU720903 CTP720903:CTQ720903 DDL720903:DDM720903 DNH720903:DNI720903 DXD720903:DXE720903 EGZ720903:EHA720903 EQV720903:EQW720903 FAR720903:FAS720903 FKN720903:FKO720903 FUJ720903:FUK720903 GEF720903:GEG720903 GOB720903:GOC720903 GXX720903:GXY720903 HHT720903:HHU720903 HRP720903:HRQ720903 IBL720903:IBM720903 ILH720903:ILI720903 IVD720903:IVE720903 JEZ720903:JFA720903 JOV720903:JOW720903 JYR720903:JYS720903 KIN720903:KIO720903 KSJ720903:KSK720903 LCF720903:LCG720903 LMB720903:LMC720903 LVX720903:LVY720903 MFT720903:MFU720903 MPP720903:MPQ720903 MZL720903:MZM720903 NJH720903:NJI720903 NTD720903:NTE720903 OCZ720903:ODA720903 OMV720903:OMW720903 OWR720903:OWS720903 PGN720903:PGO720903 PQJ720903:PQK720903 QAF720903:QAG720903 QKB720903:QKC720903 QTX720903:QTY720903 RDT720903:RDU720903 RNP720903:RNQ720903 RXL720903:RXM720903 SHH720903:SHI720903 SRD720903:SRE720903 TAZ720903:TBA720903 TKV720903:TKW720903 TUR720903:TUS720903 UEN720903:UEO720903 UOJ720903:UOK720903 UYF720903:UYG720903 VIB720903:VIC720903 VRX720903:VRY720903 WBT720903:WBU720903 WLP720903:WLQ720903 WVL720903:WVM720903 D786439:E786439 IZ786439:JA786439 SV786439:SW786439 ACR786439:ACS786439 AMN786439:AMO786439 AWJ786439:AWK786439 BGF786439:BGG786439 BQB786439:BQC786439 BZX786439:BZY786439 CJT786439:CJU786439 CTP786439:CTQ786439 DDL786439:DDM786439 DNH786439:DNI786439 DXD786439:DXE786439 EGZ786439:EHA786439 EQV786439:EQW786439 FAR786439:FAS786439 FKN786439:FKO786439 FUJ786439:FUK786439 GEF786439:GEG786439 GOB786439:GOC786439 GXX786439:GXY786439 HHT786439:HHU786439 HRP786439:HRQ786439 IBL786439:IBM786439 ILH786439:ILI786439 IVD786439:IVE786439 JEZ786439:JFA786439 JOV786439:JOW786439 JYR786439:JYS786439 KIN786439:KIO786439 KSJ786439:KSK786439 LCF786439:LCG786439 LMB786439:LMC786439 LVX786439:LVY786439 MFT786439:MFU786439 MPP786439:MPQ786439 MZL786439:MZM786439 NJH786439:NJI786439 NTD786439:NTE786439 OCZ786439:ODA786439 OMV786439:OMW786439 OWR786439:OWS786439 PGN786439:PGO786439 PQJ786439:PQK786439 QAF786439:QAG786439 QKB786439:QKC786439 QTX786439:QTY786439 RDT786439:RDU786439 RNP786439:RNQ786439 RXL786439:RXM786439 SHH786439:SHI786439 SRD786439:SRE786439 TAZ786439:TBA786439 TKV786439:TKW786439 TUR786439:TUS786439 UEN786439:UEO786439 UOJ786439:UOK786439 UYF786439:UYG786439 VIB786439:VIC786439 VRX786439:VRY786439 WBT786439:WBU786439 WLP786439:WLQ786439 WVL786439:WVM786439 D851975:E851975 IZ851975:JA851975 SV851975:SW851975 ACR851975:ACS851975 AMN851975:AMO851975 AWJ851975:AWK851975 BGF851975:BGG851975 BQB851975:BQC851975 BZX851975:BZY851975 CJT851975:CJU851975 CTP851975:CTQ851975 DDL851975:DDM851975 DNH851975:DNI851975 DXD851975:DXE851975 EGZ851975:EHA851975 EQV851975:EQW851975 FAR851975:FAS851975 FKN851975:FKO851975 FUJ851975:FUK851975 GEF851975:GEG851975 GOB851975:GOC851975 GXX851975:GXY851975 HHT851975:HHU851975 HRP851975:HRQ851975 IBL851975:IBM851975 ILH851975:ILI851975 IVD851975:IVE851975 JEZ851975:JFA851975 JOV851975:JOW851975 JYR851975:JYS851975 KIN851975:KIO851975 KSJ851975:KSK851975 LCF851975:LCG851975 LMB851975:LMC851975 LVX851975:LVY851975 MFT851975:MFU851975 MPP851975:MPQ851975 MZL851975:MZM851975 NJH851975:NJI851975 NTD851975:NTE851975 OCZ851975:ODA851975 OMV851975:OMW851975 OWR851975:OWS851975 PGN851975:PGO851975 PQJ851975:PQK851975 QAF851975:QAG851975 QKB851975:QKC851975 QTX851975:QTY851975 RDT851975:RDU851975 RNP851975:RNQ851975 RXL851975:RXM851975 SHH851975:SHI851975 SRD851975:SRE851975 TAZ851975:TBA851975 TKV851975:TKW851975 TUR851975:TUS851975 UEN851975:UEO851975 UOJ851975:UOK851975 UYF851975:UYG851975 VIB851975:VIC851975 VRX851975:VRY851975 WBT851975:WBU851975 WLP851975:WLQ851975 WVL851975:WVM851975 D917511:E917511 IZ917511:JA917511 SV917511:SW917511 ACR917511:ACS917511 AMN917511:AMO917511 AWJ917511:AWK917511 BGF917511:BGG917511 BQB917511:BQC917511 BZX917511:BZY917511 CJT917511:CJU917511 CTP917511:CTQ917511 DDL917511:DDM917511 DNH917511:DNI917511 DXD917511:DXE917511 EGZ917511:EHA917511 EQV917511:EQW917511 FAR917511:FAS917511 FKN917511:FKO917511 FUJ917511:FUK917511 GEF917511:GEG917511 GOB917511:GOC917511 GXX917511:GXY917511 HHT917511:HHU917511 HRP917511:HRQ917511 IBL917511:IBM917511 ILH917511:ILI917511 IVD917511:IVE917511 JEZ917511:JFA917511 JOV917511:JOW917511 JYR917511:JYS917511 KIN917511:KIO917511 KSJ917511:KSK917511 LCF917511:LCG917511 LMB917511:LMC917511 LVX917511:LVY917511 MFT917511:MFU917511 MPP917511:MPQ917511 MZL917511:MZM917511 NJH917511:NJI917511 NTD917511:NTE917511 OCZ917511:ODA917511 OMV917511:OMW917511 OWR917511:OWS917511 PGN917511:PGO917511 PQJ917511:PQK917511 QAF917511:QAG917511 QKB917511:QKC917511 QTX917511:QTY917511 RDT917511:RDU917511 RNP917511:RNQ917511 RXL917511:RXM917511 SHH917511:SHI917511 SRD917511:SRE917511 TAZ917511:TBA917511 TKV917511:TKW917511 TUR917511:TUS917511 UEN917511:UEO917511 UOJ917511:UOK917511 UYF917511:UYG917511 VIB917511:VIC917511 VRX917511:VRY917511 WBT917511:WBU917511 WLP917511:WLQ917511 WVL917511:WVM917511 D983047:E983047 IZ983047:JA983047 SV983047:SW983047 ACR983047:ACS983047 AMN983047:AMO983047 AWJ983047:AWK983047 BGF983047:BGG983047 BQB983047:BQC983047 BZX983047:BZY983047 CJT983047:CJU983047 CTP983047:CTQ983047 DDL983047:DDM983047 DNH983047:DNI983047 DXD983047:DXE983047 EGZ983047:EHA983047 EQV983047:EQW983047 FAR983047:FAS983047 FKN983047:FKO983047 FUJ983047:FUK983047 GEF983047:GEG983047 GOB983047:GOC983047 GXX983047:GXY983047 HHT983047:HHU983047 HRP983047:HRQ983047 IBL983047:IBM983047 ILH983047:ILI983047 IVD983047:IVE983047 JEZ983047:JFA983047 JOV983047:JOW983047 JYR983047:JYS983047 KIN983047:KIO983047 KSJ983047:KSK983047 LCF983047:LCG983047 LMB983047:LMC983047 LVX983047:LVY983047 MFT983047:MFU983047 MPP983047:MPQ983047 MZL983047:MZM983047 NJH983047:NJI983047 NTD983047:NTE983047 OCZ983047:ODA983047 OMV983047:OMW983047 OWR983047:OWS983047 PGN983047:PGO983047 PQJ983047:PQK983047 QAF983047:QAG983047 QKB983047:QKC983047 QTX983047:QTY983047 RDT983047:RDU983047 RNP983047:RNQ983047 RXL983047:RXM983047 SHH983047:SHI983047 SRD983047:SRE983047 TAZ983047:TBA983047 TKV983047:TKW983047 TUR983047:TUS983047 UEN983047:UEO983047 UOJ983047:UOK983047 UYF983047:UYG983047 VIB983047:VIC983047 VRX983047:VRY983047 WBT983047:WBU983047 WLP983047:WLQ983047 WVL983047:WVM983047" xr:uid="{BFF74EE6-05F4-42BA-8F04-195C4DABE11A}">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2" manualBreakCount="2">
    <brk id="46" max="21" man="1"/>
    <brk id="88" max="21"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E6F58-E328-4D1D-B23E-D0D451C74E35}">
  <sheetPr>
    <tabColor rgb="FFFFFF00"/>
  </sheetPr>
  <dimension ref="A1:AC417"/>
  <sheetViews>
    <sheetView showZeros="0" view="pageBreakPreview" topLeftCell="A402" zoomScale="115" zoomScaleNormal="100" zoomScaleSheetLayoutView="115" workbookViewId="0">
      <selection activeCell="J134" sqref="J134"/>
    </sheetView>
  </sheetViews>
  <sheetFormatPr defaultColWidth="4.33203125" defaultRowHeight="18" customHeight="1"/>
  <cols>
    <col min="16" max="16" width="4.5546875" bestFit="1" customWidth="1"/>
    <col min="17" max="17" width="3.88671875" bestFit="1" customWidth="1"/>
    <col min="22" max="22" width="3.6640625" customWidth="1"/>
    <col min="26" max="26" width="5" bestFit="1" customWidth="1"/>
    <col min="272" max="272" width="4.5546875" bestFit="1" customWidth="1"/>
    <col min="273" max="273" width="3.88671875" bestFit="1" customWidth="1"/>
    <col min="278" max="278" width="3.6640625" customWidth="1"/>
    <col min="282" max="282" width="5" bestFit="1" customWidth="1"/>
    <col min="528" max="528" width="4.5546875" bestFit="1" customWidth="1"/>
    <col min="529" max="529" width="3.88671875" bestFit="1" customWidth="1"/>
    <col min="534" max="534" width="3.6640625" customWidth="1"/>
    <col min="538" max="538" width="5" bestFit="1" customWidth="1"/>
    <col min="784" max="784" width="4.5546875" bestFit="1" customWidth="1"/>
    <col min="785" max="785" width="3.88671875" bestFit="1" customWidth="1"/>
    <col min="790" max="790" width="3.6640625" customWidth="1"/>
    <col min="794" max="794" width="5" bestFit="1" customWidth="1"/>
    <col min="1040" max="1040" width="4.5546875" bestFit="1" customWidth="1"/>
    <col min="1041" max="1041" width="3.88671875" bestFit="1" customWidth="1"/>
    <col min="1046" max="1046" width="3.6640625" customWidth="1"/>
    <col min="1050" max="1050" width="5" bestFit="1" customWidth="1"/>
    <col min="1296" max="1296" width="4.5546875" bestFit="1" customWidth="1"/>
    <col min="1297" max="1297" width="3.88671875" bestFit="1" customWidth="1"/>
    <col min="1302" max="1302" width="3.6640625" customWidth="1"/>
    <col min="1306" max="1306" width="5" bestFit="1" customWidth="1"/>
    <col min="1552" max="1552" width="4.5546875" bestFit="1" customWidth="1"/>
    <col min="1553" max="1553" width="3.88671875" bestFit="1" customWidth="1"/>
    <col min="1558" max="1558" width="3.6640625" customWidth="1"/>
    <col min="1562" max="1562" width="5" bestFit="1" customWidth="1"/>
    <col min="1808" max="1808" width="4.5546875" bestFit="1" customWidth="1"/>
    <col min="1809" max="1809" width="3.88671875" bestFit="1" customWidth="1"/>
    <col min="1814" max="1814" width="3.6640625" customWidth="1"/>
    <col min="1818" max="1818" width="5" bestFit="1" customWidth="1"/>
    <col min="2064" max="2064" width="4.5546875" bestFit="1" customWidth="1"/>
    <col min="2065" max="2065" width="3.88671875" bestFit="1" customWidth="1"/>
    <col min="2070" max="2070" width="3.6640625" customWidth="1"/>
    <col min="2074" max="2074" width="5" bestFit="1" customWidth="1"/>
    <col min="2320" max="2320" width="4.5546875" bestFit="1" customWidth="1"/>
    <col min="2321" max="2321" width="3.88671875" bestFit="1" customWidth="1"/>
    <col min="2326" max="2326" width="3.6640625" customWidth="1"/>
    <col min="2330" max="2330" width="5" bestFit="1" customWidth="1"/>
    <col min="2576" max="2576" width="4.5546875" bestFit="1" customWidth="1"/>
    <col min="2577" max="2577" width="3.88671875" bestFit="1" customWidth="1"/>
    <col min="2582" max="2582" width="3.6640625" customWidth="1"/>
    <col min="2586" max="2586" width="5" bestFit="1" customWidth="1"/>
    <col min="2832" max="2832" width="4.5546875" bestFit="1" customWidth="1"/>
    <col min="2833" max="2833" width="3.88671875" bestFit="1" customWidth="1"/>
    <col min="2838" max="2838" width="3.6640625" customWidth="1"/>
    <col min="2842" max="2842" width="5" bestFit="1" customWidth="1"/>
    <col min="3088" max="3088" width="4.5546875" bestFit="1" customWidth="1"/>
    <col min="3089" max="3089" width="3.88671875" bestFit="1" customWidth="1"/>
    <col min="3094" max="3094" width="3.6640625" customWidth="1"/>
    <col min="3098" max="3098" width="5" bestFit="1" customWidth="1"/>
    <col min="3344" max="3344" width="4.5546875" bestFit="1" customWidth="1"/>
    <col min="3345" max="3345" width="3.88671875" bestFit="1" customWidth="1"/>
    <col min="3350" max="3350" width="3.6640625" customWidth="1"/>
    <col min="3354" max="3354" width="5" bestFit="1" customWidth="1"/>
    <col min="3600" max="3600" width="4.5546875" bestFit="1" customWidth="1"/>
    <col min="3601" max="3601" width="3.88671875" bestFit="1" customWidth="1"/>
    <col min="3606" max="3606" width="3.6640625" customWidth="1"/>
    <col min="3610" max="3610" width="5" bestFit="1" customWidth="1"/>
    <col min="3856" max="3856" width="4.5546875" bestFit="1" customWidth="1"/>
    <col min="3857" max="3857" width="3.88671875" bestFit="1" customWidth="1"/>
    <col min="3862" max="3862" width="3.6640625" customWidth="1"/>
    <col min="3866" max="3866" width="5" bestFit="1" customWidth="1"/>
    <col min="4112" max="4112" width="4.5546875" bestFit="1" customWidth="1"/>
    <col min="4113" max="4113" width="3.88671875" bestFit="1" customWidth="1"/>
    <col min="4118" max="4118" width="3.6640625" customWidth="1"/>
    <col min="4122" max="4122" width="5" bestFit="1" customWidth="1"/>
    <col min="4368" max="4368" width="4.5546875" bestFit="1" customWidth="1"/>
    <col min="4369" max="4369" width="3.88671875" bestFit="1" customWidth="1"/>
    <col min="4374" max="4374" width="3.6640625" customWidth="1"/>
    <col min="4378" max="4378" width="5" bestFit="1" customWidth="1"/>
    <col min="4624" max="4624" width="4.5546875" bestFit="1" customWidth="1"/>
    <col min="4625" max="4625" width="3.88671875" bestFit="1" customWidth="1"/>
    <col min="4630" max="4630" width="3.6640625" customWidth="1"/>
    <col min="4634" max="4634" width="5" bestFit="1" customWidth="1"/>
    <col min="4880" max="4880" width="4.5546875" bestFit="1" customWidth="1"/>
    <col min="4881" max="4881" width="3.88671875" bestFit="1" customWidth="1"/>
    <col min="4886" max="4886" width="3.6640625" customWidth="1"/>
    <col min="4890" max="4890" width="5" bestFit="1" customWidth="1"/>
    <col min="5136" max="5136" width="4.5546875" bestFit="1" customWidth="1"/>
    <col min="5137" max="5137" width="3.88671875" bestFit="1" customWidth="1"/>
    <col min="5142" max="5142" width="3.6640625" customWidth="1"/>
    <col min="5146" max="5146" width="5" bestFit="1" customWidth="1"/>
    <col min="5392" max="5392" width="4.5546875" bestFit="1" customWidth="1"/>
    <col min="5393" max="5393" width="3.88671875" bestFit="1" customWidth="1"/>
    <col min="5398" max="5398" width="3.6640625" customWidth="1"/>
    <col min="5402" max="5402" width="5" bestFit="1" customWidth="1"/>
    <col min="5648" max="5648" width="4.5546875" bestFit="1" customWidth="1"/>
    <col min="5649" max="5649" width="3.88671875" bestFit="1" customWidth="1"/>
    <col min="5654" max="5654" width="3.6640625" customWidth="1"/>
    <col min="5658" max="5658" width="5" bestFit="1" customWidth="1"/>
    <col min="5904" max="5904" width="4.5546875" bestFit="1" customWidth="1"/>
    <col min="5905" max="5905" width="3.88671875" bestFit="1" customWidth="1"/>
    <col min="5910" max="5910" width="3.6640625" customWidth="1"/>
    <col min="5914" max="5914" width="5" bestFit="1" customWidth="1"/>
    <col min="6160" max="6160" width="4.5546875" bestFit="1" customWidth="1"/>
    <col min="6161" max="6161" width="3.88671875" bestFit="1" customWidth="1"/>
    <col min="6166" max="6166" width="3.6640625" customWidth="1"/>
    <col min="6170" max="6170" width="5" bestFit="1" customWidth="1"/>
    <col min="6416" max="6416" width="4.5546875" bestFit="1" customWidth="1"/>
    <col min="6417" max="6417" width="3.88671875" bestFit="1" customWidth="1"/>
    <col min="6422" max="6422" width="3.6640625" customWidth="1"/>
    <col min="6426" max="6426" width="5" bestFit="1" customWidth="1"/>
    <col min="6672" max="6672" width="4.5546875" bestFit="1" customWidth="1"/>
    <col min="6673" max="6673" width="3.88671875" bestFit="1" customWidth="1"/>
    <col min="6678" max="6678" width="3.6640625" customWidth="1"/>
    <col min="6682" max="6682" width="5" bestFit="1" customWidth="1"/>
    <col min="6928" max="6928" width="4.5546875" bestFit="1" customWidth="1"/>
    <col min="6929" max="6929" width="3.88671875" bestFit="1" customWidth="1"/>
    <col min="6934" max="6934" width="3.6640625" customWidth="1"/>
    <col min="6938" max="6938" width="5" bestFit="1" customWidth="1"/>
    <col min="7184" max="7184" width="4.5546875" bestFit="1" customWidth="1"/>
    <col min="7185" max="7185" width="3.88671875" bestFit="1" customWidth="1"/>
    <col min="7190" max="7190" width="3.6640625" customWidth="1"/>
    <col min="7194" max="7194" width="5" bestFit="1" customWidth="1"/>
    <col min="7440" max="7440" width="4.5546875" bestFit="1" customWidth="1"/>
    <col min="7441" max="7441" width="3.88671875" bestFit="1" customWidth="1"/>
    <col min="7446" max="7446" width="3.6640625" customWidth="1"/>
    <col min="7450" max="7450" width="5" bestFit="1" customWidth="1"/>
    <col min="7696" max="7696" width="4.5546875" bestFit="1" customWidth="1"/>
    <col min="7697" max="7697" width="3.88671875" bestFit="1" customWidth="1"/>
    <col min="7702" max="7702" width="3.6640625" customWidth="1"/>
    <col min="7706" max="7706" width="5" bestFit="1" customWidth="1"/>
    <col min="7952" max="7952" width="4.5546875" bestFit="1" customWidth="1"/>
    <col min="7953" max="7953" width="3.88671875" bestFit="1" customWidth="1"/>
    <col min="7958" max="7958" width="3.6640625" customWidth="1"/>
    <col min="7962" max="7962" width="5" bestFit="1" customWidth="1"/>
    <col min="8208" max="8208" width="4.5546875" bestFit="1" customWidth="1"/>
    <col min="8209" max="8209" width="3.88671875" bestFit="1" customWidth="1"/>
    <col min="8214" max="8214" width="3.6640625" customWidth="1"/>
    <col min="8218" max="8218" width="5" bestFit="1" customWidth="1"/>
    <col min="8464" max="8464" width="4.5546875" bestFit="1" customWidth="1"/>
    <col min="8465" max="8465" width="3.88671875" bestFit="1" customWidth="1"/>
    <col min="8470" max="8470" width="3.6640625" customWidth="1"/>
    <col min="8474" max="8474" width="5" bestFit="1" customWidth="1"/>
    <col min="8720" max="8720" width="4.5546875" bestFit="1" customWidth="1"/>
    <col min="8721" max="8721" width="3.88671875" bestFit="1" customWidth="1"/>
    <col min="8726" max="8726" width="3.6640625" customWidth="1"/>
    <col min="8730" max="8730" width="5" bestFit="1" customWidth="1"/>
    <col min="8976" max="8976" width="4.5546875" bestFit="1" customWidth="1"/>
    <col min="8977" max="8977" width="3.88671875" bestFit="1" customWidth="1"/>
    <col min="8982" max="8982" width="3.6640625" customWidth="1"/>
    <col min="8986" max="8986" width="5" bestFit="1" customWidth="1"/>
    <col min="9232" max="9232" width="4.5546875" bestFit="1" customWidth="1"/>
    <col min="9233" max="9233" width="3.88671875" bestFit="1" customWidth="1"/>
    <col min="9238" max="9238" width="3.6640625" customWidth="1"/>
    <col min="9242" max="9242" width="5" bestFit="1" customWidth="1"/>
    <col min="9488" max="9488" width="4.5546875" bestFit="1" customWidth="1"/>
    <col min="9489" max="9489" width="3.88671875" bestFit="1" customWidth="1"/>
    <col min="9494" max="9494" width="3.6640625" customWidth="1"/>
    <col min="9498" max="9498" width="5" bestFit="1" customWidth="1"/>
    <col min="9744" max="9744" width="4.5546875" bestFit="1" customWidth="1"/>
    <col min="9745" max="9745" width="3.88671875" bestFit="1" customWidth="1"/>
    <col min="9750" max="9750" width="3.6640625" customWidth="1"/>
    <col min="9754" max="9754" width="5" bestFit="1" customWidth="1"/>
    <col min="10000" max="10000" width="4.5546875" bestFit="1" customWidth="1"/>
    <col min="10001" max="10001" width="3.88671875" bestFit="1" customWidth="1"/>
    <col min="10006" max="10006" width="3.6640625" customWidth="1"/>
    <col min="10010" max="10010" width="5" bestFit="1" customWidth="1"/>
    <col min="10256" max="10256" width="4.5546875" bestFit="1" customWidth="1"/>
    <col min="10257" max="10257" width="3.88671875" bestFit="1" customWidth="1"/>
    <col min="10262" max="10262" width="3.6640625" customWidth="1"/>
    <col min="10266" max="10266" width="5" bestFit="1" customWidth="1"/>
    <col min="10512" max="10512" width="4.5546875" bestFit="1" customWidth="1"/>
    <col min="10513" max="10513" width="3.88671875" bestFit="1" customWidth="1"/>
    <col min="10518" max="10518" width="3.6640625" customWidth="1"/>
    <col min="10522" max="10522" width="5" bestFit="1" customWidth="1"/>
    <col min="10768" max="10768" width="4.5546875" bestFit="1" customWidth="1"/>
    <col min="10769" max="10769" width="3.88671875" bestFit="1" customWidth="1"/>
    <col min="10774" max="10774" width="3.6640625" customWidth="1"/>
    <col min="10778" max="10778" width="5" bestFit="1" customWidth="1"/>
    <col min="11024" max="11024" width="4.5546875" bestFit="1" customWidth="1"/>
    <col min="11025" max="11025" width="3.88671875" bestFit="1" customWidth="1"/>
    <col min="11030" max="11030" width="3.6640625" customWidth="1"/>
    <col min="11034" max="11034" width="5" bestFit="1" customWidth="1"/>
    <col min="11280" max="11280" width="4.5546875" bestFit="1" customWidth="1"/>
    <col min="11281" max="11281" width="3.88671875" bestFit="1" customWidth="1"/>
    <col min="11286" max="11286" width="3.6640625" customWidth="1"/>
    <col min="11290" max="11290" width="5" bestFit="1" customWidth="1"/>
    <col min="11536" max="11536" width="4.5546875" bestFit="1" customWidth="1"/>
    <col min="11537" max="11537" width="3.88671875" bestFit="1" customWidth="1"/>
    <col min="11542" max="11542" width="3.6640625" customWidth="1"/>
    <col min="11546" max="11546" width="5" bestFit="1" customWidth="1"/>
    <col min="11792" max="11792" width="4.5546875" bestFit="1" customWidth="1"/>
    <col min="11793" max="11793" width="3.88671875" bestFit="1" customWidth="1"/>
    <col min="11798" max="11798" width="3.6640625" customWidth="1"/>
    <col min="11802" max="11802" width="5" bestFit="1" customWidth="1"/>
    <col min="12048" max="12048" width="4.5546875" bestFit="1" customWidth="1"/>
    <col min="12049" max="12049" width="3.88671875" bestFit="1" customWidth="1"/>
    <col min="12054" max="12054" width="3.6640625" customWidth="1"/>
    <col min="12058" max="12058" width="5" bestFit="1" customWidth="1"/>
    <col min="12304" max="12304" width="4.5546875" bestFit="1" customWidth="1"/>
    <col min="12305" max="12305" width="3.88671875" bestFit="1" customWidth="1"/>
    <col min="12310" max="12310" width="3.6640625" customWidth="1"/>
    <col min="12314" max="12314" width="5" bestFit="1" customWidth="1"/>
    <col min="12560" max="12560" width="4.5546875" bestFit="1" customWidth="1"/>
    <col min="12561" max="12561" width="3.88671875" bestFit="1" customWidth="1"/>
    <col min="12566" max="12566" width="3.6640625" customWidth="1"/>
    <col min="12570" max="12570" width="5" bestFit="1" customWidth="1"/>
    <col min="12816" max="12816" width="4.5546875" bestFit="1" customWidth="1"/>
    <col min="12817" max="12817" width="3.88671875" bestFit="1" customWidth="1"/>
    <col min="12822" max="12822" width="3.6640625" customWidth="1"/>
    <col min="12826" max="12826" width="5" bestFit="1" customWidth="1"/>
    <col min="13072" max="13072" width="4.5546875" bestFit="1" customWidth="1"/>
    <col min="13073" max="13073" width="3.88671875" bestFit="1" customWidth="1"/>
    <col min="13078" max="13078" width="3.6640625" customWidth="1"/>
    <col min="13082" max="13082" width="5" bestFit="1" customWidth="1"/>
    <col min="13328" max="13328" width="4.5546875" bestFit="1" customWidth="1"/>
    <col min="13329" max="13329" width="3.88671875" bestFit="1" customWidth="1"/>
    <col min="13334" max="13334" width="3.6640625" customWidth="1"/>
    <col min="13338" max="13338" width="5" bestFit="1" customWidth="1"/>
    <col min="13584" max="13584" width="4.5546875" bestFit="1" customWidth="1"/>
    <col min="13585" max="13585" width="3.88671875" bestFit="1" customWidth="1"/>
    <col min="13590" max="13590" width="3.6640625" customWidth="1"/>
    <col min="13594" max="13594" width="5" bestFit="1" customWidth="1"/>
    <col min="13840" max="13840" width="4.5546875" bestFit="1" customWidth="1"/>
    <col min="13841" max="13841" width="3.88671875" bestFit="1" customWidth="1"/>
    <col min="13846" max="13846" width="3.6640625" customWidth="1"/>
    <col min="13850" max="13850" width="5" bestFit="1" customWidth="1"/>
    <col min="14096" max="14096" width="4.5546875" bestFit="1" customWidth="1"/>
    <col min="14097" max="14097" width="3.88671875" bestFit="1" customWidth="1"/>
    <col min="14102" max="14102" width="3.6640625" customWidth="1"/>
    <col min="14106" max="14106" width="5" bestFit="1" customWidth="1"/>
    <col min="14352" max="14352" width="4.5546875" bestFit="1" customWidth="1"/>
    <col min="14353" max="14353" width="3.88671875" bestFit="1" customWidth="1"/>
    <col min="14358" max="14358" width="3.6640625" customWidth="1"/>
    <col min="14362" max="14362" width="5" bestFit="1" customWidth="1"/>
    <col min="14608" max="14608" width="4.5546875" bestFit="1" customWidth="1"/>
    <col min="14609" max="14609" width="3.88671875" bestFit="1" customWidth="1"/>
    <col min="14614" max="14614" width="3.6640625" customWidth="1"/>
    <col min="14618" max="14618" width="5" bestFit="1" customWidth="1"/>
    <col min="14864" max="14864" width="4.5546875" bestFit="1" customWidth="1"/>
    <col min="14865" max="14865" width="3.88671875" bestFit="1" customWidth="1"/>
    <col min="14870" max="14870" width="3.6640625" customWidth="1"/>
    <col min="14874" max="14874" width="5" bestFit="1" customWidth="1"/>
    <col min="15120" max="15120" width="4.5546875" bestFit="1" customWidth="1"/>
    <col min="15121" max="15121" width="3.88671875" bestFit="1" customWidth="1"/>
    <col min="15126" max="15126" width="3.6640625" customWidth="1"/>
    <col min="15130" max="15130" width="5" bestFit="1" customWidth="1"/>
    <col min="15376" max="15376" width="4.5546875" bestFit="1" customWidth="1"/>
    <col min="15377" max="15377" width="3.88671875" bestFit="1" customWidth="1"/>
    <col min="15382" max="15382" width="3.6640625" customWidth="1"/>
    <col min="15386" max="15386" width="5" bestFit="1" customWidth="1"/>
    <col min="15632" max="15632" width="4.5546875" bestFit="1" customWidth="1"/>
    <col min="15633" max="15633" width="3.88671875" bestFit="1" customWidth="1"/>
    <col min="15638" max="15638" width="3.6640625" customWidth="1"/>
    <col min="15642" max="15642" width="5" bestFit="1" customWidth="1"/>
    <col min="15888" max="15888" width="4.5546875" bestFit="1" customWidth="1"/>
    <col min="15889" max="15889" width="3.88671875" bestFit="1" customWidth="1"/>
    <col min="15894" max="15894" width="3.6640625" customWidth="1"/>
    <col min="15898" max="15898" width="5" bestFit="1" customWidth="1"/>
    <col min="16144" max="16144" width="4.5546875" bestFit="1" customWidth="1"/>
    <col min="16145" max="16145" width="3.88671875" bestFit="1" customWidth="1"/>
    <col min="16150" max="16150" width="3.6640625" customWidth="1"/>
    <col min="16154" max="16154" width="5" bestFit="1" customWidth="1"/>
  </cols>
  <sheetData>
    <row r="1" spans="1:29" ht="18" customHeight="1">
      <c r="A1" s="717"/>
      <c r="B1" s="718"/>
      <c r="C1" s="718"/>
      <c r="D1" s="718"/>
      <c r="E1" s="718"/>
      <c r="F1" s="718"/>
      <c r="G1" s="719"/>
      <c r="H1" s="726"/>
      <c r="I1" s="727"/>
      <c r="J1" s="727"/>
      <c r="K1" s="727"/>
      <c r="L1" s="727"/>
      <c r="M1" s="727"/>
      <c r="N1" s="728"/>
      <c r="O1" s="702"/>
      <c r="P1" s="703"/>
      <c r="Q1" s="704"/>
      <c r="R1" s="705"/>
      <c r="S1" s="706"/>
      <c r="T1" s="706"/>
      <c r="U1" s="706"/>
      <c r="V1" s="707"/>
      <c r="W1" s="7"/>
      <c r="X1" s="7"/>
    </row>
    <row r="2" spans="1:29" ht="18" customHeight="1">
      <c r="A2" s="720"/>
      <c r="B2" s="721"/>
      <c r="C2" s="721"/>
      <c r="D2" s="721"/>
      <c r="E2" s="721"/>
      <c r="F2" s="721"/>
      <c r="G2" s="722"/>
      <c r="H2" s="729"/>
      <c r="I2" s="730"/>
      <c r="J2" s="730"/>
      <c r="K2" s="730"/>
      <c r="L2" s="730"/>
      <c r="M2" s="730"/>
      <c r="N2" s="731"/>
      <c r="O2" s="702"/>
      <c r="P2" s="703"/>
      <c r="Q2" s="704"/>
      <c r="R2" s="732"/>
      <c r="S2" s="706"/>
      <c r="T2" s="706"/>
      <c r="U2" s="706"/>
      <c r="V2" s="707"/>
      <c r="W2" s="7"/>
      <c r="X2" s="7"/>
    </row>
    <row r="3" spans="1:29" ht="18" customHeight="1">
      <c r="A3" s="720"/>
      <c r="B3" s="721"/>
      <c r="C3" s="721"/>
      <c r="D3" s="721"/>
      <c r="E3" s="721"/>
      <c r="F3" s="721"/>
      <c r="G3" s="722"/>
      <c r="H3" s="735" t="s">
        <v>989</v>
      </c>
      <c r="I3" s="736"/>
      <c r="J3" s="736"/>
      <c r="K3" s="736"/>
      <c r="L3" s="736"/>
      <c r="M3" s="736"/>
      <c r="N3" s="737"/>
      <c r="O3" s="702"/>
      <c r="P3" s="703"/>
      <c r="Q3" s="704"/>
      <c r="R3" s="705"/>
      <c r="S3" s="706"/>
      <c r="T3" s="706"/>
      <c r="U3" s="706"/>
      <c r="V3" s="707"/>
      <c r="W3" s="7"/>
      <c r="X3" s="7"/>
    </row>
    <row r="4" spans="1:29" ht="18" customHeight="1">
      <c r="A4" s="723"/>
      <c r="B4" s="724"/>
      <c r="C4" s="724"/>
      <c r="D4" s="724"/>
      <c r="E4" s="724"/>
      <c r="F4" s="724"/>
      <c r="G4" s="725"/>
      <c r="H4" s="738"/>
      <c r="I4" s="739"/>
      <c r="J4" s="739"/>
      <c r="K4" s="739"/>
      <c r="L4" s="739"/>
      <c r="M4" s="739"/>
      <c r="N4" s="740"/>
      <c r="O4" s="702"/>
      <c r="P4" s="703"/>
      <c r="Q4" s="704"/>
      <c r="R4" s="705"/>
      <c r="S4" s="706"/>
      <c r="T4" s="706"/>
      <c r="U4" s="706"/>
      <c r="V4" s="707"/>
      <c r="W4" s="7"/>
      <c r="X4" s="7"/>
    </row>
    <row r="5" spans="1:29" ht="18" customHeight="1">
      <c r="A5" s="708" t="s">
        <v>991</v>
      </c>
      <c r="B5" s="710"/>
      <c r="C5" s="710"/>
      <c r="D5" s="710"/>
      <c r="E5" s="710"/>
      <c r="F5" s="710"/>
      <c r="G5" s="710"/>
      <c r="H5" s="710"/>
      <c r="I5" s="710"/>
      <c r="J5" s="710"/>
      <c r="K5" s="710"/>
      <c r="L5" s="710"/>
      <c r="M5" s="710"/>
      <c r="N5" s="710"/>
      <c r="O5" s="710"/>
      <c r="P5" s="710"/>
      <c r="Q5" s="710"/>
      <c r="R5" s="710"/>
      <c r="S5" s="710"/>
      <c r="T5" s="710"/>
      <c r="U5" s="710"/>
      <c r="V5" s="709"/>
      <c r="W5" s="7"/>
      <c r="X5" s="7"/>
    </row>
    <row r="6" spans="1:29" ht="18" customHeight="1">
      <c r="A6" s="9"/>
      <c r="V6" s="10"/>
    </row>
    <row r="7" spans="1:29" ht="18" customHeight="1">
      <c r="A7" s="9"/>
      <c r="B7" s="696" t="s">
        <v>120</v>
      </c>
      <c r="C7" s="697"/>
      <c r="D7" s="696" t="s">
        <v>396</v>
      </c>
      <c r="E7" s="698"/>
      <c r="F7" s="638"/>
      <c r="G7" s="638"/>
      <c r="H7" s="638" t="s">
        <v>397</v>
      </c>
      <c r="I7" s="638"/>
      <c r="J7" s="638"/>
      <c r="K7" s="638"/>
      <c r="L7" s="638"/>
      <c r="M7" s="638"/>
      <c r="N7" s="638"/>
      <c r="S7" s="199" t="s">
        <v>398</v>
      </c>
      <c r="T7" s="656" t="s">
        <v>399</v>
      </c>
      <c r="U7" s="657"/>
      <c r="V7" s="10"/>
      <c r="W7" s="30" t="s">
        <v>400</v>
      </c>
    </row>
    <row r="8" spans="1:29" ht="18" customHeight="1">
      <c r="A8" s="9"/>
      <c r="B8" s="654"/>
      <c r="C8" s="655"/>
      <c r="D8" s="699"/>
      <c r="E8" s="700"/>
      <c r="T8" s="656"/>
      <c r="U8" s="657"/>
      <c r="V8" s="10"/>
    </row>
    <row r="9" spans="1:29" ht="18" customHeight="1">
      <c r="A9" s="9"/>
      <c r="H9" s="662" t="s">
        <v>401</v>
      </c>
      <c r="I9" s="662"/>
      <c r="J9" s="701" t="s">
        <v>402</v>
      </c>
      <c r="K9" s="701"/>
      <c r="L9" s="701" t="s">
        <v>403</v>
      </c>
      <c r="M9" s="701"/>
      <c r="T9" s="656"/>
      <c r="U9" s="657"/>
      <c r="V9" s="10"/>
    </row>
    <row r="10" spans="1:29" ht="18" customHeight="1">
      <c r="A10" s="9"/>
      <c r="B10" s="47" t="s">
        <v>404</v>
      </c>
      <c r="H10" s="692">
        <v>2500</v>
      </c>
      <c r="I10" s="693"/>
      <c r="J10" s="656">
        <v>3000</v>
      </c>
      <c r="K10" s="657"/>
      <c r="L10" s="656" t="s">
        <v>7</v>
      </c>
      <c r="M10" s="657"/>
      <c r="N10" s="203" t="s">
        <v>353</v>
      </c>
      <c r="O10" s="125">
        <v>1</v>
      </c>
      <c r="P10" s="27" t="s">
        <v>9</v>
      </c>
      <c r="V10" s="10"/>
    </row>
    <row r="11" spans="1:29" ht="18" customHeight="1">
      <c r="A11" s="9"/>
      <c r="B11" s="47" t="s">
        <v>405</v>
      </c>
      <c r="H11" s="656" t="s">
        <v>850</v>
      </c>
      <c r="I11" s="657"/>
      <c r="V11" s="10"/>
    </row>
    <row r="12" spans="1:29" ht="18" customHeight="1">
      <c r="A12" s="9"/>
      <c r="B12" s="47" t="s">
        <v>407</v>
      </c>
      <c r="G12" s="120" t="s">
        <v>408</v>
      </c>
      <c r="H12" s="656">
        <v>10</v>
      </c>
      <c r="I12" s="657"/>
      <c r="J12" s="204" t="s">
        <v>344</v>
      </c>
      <c r="M12" s="14"/>
      <c r="V12" s="10"/>
    </row>
    <row r="13" spans="1:29" ht="18" customHeight="1">
      <c r="A13" s="9"/>
      <c r="B13" s="47" t="s">
        <v>409</v>
      </c>
      <c r="G13" s="120" t="s">
        <v>410</v>
      </c>
      <c r="H13" s="656">
        <v>3000</v>
      </c>
      <c r="I13" s="657"/>
      <c r="J13" s="14" t="s">
        <v>316</v>
      </c>
      <c r="V13" s="10"/>
      <c r="W13" s="30" t="s">
        <v>411</v>
      </c>
      <c r="AA13" s="30"/>
      <c r="AB13" s="996">
        <f>Q120</f>
        <v>262.55611309805181</v>
      </c>
      <c r="AC13" s="997"/>
    </row>
    <row r="14" spans="1:29" ht="18" customHeight="1">
      <c r="A14" s="9"/>
      <c r="B14" s="14" t="s">
        <v>412</v>
      </c>
      <c r="G14" s="120" t="s">
        <v>413</v>
      </c>
      <c r="H14" s="656">
        <v>50</v>
      </c>
      <c r="I14" s="657"/>
      <c r="J14" s="14" t="s">
        <v>414</v>
      </c>
      <c r="M14" s="14"/>
      <c r="V14" s="10"/>
    </row>
    <row r="15" spans="1:29" ht="18" customHeight="1">
      <c r="A15" s="9"/>
      <c r="V15" s="10"/>
    </row>
    <row r="16" spans="1:29" ht="18" customHeight="1">
      <c r="A16" s="116" t="s">
        <v>415</v>
      </c>
      <c r="V16" s="10"/>
    </row>
    <row r="17" spans="1:22" ht="18" customHeight="1">
      <c r="A17" s="9"/>
      <c r="V17" s="10"/>
    </row>
    <row r="18" spans="1:22" ht="18" customHeight="1">
      <c r="A18" s="9"/>
      <c r="B18" s="206" t="s">
        <v>416</v>
      </c>
      <c r="C18" s="207"/>
      <c r="D18" s="207" t="str">
        <f>T7</f>
        <v>RED670</v>
      </c>
      <c r="E18" s="436"/>
      <c r="F18" s="436"/>
      <c r="G18" s="436"/>
      <c r="H18" s="194" t="s">
        <v>417</v>
      </c>
      <c r="I18" s="195" t="s">
        <v>138</v>
      </c>
      <c r="J18" s="998">
        <f>'CT-VT Burdens'!Q48</f>
        <v>0.02</v>
      </c>
      <c r="K18" s="689"/>
      <c r="L18" s="214" t="s">
        <v>168</v>
      </c>
      <c r="N18" s="209" t="s">
        <v>418</v>
      </c>
      <c r="V18" s="10"/>
    </row>
    <row r="19" spans="1:22" ht="18" customHeight="1">
      <c r="A19" s="9"/>
      <c r="B19" s="196" t="s">
        <v>416</v>
      </c>
      <c r="D19" s="437">
        <f>T8</f>
        <v>0</v>
      </c>
      <c r="E19" s="14"/>
      <c r="I19" s="28" t="s">
        <v>138</v>
      </c>
      <c r="J19" s="998"/>
      <c r="K19" s="689"/>
      <c r="L19" s="309" t="s">
        <v>168</v>
      </c>
      <c r="N19" s="27" t="s">
        <v>419</v>
      </c>
      <c r="O19" s="27" t="s">
        <v>138</v>
      </c>
      <c r="P19" s="27" t="s">
        <v>420</v>
      </c>
      <c r="Q19" s="203" t="s">
        <v>421</v>
      </c>
      <c r="R19" s="27" t="s">
        <v>422</v>
      </c>
      <c r="S19" s="27" t="s">
        <v>326</v>
      </c>
      <c r="T19" s="27" t="s">
        <v>422</v>
      </c>
      <c r="U19" s="30" t="s">
        <v>361</v>
      </c>
      <c r="V19" s="10"/>
    </row>
    <row r="20" spans="1:22" ht="18" customHeight="1">
      <c r="A20" s="9"/>
      <c r="B20" s="196" t="s">
        <v>416</v>
      </c>
      <c r="D20" s="437"/>
      <c r="E20" s="14"/>
      <c r="G20" s="211"/>
      <c r="H20" s="438"/>
      <c r="I20" s="101" t="s">
        <v>138</v>
      </c>
      <c r="J20" s="998"/>
      <c r="K20" s="689"/>
      <c r="L20" s="439" t="s">
        <v>168</v>
      </c>
      <c r="O20" s="27" t="s">
        <v>138</v>
      </c>
      <c r="P20" s="216">
        <f>J22</f>
        <v>1.46186744</v>
      </c>
      <c r="Q20" s="203" t="s">
        <v>421</v>
      </c>
      <c r="R20" s="27">
        <f>O10</f>
        <v>1</v>
      </c>
      <c r="S20" s="27" t="s">
        <v>326</v>
      </c>
      <c r="T20" s="27">
        <f>O10</f>
        <v>1</v>
      </c>
      <c r="U20" s="30" t="s">
        <v>361</v>
      </c>
      <c r="V20" s="10"/>
    </row>
    <row r="21" spans="1:22" ht="18" customHeight="1">
      <c r="A21" s="9"/>
      <c r="B21" s="196" t="s">
        <v>423</v>
      </c>
      <c r="H21" s="438"/>
      <c r="I21" s="440" t="s">
        <v>138</v>
      </c>
      <c r="J21" s="999">
        <f>'CT-VT Burdens'!S22</f>
        <v>1.44186744</v>
      </c>
      <c r="K21" s="1000"/>
      <c r="L21" s="439" t="s">
        <v>168</v>
      </c>
      <c r="O21" s="27" t="s">
        <v>138</v>
      </c>
      <c r="P21" s="637">
        <f>P20/(R20*T20)</f>
        <v>1.46186744</v>
      </c>
      <c r="Q21" s="637"/>
      <c r="R21" s="204" t="s">
        <v>344</v>
      </c>
      <c r="V21" s="10"/>
    </row>
    <row r="22" spans="1:22" ht="18" customHeight="1">
      <c r="A22" s="9"/>
      <c r="B22" s="217" t="s">
        <v>424</v>
      </c>
      <c r="C22" s="218"/>
      <c r="D22" s="218"/>
      <c r="E22" s="218"/>
      <c r="F22" s="359"/>
      <c r="G22" s="359"/>
      <c r="H22" s="202" t="s">
        <v>420</v>
      </c>
      <c r="I22" s="220" t="s">
        <v>138</v>
      </c>
      <c r="J22" s="897">
        <f>SUM(J18:K21)</f>
        <v>1.46186744</v>
      </c>
      <c r="K22" s="1001"/>
      <c r="L22" s="441" t="s">
        <v>168</v>
      </c>
      <c r="V22" s="10"/>
    </row>
    <row r="23" spans="1:22" ht="18" customHeight="1">
      <c r="A23" s="9"/>
      <c r="V23" s="10"/>
    </row>
    <row r="24" spans="1:22" ht="18" customHeight="1">
      <c r="A24" s="116" t="s">
        <v>425</v>
      </c>
      <c r="V24" s="10"/>
    </row>
    <row r="25" spans="1:22" ht="18" customHeight="1">
      <c r="A25" s="1002" t="s">
        <v>426</v>
      </c>
      <c r="B25" s="1003"/>
      <c r="C25" s="1003"/>
      <c r="D25" s="1003"/>
      <c r="E25" s="1003"/>
      <c r="F25" s="1003"/>
      <c r="G25" s="1003"/>
      <c r="H25" s="1003"/>
      <c r="I25" s="1003"/>
      <c r="J25" s="1003"/>
      <c r="K25" s="1003"/>
      <c r="L25" s="1003"/>
      <c r="M25" s="1003"/>
      <c r="N25" s="1003"/>
      <c r="O25" s="1003"/>
      <c r="P25" s="1003"/>
      <c r="Q25" s="1003"/>
      <c r="R25" s="1003"/>
      <c r="S25" s="1003"/>
      <c r="T25" s="1003"/>
      <c r="U25" s="1003"/>
      <c r="V25" s="1004"/>
    </row>
    <row r="26" spans="1:22" ht="18" customHeight="1">
      <c r="A26" s="1002"/>
      <c r="B26" s="1003"/>
      <c r="C26" s="1003"/>
      <c r="D26" s="1003"/>
      <c r="E26" s="1003"/>
      <c r="F26" s="1003"/>
      <c r="G26" s="1003"/>
      <c r="H26" s="1003"/>
      <c r="I26" s="1003"/>
      <c r="J26" s="1003"/>
      <c r="K26" s="1003"/>
      <c r="L26" s="1003"/>
      <c r="M26" s="1003"/>
      <c r="N26" s="1003"/>
      <c r="O26" s="1003"/>
      <c r="P26" s="1003"/>
      <c r="Q26" s="1003"/>
      <c r="R26" s="1003"/>
      <c r="S26" s="1003"/>
      <c r="T26" s="1003"/>
      <c r="U26" s="1003"/>
      <c r="V26" s="1004"/>
    </row>
    <row r="27" spans="1:22" ht="18" customHeight="1">
      <c r="A27" s="205" t="s">
        <v>427</v>
      </c>
      <c r="V27" s="10"/>
    </row>
    <row r="28" spans="1:22" ht="18" customHeight="1">
      <c r="A28" s="1006" t="s">
        <v>428</v>
      </c>
      <c r="B28" s="956"/>
      <c r="C28" s="956"/>
      <c r="D28" s="14"/>
      <c r="E28" s="7"/>
      <c r="F28" s="1008" t="s">
        <v>429</v>
      </c>
      <c r="G28" s="887"/>
      <c r="H28" s="638" t="s">
        <v>326</v>
      </c>
      <c r="I28" s="661" t="s">
        <v>422</v>
      </c>
      <c r="J28" s="957"/>
      <c r="K28" s="638" t="s">
        <v>326</v>
      </c>
      <c r="L28" s="1008" t="s">
        <v>430</v>
      </c>
      <c r="M28" s="638" t="s">
        <v>431</v>
      </c>
      <c r="N28" s="958" t="s">
        <v>358</v>
      </c>
      <c r="O28" s="638" t="s">
        <v>419</v>
      </c>
      <c r="P28" s="638" t="s">
        <v>358</v>
      </c>
      <c r="Q28" s="953" t="s">
        <v>432</v>
      </c>
      <c r="R28" s="1005"/>
      <c r="S28" s="1005"/>
      <c r="T28" s="952" t="s">
        <v>361</v>
      </c>
      <c r="U28" s="242" t="s">
        <v>433</v>
      </c>
      <c r="V28" s="112"/>
    </row>
    <row r="29" spans="1:22" ht="18" customHeight="1">
      <c r="A29" s="1007"/>
      <c r="B29" s="956"/>
      <c r="C29" s="956"/>
      <c r="D29" s="14"/>
      <c r="E29" s="7"/>
      <c r="F29" s="887"/>
      <c r="G29" s="887"/>
      <c r="H29" s="638"/>
      <c r="I29" s="638" t="s">
        <v>434</v>
      </c>
      <c r="J29" s="887"/>
      <c r="K29" s="638"/>
      <c r="L29" s="1008"/>
      <c r="M29" s="638"/>
      <c r="N29" s="958"/>
      <c r="O29" s="638"/>
      <c r="P29" s="638"/>
      <c r="Q29" s="28" t="s">
        <v>157</v>
      </c>
      <c r="R29" s="28" t="s">
        <v>326</v>
      </c>
      <c r="S29" s="28" t="s">
        <v>157</v>
      </c>
      <c r="T29" s="952"/>
      <c r="U29" s="7"/>
      <c r="V29" s="112"/>
    </row>
    <row r="30" spans="1:22" ht="18" customHeight="1">
      <c r="A30" s="205" t="s">
        <v>435</v>
      </c>
      <c r="L30" s="442"/>
      <c r="M30" s="438"/>
      <c r="O30" s="438"/>
      <c r="V30" s="10"/>
    </row>
    <row r="31" spans="1:22" ht="18" customHeight="1">
      <c r="A31" s="1006" t="s">
        <v>428</v>
      </c>
      <c r="B31" s="956"/>
      <c r="C31" s="956"/>
      <c r="D31" s="638">
        <v>2</v>
      </c>
      <c r="E31" s="638" t="s">
        <v>326</v>
      </c>
      <c r="F31" s="1008" t="s">
        <v>436</v>
      </c>
      <c r="G31" s="887"/>
      <c r="H31" s="638" t="s">
        <v>326</v>
      </c>
      <c r="I31" s="661" t="s">
        <v>422</v>
      </c>
      <c r="J31" s="957"/>
      <c r="K31" s="638" t="s">
        <v>326</v>
      </c>
      <c r="L31" s="1008" t="s">
        <v>430</v>
      </c>
      <c r="M31" s="638" t="s">
        <v>431</v>
      </c>
      <c r="N31" s="958" t="s">
        <v>358</v>
      </c>
      <c r="O31" s="638" t="s">
        <v>419</v>
      </c>
      <c r="P31" s="638" t="s">
        <v>358</v>
      </c>
      <c r="Q31" s="953" t="s">
        <v>432</v>
      </c>
      <c r="R31" s="1005"/>
      <c r="S31" s="1005"/>
      <c r="T31" s="952" t="s">
        <v>361</v>
      </c>
      <c r="U31" s="242" t="s">
        <v>437</v>
      </c>
      <c r="V31" s="112"/>
    </row>
    <row r="32" spans="1:22" ht="18" customHeight="1">
      <c r="A32" s="1007"/>
      <c r="B32" s="956"/>
      <c r="C32" s="956"/>
      <c r="D32" s="638"/>
      <c r="E32" s="638"/>
      <c r="F32" s="887"/>
      <c r="G32" s="887"/>
      <c r="H32" s="638"/>
      <c r="I32" s="638" t="s">
        <v>434</v>
      </c>
      <c r="J32" s="887"/>
      <c r="K32" s="638"/>
      <c r="L32" s="1008"/>
      <c r="M32" s="638"/>
      <c r="N32" s="958"/>
      <c r="O32" s="638"/>
      <c r="P32" s="638"/>
      <c r="Q32" s="28" t="s">
        <v>157</v>
      </c>
      <c r="R32" s="28" t="s">
        <v>326</v>
      </c>
      <c r="S32" s="28" t="s">
        <v>157</v>
      </c>
      <c r="T32" s="952"/>
      <c r="U32" s="7"/>
      <c r="V32" s="112"/>
    </row>
    <row r="33" spans="1:22" ht="18" customHeight="1">
      <c r="A33" s="9"/>
      <c r="V33" s="10"/>
    </row>
    <row r="34" spans="1:22" ht="18" customHeight="1">
      <c r="A34" s="9"/>
      <c r="B34" s="14" t="s">
        <v>438</v>
      </c>
      <c r="C34" s="14"/>
      <c r="D34" s="103"/>
      <c r="E34" s="103"/>
      <c r="F34" s="14"/>
      <c r="G34" s="14"/>
      <c r="H34" s="5"/>
      <c r="I34" s="5"/>
      <c r="J34" s="5"/>
      <c r="P34" s="120" t="s">
        <v>439</v>
      </c>
      <c r="V34" s="10"/>
    </row>
    <row r="35" spans="1:22" ht="18" customHeight="1">
      <c r="A35" s="9"/>
      <c r="B35" s="14" t="s">
        <v>440</v>
      </c>
      <c r="C35" s="14"/>
      <c r="D35" s="103"/>
      <c r="E35" s="103"/>
      <c r="F35" s="14"/>
      <c r="G35" s="14"/>
      <c r="H35" s="5"/>
      <c r="I35" s="5"/>
      <c r="J35" s="5"/>
      <c r="P35" s="120" t="s">
        <v>441</v>
      </c>
      <c r="Q35" s="246" t="s">
        <v>138</v>
      </c>
      <c r="R35" s="639">
        <f>H10</f>
        <v>2500</v>
      </c>
      <c r="S35" s="639"/>
      <c r="T35" s="14" t="s">
        <v>9</v>
      </c>
      <c r="V35" s="10"/>
    </row>
    <row r="36" spans="1:22" ht="18" customHeight="1">
      <c r="A36" s="9"/>
      <c r="B36" s="14" t="s">
        <v>442</v>
      </c>
      <c r="C36" s="14"/>
      <c r="D36" s="14"/>
      <c r="E36" s="14"/>
      <c r="F36" s="14"/>
      <c r="G36" s="14"/>
      <c r="H36" s="14"/>
      <c r="I36" s="14"/>
      <c r="J36" s="14"/>
      <c r="P36" s="120" t="s">
        <v>429</v>
      </c>
      <c r="Q36" s="246" t="s">
        <v>138</v>
      </c>
      <c r="R36" s="639">
        <f>'Parameters &amp; Fault Cal. (4)'!Q32</f>
        <v>40000</v>
      </c>
      <c r="S36" s="639"/>
      <c r="T36" s="14" t="s">
        <v>9</v>
      </c>
      <c r="V36" s="10"/>
    </row>
    <row r="37" spans="1:22" ht="18" customHeight="1">
      <c r="A37" s="9"/>
      <c r="B37" s="14" t="s">
        <v>443</v>
      </c>
      <c r="C37" s="14"/>
      <c r="D37" s="14"/>
      <c r="E37" s="14"/>
      <c r="F37" s="14"/>
      <c r="G37" s="14"/>
      <c r="H37" s="14"/>
      <c r="I37" s="14"/>
      <c r="J37" s="14"/>
      <c r="P37" s="120" t="s">
        <v>436</v>
      </c>
      <c r="Q37" s="246" t="s">
        <v>138</v>
      </c>
      <c r="R37" s="873">
        <f>'Parameters &amp; Fault Cal. (4)'!M70</f>
        <v>19625.768379858539</v>
      </c>
      <c r="S37" s="639"/>
      <c r="T37" s="14" t="s">
        <v>9</v>
      </c>
      <c r="U37" s="30" t="s">
        <v>444</v>
      </c>
      <c r="V37" s="10"/>
    </row>
    <row r="38" spans="1:22" ht="18" customHeight="1">
      <c r="A38" s="9"/>
      <c r="B38" s="14"/>
      <c r="C38" s="14"/>
      <c r="D38" s="14"/>
      <c r="E38" s="14"/>
      <c r="F38" s="14"/>
      <c r="G38" s="14"/>
      <c r="H38" s="14"/>
      <c r="I38" s="14"/>
      <c r="J38" s="14"/>
      <c r="P38" s="120"/>
      <c r="Q38" s="246" t="s">
        <v>138</v>
      </c>
      <c r="R38" s="873">
        <f>'Parameters &amp; Fault Cal. (4)'!M91</f>
        <v>21361.580727736164</v>
      </c>
      <c r="S38" s="639"/>
      <c r="T38" s="14" t="s">
        <v>9</v>
      </c>
      <c r="U38" s="30" t="s">
        <v>445</v>
      </c>
      <c r="V38" s="10"/>
    </row>
    <row r="39" spans="1:22" ht="18" customHeight="1">
      <c r="A39" s="9"/>
      <c r="B39" s="14" t="s">
        <v>446</v>
      </c>
      <c r="C39" s="14"/>
      <c r="D39" s="103"/>
      <c r="E39" s="103"/>
      <c r="F39" s="14"/>
      <c r="G39" s="14"/>
      <c r="H39" s="5"/>
      <c r="I39" s="5"/>
      <c r="J39" s="5"/>
      <c r="P39" s="120" t="s">
        <v>447</v>
      </c>
      <c r="Q39" s="246" t="s">
        <v>138</v>
      </c>
      <c r="R39" s="639">
        <f>'CT-VT Burdens'!S17</f>
        <v>1</v>
      </c>
      <c r="S39" s="639"/>
      <c r="T39" s="14" t="s">
        <v>9</v>
      </c>
      <c r="V39" s="10"/>
    </row>
    <row r="40" spans="1:22" ht="18" customHeight="1">
      <c r="A40" s="9"/>
      <c r="B40" s="14" t="s">
        <v>448</v>
      </c>
      <c r="C40" s="14"/>
      <c r="D40" s="103"/>
      <c r="E40" s="103"/>
      <c r="F40" s="14"/>
      <c r="G40" s="14"/>
      <c r="H40" s="5"/>
      <c r="I40" s="5"/>
      <c r="J40" s="5"/>
      <c r="P40" s="120" t="s">
        <v>449</v>
      </c>
      <c r="Q40" s="246" t="s">
        <v>138</v>
      </c>
      <c r="R40" s="639">
        <f>'CT-VT Burdens'!S18</f>
        <v>1</v>
      </c>
      <c r="S40" s="639"/>
      <c r="T40" s="14" t="s">
        <v>9</v>
      </c>
      <c r="V40" s="10"/>
    </row>
    <row r="41" spans="1:22" ht="18" customHeight="1">
      <c r="A41" s="9"/>
      <c r="B41" s="14" t="s">
        <v>450</v>
      </c>
      <c r="C41" s="14"/>
      <c r="D41" s="103"/>
      <c r="E41" s="103"/>
      <c r="F41" s="14"/>
      <c r="G41" s="14"/>
      <c r="H41" s="5"/>
      <c r="I41" s="5"/>
      <c r="J41" s="5"/>
      <c r="P41" s="120" t="s">
        <v>451</v>
      </c>
      <c r="Q41" s="246" t="s">
        <v>138</v>
      </c>
      <c r="R41" s="639">
        <f>H12</f>
        <v>10</v>
      </c>
      <c r="S41" s="639"/>
      <c r="T41" s="204" t="s">
        <v>344</v>
      </c>
      <c r="V41" s="10"/>
    </row>
    <row r="42" spans="1:22" ht="18" customHeight="1">
      <c r="A42" s="9"/>
      <c r="B42" s="7" t="s">
        <v>164</v>
      </c>
      <c r="C42" s="14"/>
      <c r="D42" s="14"/>
      <c r="E42" s="14"/>
      <c r="F42" s="14"/>
      <c r="G42" s="14"/>
      <c r="H42" s="14"/>
      <c r="I42" s="14"/>
      <c r="J42" s="14"/>
      <c r="P42" s="249" t="s">
        <v>452</v>
      </c>
      <c r="Q42" s="246" t="s">
        <v>138</v>
      </c>
      <c r="R42" s="637">
        <f>P21</f>
        <v>1.46186744</v>
      </c>
      <c r="S42" s="639"/>
      <c r="T42" s="204" t="s">
        <v>344</v>
      </c>
      <c r="V42" s="10"/>
    </row>
    <row r="43" spans="1:22" ht="18" customHeight="1">
      <c r="A43" s="9"/>
      <c r="B43" s="40" t="s">
        <v>453</v>
      </c>
      <c r="C43" s="14"/>
      <c r="D43" s="14"/>
      <c r="E43" s="14"/>
      <c r="F43" s="14"/>
      <c r="G43" s="14"/>
      <c r="H43" s="5"/>
      <c r="I43" s="5"/>
      <c r="J43" s="5"/>
      <c r="P43" s="249" t="s">
        <v>454</v>
      </c>
      <c r="Q43" s="246" t="s">
        <v>138</v>
      </c>
      <c r="R43" s="637">
        <f>J18</f>
        <v>0.02</v>
      </c>
      <c r="S43" s="639"/>
      <c r="T43" s="14" t="s">
        <v>168</v>
      </c>
      <c r="V43" s="10"/>
    </row>
    <row r="44" spans="1:22" ht="18" customHeight="1">
      <c r="A44" s="9"/>
      <c r="B44" s="40"/>
      <c r="C44" s="14"/>
      <c r="D44" s="14"/>
      <c r="E44" s="14"/>
      <c r="F44" s="14"/>
      <c r="G44" s="14"/>
      <c r="H44" s="5"/>
      <c r="I44" s="5"/>
      <c r="J44" s="5"/>
      <c r="P44" s="249"/>
      <c r="Q44" s="246"/>
      <c r="R44" s="223"/>
      <c r="S44" s="27"/>
      <c r="T44" s="14"/>
      <c r="V44" s="10"/>
    </row>
    <row r="45" spans="1:22" s="7" customFormat="1" ht="18" customHeight="1">
      <c r="A45" s="395"/>
      <c r="B45" s="20"/>
      <c r="C45" s="20"/>
      <c r="D45" s="20"/>
      <c r="E45" s="20"/>
      <c r="F45" s="20"/>
      <c r="G45" s="20"/>
      <c r="H45" s="20"/>
      <c r="I45" s="20"/>
      <c r="J45" s="20"/>
      <c r="K45" s="20"/>
      <c r="L45" s="20"/>
      <c r="M45" s="20"/>
      <c r="N45" s="20"/>
      <c r="O45" s="20"/>
      <c r="P45" s="20"/>
      <c r="Q45" s="21"/>
      <c r="R45" s="22"/>
      <c r="S45" s="23"/>
      <c r="T45" s="20"/>
      <c r="U45" s="20"/>
      <c r="V45" s="140"/>
    </row>
    <row r="46" spans="1:22" ht="18" customHeight="1">
      <c r="A46" s="396" t="s">
        <v>427</v>
      </c>
      <c r="B46" s="397"/>
      <c r="C46" s="397"/>
      <c r="D46" s="397"/>
      <c r="E46" s="397"/>
      <c r="F46" s="397"/>
      <c r="G46" s="397"/>
      <c r="H46" s="397"/>
      <c r="I46" s="397"/>
      <c r="J46" s="397"/>
      <c r="K46" s="397"/>
      <c r="L46" s="397"/>
      <c r="M46" s="397"/>
      <c r="N46" s="397"/>
      <c r="O46" s="397"/>
      <c r="P46" s="397"/>
      <c r="Q46" s="397"/>
      <c r="R46" s="397"/>
      <c r="S46" s="397"/>
      <c r="T46" s="397"/>
      <c r="U46" s="397"/>
      <c r="V46" s="408"/>
    </row>
    <row r="47" spans="1:22" ht="18" customHeight="1">
      <c r="A47" s="1006" t="s">
        <v>428</v>
      </c>
      <c r="B47" s="956"/>
      <c r="C47" s="956"/>
      <c r="D47" s="14"/>
      <c r="E47" s="7"/>
      <c r="F47" s="1011">
        <f>R36</f>
        <v>40000</v>
      </c>
      <c r="G47" s="1012"/>
      <c r="H47" s="861" t="s">
        <v>326</v>
      </c>
      <c r="I47" s="1013">
        <f>R39</f>
        <v>1</v>
      </c>
      <c r="J47" s="1014"/>
      <c r="K47" s="861" t="s">
        <v>326</v>
      </c>
      <c r="L47" s="1011" t="s">
        <v>430</v>
      </c>
      <c r="M47" s="968">
        <f>R41</f>
        <v>10</v>
      </c>
      <c r="N47" s="1017" t="s">
        <v>358</v>
      </c>
      <c r="O47" s="1018">
        <f>R42</f>
        <v>1.46186744</v>
      </c>
      <c r="P47" s="861" t="s">
        <v>358</v>
      </c>
      <c r="Q47" s="1009">
        <f>R43</f>
        <v>0.02</v>
      </c>
      <c r="R47" s="1010"/>
      <c r="S47" s="1010"/>
      <c r="T47" s="952" t="s">
        <v>361</v>
      </c>
      <c r="U47" s="242" t="s">
        <v>433</v>
      </c>
      <c r="V47" s="112"/>
    </row>
    <row r="48" spans="1:22" ht="18" customHeight="1">
      <c r="A48" s="1007"/>
      <c r="B48" s="956"/>
      <c r="C48" s="956"/>
      <c r="D48" s="14"/>
      <c r="E48" s="7"/>
      <c r="F48" s="1012"/>
      <c r="G48" s="1012"/>
      <c r="H48" s="861"/>
      <c r="I48" s="861">
        <f>R35</f>
        <v>2500</v>
      </c>
      <c r="J48" s="1015"/>
      <c r="K48" s="861"/>
      <c r="L48" s="1011"/>
      <c r="M48" s="968"/>
      <c r="N48" s="1017"/>
      <c r="O48" s="968"/>
      <c r="P48" s="861"/>
      <c r="Q48" s="233">
        <f>R40</f>
        <v>1</v>
      </c>
      <c r="R48" s="233" t="s">
        <v>326</v>
      </c>
      <c r="S48" s="233">
        <f>R40</f>
        <v>1</v>
      </c>
      <c r="T48" s="952"/>
      <c r="U48" s="7"/>
      <c r="V48" s="112"/>
    </row>
    <row r="49" spans="1:22" ht="18" customHeight="1">
      <c r="A49" s="9"/>
      <c r="L49" s="442"/>
      <c r="V49" s="10"/>
    </row>
    <row r="50" spans="1:22" ht="18" customHeight="1">
      <c r="A50" s="9"/>
      <c r="C50" s="27" t="s">
        <v>138</v>
      </c>
      <c r="D50" s="798">
        <f>F47*(I47/I48)*(M47+O47+(Q47/(Q48*S48)))</f>
        <v>183.70987904</v>
      </c>
      <c r="E50" s="799"/>
      <c r="F50" s="27" t="s">
        <v>316</v>
      </c>
      <c r="L50" s="442"/>
      <c r="V50" s="10"/>
    </row>
    <row r="51" spans="1:22" ht="18" customHeight="1">
      <c r="A51" s="9"/>
      <c r="L51" s="442"/>
      <c r="V51" s="10"/>
    </row>
    <row r="52" spans="1:22" ht="18" customHeight="1">
      <c r="A52" s="205" t="s">
        <v>455</v>
      </c>
      <c r="L52" s="442"/>
      <c r="V52" s="10"/>
    </row>
    <row r="53" spans="1:22" ht="18" customHeight="1">
      <c r="A53" s="1006" t="s">
        <v>428</v>
      </c>
      <c r="B53" s="956"/>
      <c r="C53" s="956"/>
      <c r="D53" s="861">
        <v>2</v>
      </c>
      <c r="E53" s="861" t="s">
        <v>326</v>
      </c>
      <c r="F53" s="1016">
        <f>R37</f>
        <v>19625.768379858539</v>
      </c>
      <c r="G53" s="1015"/>
      <c r="H53" s="861" t="s">
        <v>326</v>
      </c>
      <c r="I53" s="1013">
        <f>R39</f>
        <v>1</v>
      </c>
      <c r="J53" s="1014"/>
      <c r="K53" s="861" t="s">
        <v>326</v>
      </c>
      <c r="L53" s="1011" t="s">
        <v>430</v>
      </c>
      <c r="M53" s="968">
        <f>R41</f>
        <v>10</v>
      </c>
      <c r="N53" s="1017" t="s">
        <v>358</v>
      </c>
      <c r="O53" s="1018">
        <f>R42</f>
        <v>1.46186744</v>
      </c>
      <c r="P53" s="861" t="s">
        <v>358</v>
      </c>
      <c r="Q53" s="1010">
        <f>Q47</f>
        <v>0.02</v>
      </c>
      <c r="R53" s="1010"/>
      <c r="S53" s="1010"/>
      <c r="T53" s="952" t="s">
        <v>361</v>
      </c>
      <c r="U53" s="242" t="s">
        <v>437</v>
      </c>
      <c r="V53" s="112"/>
    </row>
    <row r="54" spans="1:22" ht="18" customHeight="1">
      <c r="A54" s="1007"/>
      <c r="B54" s="956"/>
      <c r="C54" s="956"/>
      <c r="D54" s="861"/>
      <c r="E54" s="861"/>
      <c r="F54" s="1015"/>
      <c r="G54" s="1015"/>
      <c r="H54" s="861"/>
      <c r="I54" s="861">
        <f>R35</f>
        <v>2500</v>
      </c>
      <c r="J54" s="1015"/>
      <c r="K54" s="861"/>
      <c r="L54" s="1011"/>
      <c r="M54" s="968"/>
      <c r="N54" s="1017"/>
      <c r="O54" s="968"/>
      <c r="P54" s="861"/>
      <c r="Q54" s="233">
        <f>R40</f>
        <v>1</v>
      </c>
      <c r="R54" s="233" t="s">
        <v>326</v>
      </c>
      <c r="S54" s="233">
        <f>R40</f>
        <v>1</v>
      </c>
      <c r="T54" s="952"/>
      <c r="U54" s="7"/>
      <c r="V54" s="112"/>
    </row>
    <row r="55" spans="1:22" ht="18" customHeight="1">
      <c r="A55" s="9"/>
      <c r="L55" s="442"/>
      <c r="V55" s="10"/>
    </row>
    <row r="56" spans="1:22" ht="18" customHeight="1">
      <c r="A56" s="9"/>
      <c r="C56" s="27" t="s">
        <v>138</v>
      </c>
      <c r="D56" s="798">
        <f>D53*F53*(I53/I54)*(M53+O53+(Q53/(Q54*S54)))</f>
        <v>180.27237675654345</v>
      </c>
      <c r="E56" s="799"/>
      <c r="F56" s="27" t="s">
        <v>316</v>
      </c>
      <c r="L56" s="442"/>
      <c r="V56" s="10"/>
    </row>
    <row r="57" spans="1:22" ht="18" customHeight="1">
      <c r="A57" s="9"/>
      <c r="L57" s="442"/>
      <c r="V57" s="10"/>
    </row>
    <row r="58" spans="1:22" ht="18" customHeight="1">
      <c r="A58" s="205" t="s">
        <v>456</v>
      </c>
      <c r="L58" s="442"/>
      <c r="V58" s="10"/>
    </row>
    <row r="59" spans="1:22" ht="18" customHeight="1">
      <c r="A59" s="1006" t="s">
        <v>428</v>
      </c>
      <c r="B59" s="956"/>
      <c r="C59" s="956"/>
      <c r="D59" s="861">
        <v>2</v>
      </c>
      <c r="E59" s="861" t="s">
        <v>326</v>
      </c>
      <c r="F59" s="1016">
        <f>R38</f>
        <v>21361.580727736164</v>
      </c>
      <c r="G59" s="1015"/>
      <c r="H59" s="861" t="s">
        <v>326</v>
      </c>
      <c r="I59" s="1013">
        <f>R39</f>
        <v>1</v>
      </c>
      <c r="J59" s="1014"/>
      <c r="K59" s="861" t="s">
        <v>326</v>
      </c>
      <c r="L59" s="1011" t="s">
        <v>430</v>
      </c>
      <c r="M59" s="968">
        <f>R41</f>
        <v>10</v>
      </c>
      <c r="N59" s="1017" t="s">
        <v>358</v>
      </c>
      <c r="O59" s="1018">
        <f>R42</f>
        <v>1.46186744</v>
      </c>
      <c r="P59" s="861" t="s">
        <v>358</v>
      </c>
      <c r="Q59" s="1010">
        <f>R43</f>
        <v>0.02</v>
      </c>
      <c r="R59" s="1010"/>
      <c r="S59" s="1010"/>
      <c r="T59" s="952" t="s">
        <v>361</v>
      </c>
      <c r="U59" s="242" t="s">
        <v>437</v>
      </c>
      <c r="V59" s="112"/>
    </row>
    <row r="60" spans="1:22" ht="18" customHeight="1">
      <c r="A60" s="1007"/>
      <c r="B60" s="956"/>
      <c r="C60" s="956"/>
      <c r="D60" s="861"/>
      <c r="E60" s="861"/>
      <c r="F60" s="1015"/>
      <c r="G60" s="1015"/>
      <c r="H60" s="861"/>
      <c r="I60" s="861">
        <f>R35</f>
        <v>2500</v>
      </c>
      <c r="J60" s="1015"/>
      <c r="K60" s="861"/>
      <c r="L60" s="1011"/>
      <c r="M60" s="968"/>
      <c r="N60" s="1017"/>
      <c r="O60" s="968"/>
      <c r="P60" s="861"/>
      <c r="Q60" s="233">
        <f>R40</f>
        <v>1</v>
      </c>
      <c r="R60" s="233" t="s">
        <v>326</v>
      </c>
      <c r="S60" s="233">
        <f>R40</f>
        <v>1</v>
      </c>
      <c r="T60" s="952"/>
      <c r="U60" s="7"/>
      <c r="V60" s="112"/>
    </row>
    <row r="61" spans="1:22" ht="18" customHeight="1">
      <c r="A61" s="9"/>
      <c r="V61" s="10"/>
    </row>
    <row r="62" spans="1:22" ht="18" customHeight="1">
      <c r="A62" s="9"/>
      <c r="C62" s="27" t="s">
        <v>138</v>
      </c>
      <c r="D62" s="798">
        <f>D59*F59*(I59/I60)*(M59+O59+(Q59/(Q60*S60)))</f>
        <v>196.2166705797803</v>
      </c>
      <c r="E62" s="799"/>
      <c r="F62" s="27" t="s">
        <v>316</v>
      </c>
      <c r="V62" s="10"/>
    </row>
    <row r="63" spans="1:22" ht="18" customHeight="1">
      <c r="A63" s="9"/>
      <c r="V63" s="10"/>
    </row>
    <row r="64" spans="1:22" ht="18" customHeight="1">
      <c r="A64" s="116" t="s">
        <v>457</v>
      </c>
      <c r="V64" s="10"/>
    </row>
    <row r="65" spans="1:22" ht="18" customHeight="1">
      <c r="A65" s="1002" t="s">
        <v>426</v>
      </c>
      <c r="B65" s="1003"/>
      <c r="C65" s="1003"/>
      <c r="D65" s="1003"/>
      <c r="E65" s="1003"/>
      <c r="F65" s="1003"/>
      <c r="G65" s="1003"/>
      <c r="H65" s="1003"/>
      <c r="I65" s="1003"/>
      <c r="J65" s="1003"/>
      <c r="K65" s="1003"/>
      <c r="L65" s="1003"/>
      <c r="M65" s="1003"/>
      <c r="N65" s="1003"/>
      <c r="O65" s="1003"/>
      <c r="P65" s="1003"/>
      <c r="Q65" s="1003"/>
      <c r="R65" s="1003"/>
      <c r="S65" s="1003"/>
      <c r="T65" s="1003"/>
      <c r="U65" s="1003"/>
      <c r="V65" s="1004"/>
    </row>
    <row r="66" spans="1:22" ht="18" customHeight="1">
      <c r="A66" s="1002"/>
      <c r="B66" s="1003"/>
      <c r="C66" s="1003"/>
      <c r="D66" s="1003"/>
      <c r="E66" s="1003"/>
      <c r="F66" s="1003"/>
      <c r="G66" s="1003"/>
      <c r="H66" s="1003"/>
      <c r="I66" s="1003"/>
      <c r="J66" s="1003"/>
      <c r="K66" s="1003"/>
      <c r="L66" s="1003"/>
      <c r="M66" s="1003"/>
      <c r="N66" s="1003"/>
      <c r="O66" s="1003"/>
      <c r="P66" s="1003"/>
      <c r="Q66" s="1003"/>
      <c r="R66" s="1003"/>
      <c r="S66" s="1003"/>
      <c r="T66" s="1003"/>
      <c r="U66" s="1003"/>
      <c r="V66" s="1004"/>
    </row>
    <row r="67" spans="1:22" ht="18" customHeight="1">
      <c r="A67" s="205" t="s">
        <v>427</v>
      </c>
      <c r="V67" s="10"/>
    </row>
    <row r="68" spans="1:22" ht="18" customHeight="1">
      <c r="A68" s="1006" t="s">
        <v>428</v>
      </c>
      <c r="B68" s="956"/>
      <c r="C68" s="956"/>
      <c r="D68" s="1008" t="s">
        <v>429</v>
      </c>
      <c r="E68" s="887"/>
      <c r="F68" s="638" t="s">
        <v>326</v>
      </c>
      <c r="G68" s="661" t="s">
        <v>447</v>
      </c>
      <c r="H68" s="957"/>
      <c r="I68" s="638" t="s">
        <v>326</v>
      </c>
      <c r="J68" s="661" t="s">
        <v>146</v>
      </c>
      <c r="K68" s="638" t="s">
        <v>326</v>
      </c>
      <c r="L68" s="1008" t="s">
        <v>430</v>
      </c>
      <c r="M68" s="638" t="s">
        <v>451</v>
      </c>
      <c r="N68" s="958" t="s">
        <v>358</v>
      </c>
      <c r="O68" s="638" t="s">
        <v>458</v>
      </c>
      <c r="P68" s="638" t="s">
        <v>358</v>
      </c>
      <c r="Q68" s="953" t="s">
        <v>459</v>
      </c>
      <c r="R68" s="1005"/>
      <c r="S68" s="1005"/>
      <c r="T68" s="952" t="s">
        <v>361</v>
      </c>
      <c r="U68" s="242" t="s">
        <v>433</v>
      </c>
      <c r="V68" s="112"/>
    </row>
    <row r="69" spans="1:22" ht="18" customHeight="1">
      <c r="A69" s="1007"/>
      <c r="B69" s="956"/>
      <c r="C69" s="956"/>
      <c r="D69" s="887"/>
      <c r="E69" s="887"/>
      <c r="F69" s="638"/>
      <c r="G69" s="638" t="s">
        <v>441</v>
      </c>
      <c r="H69" s="887"/>
      <c r="I69" s="638"/>
      <c r="J69" s="638"/>
      <c r="K69" s="638"/>
      <c r="L69" s="1008"/>
      <c r="M69" s="638"/>
      <c r="N69" s="958"/>
      <c r="O69" s="638"/>
      <c r="P69" s="638"/>
      <c r="Q69" s="28" t="s">
        <v>449</v>
      </c>
      <c r="R69" s="28" t="s">
        <v>326</v>
      </c>
      <c r="S69" s="28" t="s">
        <v>449</v>
      </c>
      <c r="T69" s="952"/>
      <c r="U69" s="7"/>
      <c r="V69" s="112"/>
    </row>
    <row r="70" spans="1:22" ht="18" customHeight="1">
      <c r="A70" s="205" t="s">
        <v>460</v>
      </c>
      <c r="I70" s="7"/>
      <c r="J70" s="7"/>
      <c r="K70" s="7"/>
      <c r="L70" s="442"/>
      <c r="M70" s="438"/>
      <c r="O70" s="438"/>
      <c r="V70" s="10"/>
    </row>
    <row r="71" spans="1:22" ht="18" customHeight="1">
      <c r="A71" s="1006" t="s">
        <v>428</v>
      </c>
      <c r="B71" s="956"/>
      <c r="C71" s="956"/>
      <c r="D71" s="1008" t="s">
        <v>461</v>
      </c>
      <c r="E71" s="887"/>
      <c r="F71" s="638" t="s">
        <v>326</v>
      </c>
      <c r="G71" s="661" t="s">
        <v>447</v>
      </c>
      <c r="H71" s="957"/>
      <c r="I71" s="638" t="s">
        <v>326</v>
      </c>
      <c r="J71" s="661" t="s">
        <v>462</v>
      </c>
      <c r="K71" s="638" t="s">
        <v>326</v>
      </c>
      <c r="L71" s="1008" t="s">
        <v>430</v>
      </c>
      <c r="M71" s="638" t="s">
        <v>451</v>
      </c>
      <c r="N71" s="958" t="s">
        <v>358</v>
      </c>
      <c r="O71" s="638" t="s">
        <v>458</v>
      </c>
      <c r="P71" s="638" t="s">
        <v>358</v>
      </c>
      <c r="Q71" s="953" t="s">
        <v>459</v>
      </c>
      <c r="R71" s="1005"/>
      <c r="S71" s="1005"/>
      <c r="T71" s="952" t="s">
        <v>361</v>
      </c>
      <c r="U71" s="242" t="s">
        <v>437</v>
      </c>
      <c r="V71" s="112"/>
    </row>
    <row r="72" spans="1:22" ht="18" customHeight="1">
      <c r="A72" s="1007"/>
      <c r="B72" s="956"/>
      <c r="C72" s="956"/>
      <c r="D72" s="887"/>
      <c r="E72" s="887"/>
      <c r="F72" s="638"/>
      <c r="G72" s="638" t="s">
        <v>441</v>
      </c>
      <c r="H72" s="887"/>
      <c r="I72" s="638"/>
      <c r="J72" s="638"/>
      <c r="K72" s="638"/>
      <c r="L72" s="1008"/>
      <c r="M72" s="638"/>
      <c r="N72" s="958"/>
      <c r="O72" s="638"/>
      <c r="P72" s="638"/>
      <c r="Q72" s="28" t="s">
        <v>449</v>
      </c>
      <c r="R72" s="28" t="s">
        <v>326</v>
      </c>
      <c r="S72" s="28" t="s">
        <v>449</v>
      </c>
      <c r="T72" s="952"/>
      <c r="U72" s="7"/>
      <c r="V72" s="112"/>
    </row>
    <row r="73" spans="1:22" ht="18" customHeight="1">
      <c r="A73" s="9"/>
      <c r="V73" s="10"/>
    </row>
    <row r="74" spans="1:22" ht="18" customHeight="1">
      <c r="A74" s="9"/>
      <c r="B74" s="14" t="s">
        <v>438</v>
      </c>
      <c r="P74" s="120" t="s">
        <v>439</v>
      </c>
      <c r="V74" s="10"/>
    </row>
    <row r="75" spans="1:22" ht="18" customHeight="1">
      <c r="A75" s="9"/>
      <c r="B75" s="14" t="s">
        <v>440</v>
      </c>
      <c r="P75" s="120" t="s">
        <v>441</v>
      </c>
      <c r="Q75" s="246" t="s">
        <v>138</v>
      </c>
      <c r="R75" s="639">
        <f>R35</f>
        <v>2500</v>
      </c>
      <c r="S75" s="639"/>
      <c r="T75" s="14" t="s">
        <v>9</v>
      </c>
      <c r="V75" s="10"/>
    </row>
    <row r="76" spans="1:22" ht="18" customHeight="1">
      <c r="A76" s="9"/>
      <c r="B76" s="14" t="s">
        <v>442</v>
      </c>
      <c r="P76" s="120" t="s">
        <v>429</v>
      </c>
      <c r="Q76" s="246" t="s">
        <v>138</v>
      </c>
      <c r="R76" s="639">
        <f>R36</f>
        <v>40000</v>
      </c>
      <c r="S76" s="639"/>
      <c r="T76" s="14" t="s">
        <v>9</v>
      </c>
      <c r="V76" s="10"/>
    </row>
    <row r="77" spans="1:22" ht="18" customHeight="1">
      <c r="A77" s="9"/>
      <c r="B77" s="14" t="s">
        <v>463</v>
      </c>
      <c r="P77" s="120" t="s">
        <v>461</v>
      </c>
      <c r="Q77" s="246" t="s">
        <v>138</v>
      </c>
      <c r="R77" s="873">
        <f>'Parameters &amp; Fault Cal. (4)'!M110</f>
        <v>22086.904410813047</v>
      </c>
      <c r="S77" s="639"/>
      <c r="T77" s="14" t="s">
        <v>9</v>
      </c>
      <c r="U77" s="30" t="s">
        <v>444</v>
      </c>
      <c r="V77" s="10"/>
    </row>
    <row r="78" spans="1:22" ht="18" customHeight="1">
      <c r="A78" s="9"/>
      <c r="B78" s="14"/>
      <c r="P78" s="120"/>
      <c r="Q78" s="246" t="s">
        <v>138</v>
      </c>
      <c r="R78" s="873">
        <f>'Parameters &amp; Fault Cal. (4)'!M131</f>
        <v>23819.814378888525</v>
      </c>
      <c r="S78" s="639"/>
      <c r="T78" s="14" t="s">
        <v>9</v>
      </c>
      <c r="U78" s="30" t="s">
        <v>445</v>
      </c>
      <c r="V78" s="10"/>
    </row>
    <row r="79" spans="1:22" ht="18" customHeight="1">
      <c r="A79" s="9"/>
      <c r="B79" s="14" t="s">
        <v>464</v>
      </c>
      <c r="P79" s="120" t="s">
        <v>447</v>
      </c>
      <c r="Q79" s="246" t="s">
        <v>138</v>
      </c>
      <c r="R79" s="639">
        <f>R39</f>
        <v>1</v>
      </c>
      <c r="S79" s="639"/>
      <c r="T79" s="14" t="s">
        <v>9</v>
      </c>
      <c r="V79" s="10"/>
    </row>
    <row r="80" spans="1:22" ht="18" customHeight="1">
      <c r="A80" s="9"/>
      <c r="B80" s="14" t="s">
        <v>448</v>
      </c>
      <c r="P80" s="120" t="s">
        <v>449</v>
      </c>
      <c r="Q80" s="246" t="s">
        <v>138</v>
      </c>
      <c r="R80" s="639">
        <f>R40</f>
        <v>1</v>
      </c>
      <c r="S80" s="639"/>
      <c r="T80" s="14" t="s">
        <v>9</v>
      </c>
      <c r="V80" s="10"/>
    </row>
    <row r="81" spans="1:22" ht="18" customHeight="1">
      <c r="A81" s="9"/>
      <c r="B81" s="14" t="s">
        <v>450</v>
      </c>
      <c r="P81" s="120" t="s">
        <v>451</v>
      </c>
      <c r="Q81" s="246" t="s">
        <v>138</v>
      </c>
      <c r="R81" s="639">
        <f>R41</f>
        <v>10</v>
      </c>
      <c r="S81" s="639"/>
      <c r="T81" s="204" t="s">
        <v>344</v>
      </c>
      <c r="V81" s="10"/>
    </row>
    <row r="82" spans="1:22" ht="18" customHeight="1">
      <c r="A82" s="9"/>
      <c r="B82" s="14" t="s">
        <v>465</v>
      </c>
      <c r="P82" s="249" t="s">
        <v>452</v>
      </c>
      <c r="Q82" s="246" t="s">
        <v>138</v>
      </c>
      <c r="R82" s="637">
        <f>R42</f>
        <v>1.46186744</v>
      </c>
      <c r="S82" s="639"/>
      <c r="T82" s="204" t="s">
        <v>344</v>
      </c>
      <c r="V82" s="10"/>
    </row>
    <row r="83" spans="1:22" ht="18" customHeight="1">
      <c r="A83" s="9"/>
      <c r="B83" s="40" t="s">
        <v>453</v>
      </c>
      <c r="P83" s="249" t="s">
        <v>454</v>
      </c>
      <c r="Q83" s="246" t="s">
        <v>138</v>
      </c>
      <c r="R83" s="637">
        <f>J18</f>
        <v>0.02</v>
      </c>
      <c r="S83" s="639"/>
      <c r="T83" s="14" t="s">
        <v>168</v>
      </c>
      <c r="V83" s="10"/>
    </row>
    <row r="84" spans="1:22" ht="18" customHeight="1">
      <c r="A84" s="9"/>
      <c r="B84" s="40"/>
      <c r="P84" s="249"/>
      <c r="Q84" s="246"/>
      <c r="R84" s="223"/>
      <c r="S84" s="27"/>
      <c r="T84" s="14"/>
      <c r="V84" s="10"/>
    </row>
    <row r="85" spans="1:22" s="7" customFormat="1" ht="18" customHeight="1">
      <c r="A85" s="395"/>
      <c r="B85" s="20"/>
      <c r="C85" s="20"/>
      <c r="D85" s="20"/>
      <c r="E85" s="20"/>
      <c r="F85" s="20"/>
      <c r="G85" s="20"/>
      <c r="H85" s="20"/>
      <c r="I85" s="20"/>
      <c r="J85" s="20"/>
      <c r="K85" s="20"/>
      <c r="L85" s="20"/>
      <c r="M85" s="20"/>
      <c r="N85" s="20"/>
      <c r="O85" s="20"/>
      <c r="P85" s="20"/>
      <c r="Q85" s="21"/>
      <c r="R85" s="22"/>
      <c r="S85" s="23"/>
      <c r="T85" s="20"/>
      <c r="U85" s="20"/>
      <c r="V85" s="140"/>
    </row>
    <row r="86" spans="1:22" ht="18" customHeight="1">
      <c r="A86" s="444" t="s">
        <v>466</v>
      </c>
      <c r="B86" s="445"/>
      <c r="C86" s="446"/>
      <c r="D86" s="447"/>
      <c r="E86" s="446"/>
      <c r="F86" s="447"/>
      <c r="G86" s="447"/>
      <c r="H86" s="445"/>
      <c r="I86" s="445"/>
      <c r="J86" s="445"/>
      <c r="K86" s="448"/>
      <c r="L86" s="448"/>
      <c r="M86" s="111"/>
      <c r="N86" s="447"/>
      <c r="O86" s="447"/>
      <c r="P86" s="448"/>
      <c r="Q86" s="449"/>
      <c r="R86" s="111"/>
      <c r="S86" s="111"/>
      <c r="T86" s="111"/>
      <c r="U86" s="111"/>
      <c r="V86" s="147"/>
    </row>
    <row r="87" spans="1:22" ht="18" customHeight="1">
      <c r="A87" s="96" t="s">
        <v>467</v>
      </c>
      <c r="B87" s="164"/>
      <c r="C87" s="450"/>
      <c r="D87" s="389"/>
      <c r="E87" s="450"/>
      <c r="F87" s="389"/>
      <c r="G87" s="389"/>
      <c r="H87" s="164"/>
      <c r="I87" s="164"/>
      <c r="J87" s="164"/>
      <c r="K87" s="165"/>
      <c r="L87" s="165"/>
      <c r="M87" s="7"/>
      <c r="N87" s="389"/>
      <c r="O87" s="389"/>
      <c r="P87" s="165"/>
      <c r="Q87" s="451"/>
      <c r="R87" s="7"/>
      <c r="S87" s="7"/>
      <c r="T87" s="7"/>
      <c r="U87" s="7"/>
      <c r="V87" s="112"/>
    </row>
    <row r="88" spans="1:22" ht="18" customHeight="1">
      <c r="A88" s="409"/>
      <c r="B88" s="164"/>
      <c r="C88" s="450"/>
      <c r="D88" s="7"/>
      <c r="E88" s="7"/>
      <c r="F88" s="7"/>
      <c r="G88" s="389"/>
      <c r="H88" s="452" t="s">
        <v>468</v>
      </c>
      <c r="I88" s="14" t="s">
        <v>469</v>
      </c>
      <c r="J88" s="7"/>
      <c r="K88" s="28" t="s">
        <v>470</v>
      </c>
      <c r="L88" s="28" t="s">
        <v>146</v>
      </c>
      <c r="M88" s="453"/>
      <c r="N88" s="389"/>
      <c r="O88" s="389"/>
      <c r="P88" s="102" t="s">
        <v>138</v>
      </c>
      <c r="Q88" s="28">
        <v>1</v>
      </c>
      <c r="R88" s="7"/>
      <c r="S88" s="7"/>
      <c r="T88" s="7"/>
      <c r="U88" s="7"/>
      <c r="V88" s="112"/>
    </row>
    <row r="89" spans="1:22" ht="18" customHeight="1">
      <c r="A89" s="409"/>
      <c r="B89" s="164"/>
      <c r="C89" s="450"/>
      <c r="D89" s="7"/>
      <c r="E89" s="7"/>
      <c r="F89" s="7"/>
      <c r="G89" s="389"/>
      <c r="H89" s="452"/>
      <c r="I89" s="14"/>
      <c r="J89" s="7"/>
      <c r="K89" s="28"/>
      <c r="L89" s="28"/>
      <c r="M89" s="453"/>
      <c r="N89" s="389"/>
      <c r="O89" s="389"/>
      <c r="P89" s="102"/>
      <c r="Q89" s="28"/>
      <c r="R89" s="7"/>
      <c r="S89" s="7"/>
      <c r="T89" s="7"/>
      <c r="U89" s="7"/>
      <c r="V89" s="112"/>
    </row>
    <row r="90" spans="1:22" ht="18" customHeight="1">
      <c r="A90" s="96" t="s">
        <v>471</v>
      </c>
      <c r="B90" s="164"/>
      <c r="C90" s="450"/>
      <c r="D90" s="389"/>
      <c r="E90" s="450"/>
      <c r="F90" s="389"/>
      <c r="G90" s="389"/>
      <c r="H90" s="164"/>
      <c r="I90" s="7"/>
      <c r="J90" s="7"/>
      <c r="K90" s="121"/>
      <c r="L90" s="121"/>
      <c r="M90" s="7"/>
      <c r="N90" s="389"/>
      <c r="O90" s="389"/>
      <c r="P90" s="165"/>
      <c r="Q90" s="451"/>
      <c r="V90" s="10"/>
    </row>
    <row r="91" spans="1:22" ht="18" customHeight="1">
      <c r="A91" s="96" t="s">
        <v>472</v>
      </c>
      <c r="B91" s="164"/>
      <c r="C91" s="450"/>
      <c r="D91" s="389"/>
      <c r="E91" s="450"/>
      <c r="F91" s="389"/>
      <c r="G91" s="389"/>
      <c r="H91" s="164"/>
      <c r="I91" s="7"/>
      <c r="J91" s="7"/>
      <c r="K91" s="121"/>
      <c r="L91" s="121"/>
      <c r="M91" s="7"/>
      <c r="N91" s="389"/>
      <c r="O91" s="389"/>
      <c r="P91" s="165"/>
      <c r="Q91" s="451"/>
      <c r="V91" s="10"/>
    </row>
    <row r="92" spans="1:22" ht="18" customHeight="1">
      <c r="A92" s="409"/>
      <c r="B92" s="164"/>
      <c r="C92" s="450"/>
      <c r="D92" s="7"/>
      <c r="E92" s="7"/>
      <c r="F92" s="7"/>
      <c r="G92" s="389"/>
      <c r="H92" s="452" t="s">
        <v>468</v>
      </c>
      <c r="I92" s="14" t="s">
        <v>473</v>
      </c>
      <c r="J92" s="7"/>
      <c r="K92" s="28" t="s">
        <v>470</v>
      </c>
      <c r="L92" s="28" t="s">
        <v>462</v>
      </c>
      <c r="M92" s="453"/>
      <c r="N92" s="389"/>
      <c r="O92" s="389"/>
      <c r="P92" s="102" t="s">
        <v>138</v>
      </c>
      <c r="Q92" s="28">
        <v>3</v>
      </c>
      <c r="V92" s="10"/>
    </row>
    <row r="93" spans="1:22" ht="18" customHeight="1">
      <c r="A93" s="409"/>
      <c r="B93" s="164"/>
      <c r="C93" s="450"/>
      <c r="D93" s="7"/>
      <c r="E93" s="7"/>
      <c r="F93" s="7"/>
      <c r="G93" s="389"/>
      <c r="H93" s="452"/>
      <c r="I93" s="14"/>
      <c r="J93" s="7"/>
      <c r="K93" s="28"/>
      <c r="L93" s="28"/>
      <c r="M93" s="453"/>
      <c r="N93" s="389"/>
      <c r="O93" s="389"/>
      <c r="P93" s="102"/>
      <c r="Q93" s="28"/>
      <c r="V93" s="10"/>
    </row>
    <row r="94" spans="1:22" ht="18" customHeight="1">
      <c r="A94" s="205" t="s">
        <v>427</v>
      </c>
      <c r="V94" s="10"/>
    </row>
    <row r="95" spans="1:22" ht="18" customHeight="1">
      <c r="A95" s="114"/>
      <c r="B95" s="7"/>
      <c r="C95" s="7"/>
      <c r="D95" s="7"/>
      <c r="E95" s="7"/>
      <c r="F95" s="7"/>
      <c r="G95" s="14" t="s">
        <v>474</v>
      </c>
      <c r="H95" s="7"/>
      <c r="I95" s="7"/>
      <c r="J95" s="7"/>
      <c r="K95" s="28" t="s">
        <v>138</v>
      </c>
      <c r="L95" s="641">
        <f>'Parameters &amp; Fault Cal. (4)'!Q59</f>
        <v>159.09090909090909</v>
      </c>
      <c r="M95" s="638"/>
      <c r="N95" s="14" t="s">
        <v>475</v>
      </c>
      <c r="O95" s="28" t="s">
        <v>146</v>
      </c>
      <c r="P95" s="28" t="s">
        <v>138</v>
      </c>
      <c r="Q95" s="28">
        <f>IF(L95&lt;=400,Q88,Q89)</f>
        <v>1</v>
      </c>
      <c r="R95" s="7"/>
      <c r="S95" s="7"/>
      <c r="T95" s="7"/>
      <c r="V95" s="10"/>
    </row>
    <row r="96" spans="1:22" ht="18" customHeight="1">
      <c r="A96" s="1006" t="s">
        <v>428</v>
      </c>
      <c r="B96" s="956"/>
      <c r="C96" s="956"/>
      <c r="D96" s="1011">
        <f>R76</f>
        <v>40000</v>
      </c>
      <c r="E96" s="1019"/>
      <c r="F96" s="861" t="s">
        <v>326</v>
      </c>
      <c r="G96" s="1013">
        <f>R79</f>
        <v>1</v>
      </c>
      <c r="H96" s="1020"/>
      <c r="I96" s="861" t="s">
        <v>326</v>
      </c>
      <c r="J96" s="862">
        <f>Q95</f>
        <v>1</v>
      </c>
      <c r="K96" s="861" t="s">
        <v>326</v>
      </c>
      <c r="L96" s="1011" t="s">
        <v>430</v>
      </c>
      <c r="M96" s="968">
        <f>R81</f>
        <v>10</v>
      </c>
      <c r="N96" s="1017" t="s">
        <v>358</v>
      </c>
      <c r="O96" s="1018">
        <f>R82</f>
        <v>1.46186744</v>
      </c>
      <c r="P96" s="861" t="s">
        <v>358</v>
      </c>
      <c r="Q96" s="1010">
        <f>R83</f>
        <v>0.02</v>
      </c>
      <c r="R96" s="1010"/>
      <c r="S96" s="1010"/>
      <c r="T96" s="952" t="s">
        <v>361</v>
      </c>
      <c r="U96" s="242" t="s">
        <v>433</v>
      </c>
      <c r="V96" s="112"/>
    </row>
    <row r="97" spans="1:22" ht="18" customHeight="1">
      <c r="A97" s="1007"/>
      <c r="B97" s="956"/>
      <c r="C97" s="956"/>
      <c r="D97" s="1019"/>
      <c r="E97" s="1019"/>
      <c r="F97" s="861"/>
      <c r="G97" s="861">
        <f>R75</f>
        <v>2500</v>
      </c>
      <c r="H97" s="1019"/>
      <c r="I97" s="861"/>
      <c r="J97" s="861"/>
      <c r="K97" s="861"/>
      <c r="L97" s="1011"/>
      <c r="M97" s="968"/>
      <c r="N97" s="1017"/>
      <c r="O97" s="968"/>
      <c r="P97" s="861"/>
      <c r="Q97" s="233">
        <f>R80</f>
        <v>1</v>
      </c>
      <c r="R97" s="233" t="s">
        <v>326</v>
      </c>
      <c r="S97" s="233">
        <f>R80</f>
        <v>1</v>
      </c>
      <c r="T97" s="952"/>
      <c r="U97" s="7"/>
      <c r="V97" s="112"/>
    </row>
    <row r="98" spans="1:22" ht="18" customHeight="1">
      <c r="A98" s="114"/>
      <c r="B98" s="7"/>
      <c r="C98" s="7"/>
      <c r="D98" s="7"/>
      <c r="E98" s="7"/>
      <c r="F98" s="7"/>
      <c r="G98" s="7"/>
      <c r="H98" s="7"/>
      <c r="I98" s="7"/>
      <c r="J98" s="7"/>
      <c r="K98" s="7"/>
      <c r="L98" s="7"/>
      <c r="M98" s="7"/>
      <c r="N98" s="7"/>
      <c r="O98" s="7"/>
      <c r="P98" s="7"/>
      <c r="Q98" s="7"/>
      <c r="R98" s="7"/>
      <c r="S98" s="7"/>
      <c r="T98" s="7"/>
      <c r="V98" s="10"/>
    </row>
    <row r="99" spans="1:22" ht="18" customHeight="1">
      <c r="A99" s="9"/>
      <c r="C99" s="30" t="s">
        <v>138</v>
      </c>
      <c r="D99" s="797">
        <f>D96*(G96/G97)*J96*(M96+O96+(Q96/(Q97*S97)))</f>
        <v>183.70987904</v>
      </c>
      <c r="E99" s="645"/>
      <c r="F99" s="27" t="s">
        <v>316</v>
      </c>
      <c r="V99" s="10"/>
    </row>
    <row r="100" spans="1:22" ht="18" customHeight="1">
      <c r="A100" s="9"/>
      <c r="V100" s="10"/>
    </row>
    <row r="101" spans="1:22" ht="18" customHeight="1">
      <c r="A101" s="205" t="s">
        <v>476</v>
      </c>
      <c r="V101" s="10"/>
    </row>
    <row r="102" spans="1:22" ht="18" customHeight="1">
      <c r="A102" s="9"/>
      <c r="E102" s="30" t="s">
        <v>477</v>
      </c>
      <c r="K102" s="27" t="s">
        <v>138</v>
      </c>
      <c r="L102" s="637">
        <f>'Parameters &amp; Fault Cal. (4)'!Q116</f>
        <v>6.7473490103646627</v>
      </c>
      <c r="M102" s="639"/>
      <c r="N102" s="30" t="s">
        <v>475</v>
      </c>
      <c r="O102" s="28" t="s">
        <v>462</v>
      </c>
      <c r="P102" s="27" t="s">
        <v>138</v>
      </c>
      <c r="Q102" s="27">
        <f>IF(L102&lt;=200,Q92,Q93)</f>
        <v>3</v>
      </c>
      <c r="V102" s="10"/>
    </row>
    <row r="103" spans="1:22" ht="18" customHeight="1">
      <c r="A103" s="1006" t="s">
        <v>428</v>
      </c>
      <c r="B103" s="956"/>
      <c r="C103" s="956"/>
      <c r="D103" s="1016">
        <f>R77</f>
        <v>22086.904410813047</v>
      </c>
      <c r="E103" s="1015"/>
      <c r="F103" s="861" t="s">
        <v>326</v>
      </c>
      <c r="G103" s="1013">
        <f>R79</f>
        <v>1</v>
      </c>
      <c r="H103" s="1014"/>
      <c r="I103" s="861" t="s">
        <v>326</v>
      </c>
      <c r="J103" s="862">
        <f>Q102</f>
        <v>3</v>
      </c>
      <c r="K103" s="861" t="s">
        <v>326</v>
      </c>
      <c r="L103" s="1011" t="s">
        <v>430</v>
      </c>
      <c r="M103" s="968">
        <f>R81</f>
        <v>10</v>
      </c>
      <c r="N103" s="1017" t="s">
        <v>358</v>
      </c>
      <c r="O103" s="1018">
        <f>R82</f>
        <v>1.46186744</v>
      </c>
      <c r="P103" s="861" t="s">
        <v>358</v>
      </c>
      <c r="Q103" s="1010">
        <f>R83</f>
        <v>0.02</v>
      </c>
      <c r="R103" s="1010"/>
      <c r="S103" s="1010"/>
      <c r="T103" s="952" t="s">
        <v>361</v>
      </c>
      <c r="U103" s="242" t="s">
        <v>437</v>
      </c>
      <c r="V103" s="112"/>
    </row>
    <row r="104" spans="1:22" ht="18" customHeight="1">
      <c r="A104" s="1007"/>
      <c r="B104" s="956"/>
      <c r="C104" s="956"/>
      <c r="D104" s="1015"/>
      <c r="E104" s="1015"/>
      <c r="F104" s="861"/>
      <c r="G104" s="861">
        <f>R75</f>
        <v>2500</v>
      </c>
      <c r="H104" s="1015"/>
      <c r="I104" s="861"/>
      <c r="J104" s="861"/>
      <c r="K104" s="861"/>
      <c r="L104" s="1011"/>
      <c r="M104" s="968"/>
      <c r="N104" s="1017"/>
      <c r="O104" s="968"/>
      <c r="P104" s="861"/>
      <c r="Q104" s="233">
        <f>R80</f>
        <v>1</v>
      </c>
      <c r="R104" s="233" t="s">
        <v>326</v>
      </c>
      <c r="S104" s="233">
        <f>R80</f>
        <v>1</v>
      </c>
      <c r="T104" s="952"/>
      <c r="U104" s="7"/>
      <c r="V104" s="112"/>
    </row>
    <row r="105" spans="1:22" ht="18" customHeight="1">
      <c r="A105" s="9"/>
      <c r="I105" s="7"/>
      <c r="J105" s="7"/>
      <c r="K105" s="7"/>
      <c r="V105" s="10"/>
    </row>
    <row r="106" spans="1:22" ht="18" customHeight="1">
      <c r="A106" s="9"/>
      <c r="C106" s="27" t="s">
        <v>138</v>
      </c>
      <c r="D106" s="797">
        <f>D103*(G103/G104)*J103*(M103+O103+(Q103/(Q104*S104)))</f>
        <v>304.31869032588804</v>
      </c>
      <c r="E106" s="645"/>
      <c r="F106" s="27" t="s">
        <v>316</v>
      </c>
      <c r="I106" s="7"/>
      <c r="J106" s="7"/>
      <c r="K106" s="7"/>
      <c r="V106" s="10"/>
    </row>
    <row r="107" spans="1:22" ht="18" customHeight="1">
      <c r="A107" s="9"/>
      <c r="I107" s="7"/>
      <c r="J107" s="7"/>
      <c r="K107" s="7"/>
      <c r="V107" s="10"/>
    </row>
    <row r="108" spans="1:22" ht="18" customHeight="1">
      <c r="A108" s="205" t="s">
        <v>478</v>
      </c>
      <c r="I108" s="7"/>
      <c r="J108" s="7"/>
      <c r="K108" s="7"/>
      <c r="V108" s="10"/>
    </row>
    <row r="109" spans="1:22" ht="18" customHeight="1">
      <c r="A109" s="9"/>
      <c r="E109" s="30" t="s">
        <v>479</v>
      </c>
      <c r="I109" s="7"/>
      <c r="J109" s="7"/>
      <c r="K109" s="28" t="s">
        <v>138</v>
      </c>
      <c r="L109" s="637">
        <f>'Parameters &amp; Fault Cal. (4)'!Q139</f>
        <v>6.9289372966517959</v>
      </c>
      <c r="M109" s="639"/>
      <c r="N109" s="27" t="s">
        <v>475</v>
      </c>
      <c r="O109" s="28" t="s">
        <v>462</v>
      </c>
      <c r="P109" s="27" t="s">
        <v>138</v>
      </c>
      <c r="Q109" s="27">
        <f>IF(L109&lt;=200,Q92,Q93)</f>
        <v>3</v>
      </c>
      <c r="V109" s="10"/>
    </row>
    <row r="110" spans="1:22" ht="18" customHeight="1">
      <c r="A110" s="1006" t="s">
        <v>428</v>
      </c>
      <c r="B110" s="956"/>
      <c r="C110" s="956"/>
      <c r="D110" s="1016">
        <f>R78</f>
        <v>23819.814378888525</v>
      </c>
      <c r="E110" s="1015"/>
      <c r="F110" s="861" t="s">
        <v>326</v>
      </c>
      <c r="G110" s="1013">
        <f>R79</f>
        <v>1</v>
      </c>
      <c r="H110" s="1014"/>
      <c r="I110" s="861" t="s">
        <v>326</v>
      </c>
      <c r="J110" s="862">
        <f>Q109</f>
        <v>3</v>
      </c>
      <c r="K110" s="861" t="s">
        <v>326</v>
      </c>
      <c r="L110" s="1011" t="s">
        <v>430</v>
      </c>
      <c r="M110" s="968">
        <f>R81</f>
        <v>10</v>
      </c>
      <c r="N110" s="1017" t="s">
        <v>358</v>
      </c>
      <c r="O110" s="1018">
        <f>R82</f>
        <v>1.46186744</v>
      </c>
      <c r="P110" s="861" t="s">
        <v>358</v>
      </c>
      <c r="Q110" s="1010">
        <f>R83</f>
        <v>0.02</v>
      </c>
      <c r="R110" s="1010"/>
      <c r="S110" s="1010"/>
      <c r="T110" s="952" t="s">
        <v>361</v>
      </c>
      <c r="U110" s="242" t="s">
        <v>437</v>
      </c>
      <c r="V110" s="112"/>
    </row>
    <row r="111" spans="1:22" ht="18" customHeight="1">
      <c r="A111" s="1007"/>
      <c r="B111" s="956"/>
      <c r="C111" s="956"/>
      <c r="D111" s="1015"/>
      <c r="E111" s="1015"/>
      <c r="F111" s="861"/>
      <c r="G111" s="861">
        <f>R75</f>
        <v>2500</v>
      </c>
      <c r="H111" s="1015"/>
      <c r="I111" s="861"/>
      <c r="J111" s="861"/>
      <c r="K111" s="861"/>
      <c r="L111" s="1011"/>
      <c r="M111" s="968"/>
      <c r="N111" s="1017"/>
      <c r="O111" s="968"/>
      <c r="P111" s="861"/>
      <c r="Q111" s="233">
        <f>R80</f>
        <v>1</v>
      </c>
      <c r="R111" s="233" t="s">
        <v>326</v>
      </c>
      <c r="S111" s="233">
        <f>R80</f>
        <v>1</v>
      </c>
      <c r="T111" s="952"/>
      <c r="U111" s="7"/>
      <c r="V111" s="112"/>
    </row>
    <row r="112" spans="1:22" ht="18" customHeight="1">
      <c r="A112" s="9"/>
      <c r="V112" s="10"/>
    </row>
    <row r="113" spans="1:26" ht="18" customHeight="1">
      <c r="A113" s="9"/>
      <c r="C113" s="30" t="s">
        <v>138</v>
      </c>
      <c r="D113" s="1021">
        <f>D110*(G110/G111)*J110*(M110+O110+(Q110/(Q111*S111)))</f>
        <v>328.19514137256476</v>
      </c>
      <c r="E113" s="1022"/>
      <c r="F113" s="27" t="s">
        <v>316</v>
      </c>
      <c r="V113" s="10"/>
    </row>
    <row r="114" spans="1:26" ht="18" customHeight="1">
      <c r="A114" s="9"/>
      <c r="V114" s="10"/>
    </row>
    <row r="115" spans="1:26" ht="18" customHeight="1">
      <c r="A115" s="196" t="s">
        <v>480</v>
      </c>
      <c r="M115" s="1023">
        <f>H10</f>
        <v>2500</v>
      </c>
      <c r="N115" s="1024"/>
      <c r="O115" s="30" t="s">
        <v>481</v>
      </c>
      <c r="Q115" s="798">
        <f>MAX(D50,D56,D62,D99,D106,D113)</f>
        <v>328.19514137256476</v>
      </c>
      <c r="R115" s="799"/>
      <c r="S115" s="30" t="s">
        <v>316</v>
      </c>
      <c r="V115" s="10"/>
    </row>
    <row r="116" spans="1:26" ht="18" customHeight="1">
      <c r="A116" s="364" t="s">
        <v>482</v>
      </c>
      <c r="B116" s="7"/>
      <c r="C116" s="7"/>
      <c r="D116" s="454"/>
      <c r="E116" s="7"/>
      <c r="F116" s="7"/>
      <c r="G116" s="385"/>
      <c r="H116" s="7"/>
      <c r="J116" s="7"/>
      <c r="K116" s="7"/>
      <c r="L116" s="7"/>
      <c r="M116" s="7"/>
      <c r="N116" s="7"/>
      <c r="O116" s="7"/>
      <c r="P116" s="262"/>
      <c r="Q116" s="263"/>
      <c r="R116" s="385"/>
      <c r="S116" s="7"/>
      <c r="V116" s="10"/>
    </row>
    <row r="117" spans="1:26" ht="18" customHeight="1">
      <c r="A117" s="96" t="s">
        <v>483</v>
      </c>
      <c r="V117" s="10"/>
    </row>
    <row r="118" spans="1:26" ht="18" customHeight="1">
      <c r="A118" s="9"/>
      <c r="N118" s="7"/>
      <c r="O118" s="28" t="s">
        <v>484</v>
      </c>
      <c r="P118" s="102" t="s">
        <v>138</v>
      </c>
      <c r="Q118" s="906" t="s">
        <v>485</v>
      </c>
      <c r="R118" s="906"/>
      <c r="S118" s="28" t="s">
        <v>326</v>
      </c>
      <c r="T118" s="28">
        <v>0.8</v>
      </c>
      <c r="V118" s="10"/>
    </row>
    <row r="119" spans="1:26" ht="18" customHeight="1">
      <c r="A119" s="9"/>
      <c r="N119" s="264"/>
      <c r="O119" s="28"/>
      <c r="P119" s="102" t="s">
        <v>138</v>
      </c>
      <c r="Q119" s="1026">
        <f>+Q115</f>
        <v>328.19514137256476</v>
      </c>
      <c r="R119" s="661"/>
      <c r="S119" s="234" t="s">
        <v>326</v>
      </c>
      <c r="T119" s="265">
        <f>+T118</f>
        <v>0.8</v>
      </c>
      <c r="V119" s="10"/>
    </row>
    <row r="120" spans="1:26" ht="18" customHeight="1">
      <c r="A120" s="9"/>
      <c r="O120" s="28"/>
      <c r="P120" s="28" t="s">
        <v>138</v>
      </c>
      <c r="Q120" s="1027">
        <f>Q119*T119</f>
        <v>262.55611309805181</v>
      </c>
      <c r="R120" s="651"/>
      <c r="S120" s="47" t="s">
        <v>316</v>
      </c>
      <c r="T120" s="28"/>
      <c r="V120" s="10"/>
    </row>
    <row r="121" spans="1:26" ht="18" customHeight="1">
      <c r="A121" s="9"/>
      <c r="D121" s="14" t="s">
        <v>486</v>
      </c>
      <c r="G121" s="27" t="s">
        <v>487</v>
      </c>
      <c r="H121" s="14" t="s">
        <v>488</v>
      </c>
      <c r="V121" s="10"/>
      <c r="Z121" t="str">
        <f>IF(E122&gt;H122,"&gt;","&lt;")</f>
        <v>&gt;</v>
      </c>
    </row>
    <row r="122" spans="1:26" ht="18" customHeight="1">
      <c r="A122" s="9"/>
      <c r="E122" s="639">
        <f>H13</f>
        <v>3000</v>
      </c>
      <c r="F122" s="639"/>
      <c r="G122" s="27" t="s">
        <v>487</v>
      </c>
      <c r="H122" s="637">
        <f>Q120</f>
        <v>262.55611309805181</v>
      </c>
      <c r="I122" s="639"/>
      <c r="V122" s="10"/>
    </row>
    <row r="123" spans="1:26" ht="18" customHeight="1">
      <c r="A123" s="9"/>
      <c r="F123" s="256" t="s">
        <v>489</v>
      </c>
      <c r="H123" s="18" t="str">
        <f>IF(E122&gt;H122,"Suitably Dimensioned","Under Dimensioned")</f>
        <v>Suitably Dimensioned</v>
      </c>
      <c r="V123" s="10"/>
      <c r="Z123" t="str">
        <f>IF(G121="&gt;","Suitably Dimensioned","Under Dimensioned")</f>
        <v>Suitably Dimensioned</v>
      </c>
    </row>
    <row r="124" spans="1:26" ht="18" customHeight="1">
      <c r="A124" s="9"/>
      <c r="F124" s="256"/>
      <c r="H124" s="18"/>
      <c r="V124" s="10"/>
    </row>
    <row r="125" spans="1:26" ht="18" customHeight="1">
      <c r="A125" s="455"/>
      <c r="B125" s="397"/>
      <c r="C125" s="397"/>
      <c r="D125" s="397"/>
      <c r="E125" s="397"/>
      <c r="F125" s="397"/>
      <c r="G125" s="397"/>
      <c r="H125" s="397"/>
      <c r="I125" s="397"/>
      <c r="J125" s="397"/>
      <c r="K125" s="397"/>
      <c r="L125" s="397"/>
      <c r="M125" s="397"/>
      <c r="N125" s="397"/>
      <c r="O125" s="397"/>
      <c r="P125" s="397"/>
      <c r="Q125" s="397"/>
      <c r="R125" s="397"/>
      <c r="S125" s="397"/>
      <c r="T125" s="397"/>
      <c r="U125" s="397"/>
      <c r="V125" s="408"/>
    </row>
    <row r="126" spans="1:26" ht="18" customHeight="1">
      <c r="A126" s="9"/>
      <c r="B126" s="667" t="str">
        <f>B7</f>
        <v>T1</v>
      </c>
      <c r="C126" s="668"/>
      <c r="D126" s="1025" t="str">
        <f>D7</f>
        <v>Core1</v>
      </c>
      <c r="E126" s="681"/>
      <c r="F126" s="638">
        <f>F7</f>
        <v>0</v>
      </c>
      <c r="G126" s="638"/>
      <c r="H126" s="638" t="str">
        <f>H7</f>
        <v>(Diff. + Dist.)</v>
      </c>
      <c r="I126" s="638"/>
      <c r="J126" s="638"/>
      <c r="K126" s="638"/>
      <c r="L126" s="638"/>
      <c r="M126" s="638"/>
      <c r="P126" s="198"/>
      <c r="S126" s="199" t="s">
        <v>398</v>
      </c>
      <c r="T126" s="667" t="str">
        <f>T7</f>
        <v>RED670</v>
      </c>
      <c r="U126" s="668"/>
      <c r="V126" s="10"/>
    </row>
    <row r="127" spans="1:26" ht="18" customHeight="1">
      <c r="A127" s="9"/>
      <c r="B127" s="679">
        <f>B8</f>
        <v>0</v>
      </c>
      <c r="C127" s="679"/>
      <c r="D127" s="682"/>
      <c r="E127" s="683"/>
      <c r="T127" s="992">
        <f>T8</f>
        <v>0</v>
      </c>
      <c r="U127" s="993"/>
      <c r="V127" s="10"/>
    </row>
    <row r="128" spans="1:26" ht="18" customHeight="1">
      <c r="A128" s="9"/>
      <c r="H128" s="661" t="s">
        <v>401</v>
      </c>
      <c r="I128" s="661"/>
      <c r="J128" s="662" t="s">
        <v>402</v>
      </c>
      <c r="K128" s="662"/>
      <c r="L128" s="701" t="s">
        <v>403</v>
      </c>
      <c r="M128" s="701"/>
      <c r="T128" s="992">
        <f>T9</f>
        <v>0</v>
      </c>
      <c r="U128" s="993"/>
      <c r="V128" s="10"/>
    </row>
    <row r="129" spans="1:29" ht="18" customHeight="1">
      <c r="A129" s="9"/>
      <c r="B129" s="47" t="s">
        <v>404</v>
      </c>
      <c r="H129" s="667">
        <f>H10</f>
        <v>2500</v>
      </c>
      <c r="I129" s="668"/>
      <c r="J129" s="1030">
        <f>J10</f>
        <v>3000</v>
      </c>
      <c r="K129" s="1031"/>
      <c r="L129" s="667" t="str">
        <f>L10</f>
        <v>-</v>
      </c>
      <c r="M129" s="668"/>
      <c r="N129" s="203" t="s">
        <v>353</v>
      </c>
      <c r="O129" s="504">
        <f>O10</f>
        <v>1</v>
      </c>
      <c r="P129" s="27" t="s">
        <v>9</v>
      </c>
      <c r="V129" s="10"/>
    </row>
    <row r="130" spans="1:29" ht="18" customHeight="1">
      <c r="A130" s="9"/>
      <c r="B130" s="47" t="s">
        <v>405</v>
      </c>
      <c r="J130" s="667" t="str">
        <f>H11</f>
        <v>PX-A</v>
      </c>
      <c r="K130" s="668"/>
      <c r="V130" s="10"/>
    </row>
    <row r="131" spans="1:29" ht="18" customHeight="1">
      <c r="A131" s="9"/>
      <c r="B131" s="47" t="s">
        <v>407</v>
      </c>
      <c r="I131" s="120" t="s">
        <v>508</v>
      </c>
      <c r="J131" s="656">
        <v>14</v>
      </c>
      <c r="K131" s="657"/>
      <c r="L131" s="204" t="s">
        <v>344</v>
      </c>
      <c r="N131" s="7"/>
      <c r="O131" s="7"/>
      <c r="V131" s="10"/>
    </row>
    <row r="132" spans="1:29" ht="18" customHeight="1">
      <c r="A132" s="9"/>
      <c r="B132" s="47" t="s">
        <v>409</v>
      </c>
      <c r="I132" s="120" t="s">
        <v>509</v>
      </c>
      <c r="J132" s="656">
        <v>2500</v>
      </c>
      <c r="K132" s="657"/>
      <c r="L132" s="14" t="s">
        <v>316</v>
      </c>
      <c r="O132" s="7"/>
      <c r="V132" s="10"/>
      <c r="W132" s="30" t="s">
        <v>411</v>
      </c>
      <c r="AB132" s="996">
        <f>Q239</f>
        <v>295.02016692748646</v>
      </c>
      <c r="AC132" s="997"/>
    </row>
    <row r="133" spans="1:29" ht="18" customHeight="1">
      <c r="A133" s="9"/>
      <c r="B133" s="14" t="s">
        <v>412</v>
      </c>
      <c r="I133" s="120" t="s">
        <v>413</v>
      </c>
      <c r="J133" s="656">
        <v>60</v>
      </c>
      <c r="K133" s="657"/>
      <c r="L133" s="14" t="s">
        <v>414</v>
      </c>
      <c r="O133" s="7"/>
      <c r="V133" s="10"/>
    </row>
    <row r="134" spans="1:29" ht="18" customHeight="1">
      <c r="A134" s="9"/>
      <c r="V134" s="10"/>
    </row>
    <row r="135" spans="1:29" ht="18" customHeight="1">
      <c r="A135" s="116" t="s">
        <v>415</v>
      </c>
      <c r="V135" s="10"/>
    </row>
    <row r="136" spans="1:29" ht="18" customHeight="1">
      <c r="A136" s="9"/>
      <c r="V136" s="10"/>
    </row>
    <row r="137" spans="1:29" ht="18" customHeight="1">
      <c r="A137" s="9"/>
      <c r="B137" s="206" t="s">
        <v>416</v>
      </c>
      <c r="C137" s="207"/>
      <c r="D137" s="207" t="str">
        <f>T126</f>
        <v>RED670</v>
      </c>
      <c r="E137" s="436"/>
      <c r="F137" s="436"/>
      <c r="G137" s="436"/>
      <c r="H137" s="194" t="s">
        <v>417</v>
      </c>
      <c r="I137" s="195" t="s">
        <v>138</v>
      </c>
      <c r="J137" s="1028">
        <f>J18</f>
        <v>0.02</v>
      </c>
      <c r="K137" s="1029"/>
      <c r="L137" s="214" t="s">
        <v>168</v>
      </c>
      <c r="N137" s="209" t="s">
        <v>418</v>
      </c>
      <c r="V137" s="10"/>
    </row>
    <row r="138" spans="1:29" ht="18" customHeight="1">
      <c r="A138" s="9"/>
      <c r="B138" s="9" t="s">
        <v>416</v>
      </c>
      <c r="D138" s="437">
        <f>T127</f>
        <v>0</v>
      </c>
      <c r="I138" s="28" t="s">
        <v>138</v>
      </c>
      <c r="J138" s="1028">
        <f>J19</f>
        <v>0</v>
      </c>
      <c r="K138" s="1032"/>
      <c r="L138" s="309" t="s">
        <v>168</v>
      </c>
      <c r="V138" s="10"/>
    </row>
    <row r="139" spans="1:29" ht="18" customHeight="1">
      <c r="A139" s="9"/>
      <c r="B139" s="9" t="s">
        <v>416</v>
      </c>
      <c r="D139" s="437">
        <f>T128</f>
        <v>0</v>
      </c>
      <c r="E139" s="14"/>
      <c r="G139" s="211"/>
      <c r="H139" s="438"/>
      <c r="I139" s="101" t="s">
        <v>138</v>
      </c>
      <c r="J139" s="1033">
        <f>J20</f>
        <v>0</v>
      </c>
      <c r="K139" s="1034"/>
      <c r="L139" s="439" t="s">
        <v>168</v>
      </c>
      <c r="N139" s="27" t="s">
        <v>419</v>
      </c>
      <c r="O139" s="27" t="s">
        <v>138</v>
      </c>
      <c r="P139" s="27" t="s">
        <v>420</v>
      </c>
      <c r="Q139" s="203" t="s">
        <v>421</v>
      </c>
      <c r="R139" s="27" t="s">
        <v>422</v>
      </c>
      <c r="S139" s="27" t="s">
        <v>326</v>
      </c>
      <c r="T139" s="27" t="s">
        <v>422</v>
      </c>
      <c r="U139" s="30" t="s">
        <v>361</v>
      </c>
      <c r="V139" s="10"/>
    </row>
    <row r="140" spans="1:29" ht="18" customHeight="1">
      <c r="A140" s="9"/>
      <c r="B140" s="9" t="s">
        <v>423</v>
      </c>
      <c r="H140" s="438"/>
      <c r="I140" s="440" t="s">
        <v>138</v>
      </c>
      <c r="J140" s="1035">
        <f>J21</f>
        <v>1.44186744</v>
      </c>
      <c r="K140" s="1036"/>
      <c r="L140" s="439" t="s">
        <v>168</v>
      </c>
      <c r="N140" s="27"/>
      <c r="O140" s="27" t="s">
        <v>138</v>
      </c>
      <c r="P140" s="223">
        <f>J141</f>
        <v>1.46186744</v>
      </c>
      <c r="Q140" s="203" t="s">
        <v>421</v>
      </c>
      <c r="R140" s="27">
        <f>O129</f>
        <v>1</v>
      </c>
      <c r="S140" s="27" t="s">
        <v>326</v>
      </c>
      <c r="T140" s="27">
        <f>O129</f>
        <v>1</v>
      </c>
      <c r="U140" s="30" t="s">
        <v>361</v>
      </c>
      <c r="V140" s="10"/>
    </row>
    <row r="141" spans="1:29" ht="18" customHeight="1">
      <c r="A141" s="9"/>
      <c r="B141" s="217" t="s">
        <v>424</v>
      </c>
      <c r="C141" s="218"/>
      <c r="D141" s="218"/>
      <c r="E141" s="218"/>
      <c r="F141" s="359"/>
      <c r="G141" s="359"/>
      <c r="H141" s="202" t="s">
        <v>420</v>
      </c>
      <c r="I141" s="220" t="s">
        <v>138</v>
      </c>
      <c r="J141" s="897">
        <f>SUM(J137:K140)</f>
        <v>1.46186744</v>
      </c>
      <c r="K141" s="1001"/>
      <c r="L141" s="441" t="s">
        <v>168</v>
      </c>
      <c r="O141" s="27" t="s">
        <v>138</v>
      </c>
      <c r="P141" s="637">
        <f>P140/(R140*T140)</f>
        <v>1.46186744</v>
      </c>
      <c r="Q141" s="637"/>
      <c r="R141" s="204" t="s">
        <v>344</v>
      </c>
      <c r="V141" s="10"/>
    </row>
    <row r="142" spans="1:29" ht="18" customHeight="1">
      <c r="A142" s="9"/>
      <c r="V142" s="10"/>
    </row>
    <row r="143" spans="1:29" ht="18" customHeight="1">
      <c r="A143" s="116" t="s">
        <v>425</v>
      </c>
      <c r="V143" s="10"/>
    </row>
    <row r="144" spans="1:29" ht="18" customHeight="1">
      <c r="A144" s="1002" t="s">
        <v>426</v>
      </c>
      <c r="B144" s="1003"/>
      <c r="C144" s="1003"/>
      <c r="D144" s="1003"/>
      <c r="E144" s="1003"/>
      <c r="F144" s="1003"/>
      <c r="G144" s="1003"/>
      <c r="H144" s="1003"/>
      <c r="I144" s="1003"/>
      <c r="J144" s="1003"/>
      <c r="K144" s="1003"/>
      <c r="L144" s="1003"/>
      <c r="M144" s="1003"/>
      <c r="N144" s="1003"/>
      <c r="O144" s="1003"/>
      <c r="P144" s="1003"/>
      <c r="Q144" s="1003"/>
      <c r="R144" s="1003"/>
      <c r="S144" s="1003"/>
      <c r="T144" s="1003"/>
      <c r="U144" s="1003"/>
      <c r="V144" s="1004"/>
    </row>
    <row r="145" spans="1:22" ht="18" customHeight="1">
      <c r="A145" s="1002"/>
      <c r="B145" s="1003"/>
      <c r="C145" s="1003"/>
      <c r="D145" s="1003"/>
      <c r="E145" s="1003"/>
      <c r="F145" s="1003"/>
      <c r="G145" s="1003"/>
      <c r="H145" s="1003"/>
      <c r="I145" s="1003"/>
      <c r="J145" s="1003"/>
      <c r="K145" s="1003"/>
      <c r="L145" s="1003"/>
      <c r="M145" s="1003"/>
      <c r="N145" s="1003"/>
      <c r="O145" s="1003"/>
      <c r="P145" s="1003"/>
      <c r="Q145" s="1003"/>
      <c r="R145" s="1003"/>
      <c r="S145" s="1003"/>
      <c r="T145" s="1003"/>
      <c r="U145" s="1003"/>
      <c r="V145" s="1004"/>
    </row>
    <row r="146" spans="1:22" ht="18" customHeight="1">
      <c r="A146" s="205" t="s">
        <v>427</v>
      </c>
      <c r="V146" s="10"/>
    </row>
    <row r="147" spans="1:22" ht="18" customHeight="1">
      <c r="A147" s="1006" t="s">
        <v>428</v>
      </c>
      <c r="B147" s="956"/>
      <c r="C147" s="956"/>
      <c r="D147" s="14"/>
      <c r="E147" s="7"/>
      <c r="F147" s="1011" t="s">
        <v>429</v>
      </c>
      <c r="G147" s="1015"/>
      <c r="H147" s="861" t="s">
        <v>326</v>
      </c>
      <c r="I147" s="862" t="s">
        <v>422</v>
      </c>
      <c r="J147" s="1014"/>
      <c r="K147" s="861" t="s">
        <v>326</v>
      </c>
      <c r="L147" s="1011" t="s">
        <v>430</v>
      </c>
      <c r="M147" s="861" t="s">
        <v>431</v>
      </c>
      <c r="N147" s="1017" t="s">
        <v>358</v>
      </c>
      <c r="O147" s="861" t="s">
        <v>419</v>
      </c>
      <c r="P147" s="861" t="s">
        <v>358</v>
      </c>
      <c r="Q147" s="1037" t="s">
        <v>432</v>
      </c>
      <c r="R147" s="1010"/>
      <c r="S147" s="1010"/>
      <c r="T147" s="952" t="s">
        <v>361</v>
      </c>
      <c r="U147" s="242" t="s">
        <v>433</v>
      </c>
      <c r="V147" s="112"/>
    </row>
    <row r="148" spans="1:22" ht="18" customHeight="1">
      <c r="A148" s="1007"/>
      <c r="B148" s="956"/>
      <c r="C148" s="956"/>
      <c r="D148" s="14"/>
      <c r="E148" s="7"/>
      <c r="F148" s="1015"/>
      <c r="G148" s="1015"/>
      <c r="H148" s="861"/>
      <c r="I148" s="861" t="s">
        <v>434</v>
      </c>
      <c r="J148" s="1015"/>
      <c r="K148" s="861"/>
      <c r="L148" s="1011"/>
      <c r="M148" s="861"/>
      <c r="N148" s="1017"/>
      <c r="O148" s="861"/>
      <c r="P148" s="861"/>
      <c r="Q148" s="233" t="s">
        <v>157</v>
      </c>
      <c r="R148" s="233" t="s">
        <v>326</v>
      </c>
      <c r="S148" s="233" t="s">
        <v>157</v>
      </c>
      <c r="T148" s="952"/>
      <c r="U148" s="7"/>
      <c r="V148" s="112"/>
    </row>
    <row r="149" spans="1:22" ht="18" customHeight="1">
      <c r="A149" s="205" t="s">
        <v>435</v>
      </c>
      <c r="L149" s="442"/>
      <c r="M149" s="27"/>
      <c r="N149" s="27"/>
      <c r="O149" s="27"/>
      <c r="V149" s="10"/>
    </row>
    <row r="150" spans="1:22" ht="18" customHeight="1">
      <c r="A150" s="1006" t="s">
        <v>428</v>
      </c>
      <c r="B150" s="956"/>
      <c r="C150" s="956"/>
      <c r="D150" s="638">
        <v>2</v>
      </c>
      <c r="E150" s="638" t="s">
        <v>326</v>
      </c>
      <c r="F150" s="1011" t="s">
        <v>436</v>
      </c>
      <c r="G150" s="1015"/>
      <c r="H150" s="861" t="s">
        <v>326</v>
      </c>
      <c r="I150" s="862" t="s">
        <v>422</v>
      </c>
      <c r="J150" s="1014"/>
      <c r="K150" s="861" t="s">
        <v>326</v>
      </c>
      <c r="L150" s="1011" t="s">
        <v>430</v>
      </c>
      <c r="M150" s="861" t="s">
        <v>431</v>
      </c>
      <c r="N150" s="1017" t="s">
        <v>358</v>
      </c>
      <c r="O150" s="861" t="s">
        <v>419</v>
      </c>
      <c r="P150" s="861" t="s">
        <v>358</v>
      </c>
      <c r="Q150" s="1037" t="s">
        <v>432</v>
      </c>
      <c r="R150" s="1010"/>
      <c r="S150" s="1010"/>
      <c r="T150" s="952" t="s">
        <v>361</v>
      </c>
      <c r="U150" s="242" t="s">
        <v>437</v>
      </c>
      <c r="V150" s="112"/>
    </row>
    <row r="151" spans="1:22" ht="18" customHeight="1">
      <c r="A151" s="1007"/>
      <c r="B151" s="956"/>
      <c r="C151" s="956"/>
      <c r="D151" s="638"/>
      <c r="E151" s="638"/>
      <c r="F151" s="1015"/>
      <c r="G151" s="1015"/>
      <c r="H151" s="861"/>
      <c r="I151" s="861" t="s">
        <v>434</v>
      </c>
      <c r="J151" s="1015"/>
      <c r="K151" s="861"/>
      <c r="L151" s="1011"/>
      <c r="M151" s="861"/>
      <c r="N151" s="1017"/>
      <c r="O151" s="861"/>
      <c r="P151" s="861"/>
      <c r="Q151" s="233" t="s">
        <v>157</v>
      </c>
      <c r="R151" s="233" t="s">
        <v>326</v>
      </c>
      <c r="S151" s="233" t="s">
        <v>157</v>
      </c>
      <c r="T151" s="952"/>
      <c r="U151" s="7"/>
      <c r="V151" s="112"/>
    </row>
    <row r="152" spans="1:22" ht="18" customHeight="1">
      <c r="A152" s="9"/>
      <c r="V152" s="10"/>
    </row>
    <row r="153" spans="1:22" ht="18" customHeight="1">
      <c r="A153" s="9"/>
      <c r="B153" s="14" t="s">
        <v>438</v>
      </c>
      <c r="C153" s="14"/>
      <c r="D153" s="103"/>
      <c r="E153" s="103"/>
      <c r="F153" s="14"/>
      <c r="G153" s="14"/>
      <c r="H153" s="5"/>
      <c r="I153" s="5"/>
      <c r="J153" s="5"/>
      <c r="P153" s="120" t="s">
        <v>439</v>
      </c>
      <c r="V153" s="10"/>
    </row>
    <row r="154" spans="1:22" ht="18" customHeight="1">
      <c r="A154" s="9"/>
      <c r="B154" s="14" t="s">
        <v>440</v>
      </c>
      <c r="C154" s="14"/>
      <c r="D154" s="103"/>
      <c r="E154" s="103"/>
      <c r="F154" s="14"/>
      <c r="G154" s="14"/>
      <c r="H154" s="5"/>
      <c r="I154" s="5"/>
      <c r="J154" s="5"/>
      <c r="P154" s="120" t="s">
        <v>441</v>
      </c>
      <c r="Q154" s="246" t="s">
        <v>138</v>
      </c>
      <c r="R154" s="639">
        <f>J129</f>
        <v>3000</v>
      </c>
      <c r="S154" s="639"/>
      <c r="T154" s="14" t="s">
        <v>9</v>
      </c>
      <c r="V154" s="10"/>
    </row>
    <row r="155" spans="1:22" ht="18" customHeight="1">
      <c r="A155" s="9"/>
      <c r="B155" s="14" t="s">
        <v>442</v>
      </c>
      <c r="C155" s="14"/>
      <c r="D155" s="14"/>
      <c r="E155" s="14"/>
      <c r="F155" s="14"/>
      <c r="G155" s="14"/>
      <c r="H155" s="14"/>
      <c r="I155" s="14"/>
      <c r="J155" s="14"/>
      <c r="P155" s="120" t="s">
        <v>429</v>
      </c>
      <c r="Q155" s="246" t="s">
        <v>138</v>
      </c>
      <c r="R155" s="639">
        <f>R36</f>
        <v>40000</v>
      </c>
      <c r="S155" s="639"/>
      <c r="T155" s="14" t="s">
        <v>9</v>
      </c>
      <c r="V155" s="10"/>
    </row>
    <row r="156" spans="1:22" ht="18" customHeight="1">
      <c r="A156" s="9"/>
      <c r="B156" s="14" t="s">
        <v>443</v>
      </c>
      <c r="C156" s="14"/>
      <c r="D156" s="14"/>
      <c r="E156" s="14"/>
      <c r="F156" s="14"/>
      <c r="G156" s="14"/>
      <c r="H156" s="14"/>
      <c r="I156" s="14"/>
      <c r="J156" s="14"/>
      <c r="P156" s="120" t="s">
        <v>436</v>
      </c>
      <c r="Q156" s="246" t="s">
        <v>138</v>
      </c>
      <c r="R156" s="873">
        <f>R37</f>
        <v>19625.768379858539</v>
      </c>
      <c r="S156" s="639"/>
      <c r="T156" s="14" t="s">
        <v>9</v>
      </c>
      <c r="U156" s="30" t="s">
        <v>444</v>
      </c>
      <c r="V156" s="10"/>
    </row>
    <row r="157" spans="1:22" ht="18" customHeight="1">
      <c r="A157" s="9"/>
      <c r="B157" s="14"/>
      <c r="C157" s="14"/>
      <c r="D157" s="14"/>
      <c r="E157" s="14"/>
      <c r="F157" s="14"/>
      <c r="G157" s="14"/>
      <c r="H157" s="14"/>
      <c r="I157" s="14"/>
      <c r="J157" s="14"/>
      <c r="P157" s="120"/>
      <c r="Q157" s="246" t="s">
        <v>138</v>
      </c>
      <c r="R157" s="873">
        <f>R38</f>
        <v>21361.580727736164</v>
      </c>
      <c r="S157" s="639"/>
      <c r="T157" s="14" t="s">
        <v>9</v>
      </c>
      <c r="U157" s="30" t="s">
        <v>445</v>
      </c>
      <c r="V157" s="10"/>
    </row>
    <row r="158" spans="1:22" ht="18" customHeight="1">
      <c r="A158" s="9"/>
      <c r="B158" s="14" t="s">
        <v>446</v>
      </c>
      <c r="C158" s="14"/>
      <c r="D158" s="103"/>
      <c r="E158" s="103"/>
      <c r="F158" s="14"/>
      <c r="G158" s="14"/>
      <c r="H158" s="5"/>
      <c r="I158" s="5"/>
      <c r="J158" s="5"/>
      <c r="P158" s="120" t="s">
        <v>447</v>
      </c>
      <c r="Q158" s="246" t="s">
        <v>138</v>
      </c>
      <c r="R158" s="639">
        <f>R39</f>
        <v>1</v>
      </c>
      <c r="S158" s="639"/>
      <c r="T158" s="14" t="s">
        <v>9</v>
      </c>
      <c r="V158" s="10"/>
    </row>
    <row r="159" spans="1:22" ht="18" customHeight="1">
      <c r="A159" s="9"/>
      <c r="B159" s="14" t="s">
        <v>448</v>
      </c>
      <c r="C159" s="14"/>
      <c r="D159" s="103"/>
      <c r="E159" s="103"/>
      <c r="F159" s="14"/>
      <c r="G159" s="14"/>
      <c r="H159" s="5"/>
      <c r="I159" s="5"/>
      <c r="J159" s="5"/>
      <c r="P159" s="120" t="s">
        <v>449</v>
      </c>
      <c r="Q159" s="246" t="s">
        <v>138</v>
      </c>
      <c r="R159" s="639">
        <f>R40</f>
        <v>1</v>
      </c>
      <c r="S159" s="639"/>
      <c r="T159" s="14" t="s">
        <v>9</v>
      </c>
      <c r="V159" s="10"/>
    </row>
    <row r="160" spans="1:22" ht="18" customHeight="1">
      <c r="A160" s="9"/>
      <c r="B160" s="14" t="s">
        <v>450</v>
      </c>
      <c r="C160" s="14"/>
      <c r="D160" s="103"/>
      <c r="E160" s="103"/>
      <c r="F160" s="14"/>
      <c r="G160" s="14"/>
      <c r="H160" s="5"/>
      <c r="I160" s="5"/>
      <c r="J160" s="5"/>
      <c r="P160" s="120" t="s">
        <v>451</v>
      </c>
      <c r="Q160" s="246" t="s">
        <v>138</v>
      </c>
      <c r="R160" s="639">
        <f>J131</f>
        <v>14</v>
      </c>
      <c r="S160" s="639"/>
      <c r="T160" s="204" t="s">
        <v>344</v>
      </c>
      <c r="V160" s="10"/>
    </row>
    <row r="161" spans="1:22" ht="18" customHeight="1">
      <c r="A161" s="9"/>
      <c r="B161" s="14" t="s">
        <v>164</v>
      </c>
      <c r="C161" s="14"/>
      <c r="D161" s="14"/>
      <c r="E161" s="14"/>
      <c r="F161" s="14"/>
      <c r="G161" s="14"/>
      <c r="H161" s="14"/>
      <c r="I161" s="14"/>
      <c r="J161" s="14"/>
      <c r="P161" s="249" t="s">
        <v>452</v>
      </c>
      <c r="Q161" s="246" t="s">
        <v>138</v>
      </c>
      <c r="R161" s="637">
        <f>R42</f>
        <v>1.46186744</v>
      </c>
      <c r="S161" s="639"/>
      <c r="T161" s="204" t="s">
        <v>344</v>
      </c>
      <c r="V161" s="10"/>
    </row>
    <row r="162" spans="1:22" ht="18" customHeight="1">
      <c r="A162" s="9"/>
      <c r="B162" s="40" t="s">
        <v>453</v>
      </c>
      <c r="C162" s="14"/>
      <c r="D162" s="14"/>
      <c r="E162" s="14"/>
      <c r="F162" s="14"/>
      <c r="G162" s="14"/>
      <c r="H162" s="5"/>
      <c r="I162" s="5"/>
      <c r="J162" s="5"/>
      <c r="P162" s="249" t="s">
        <v>454</v>
      </c>
      <c r="Q162" s="246" t="s">
        <v>138</v>
      </c>
      <c r="R162" s="637">
        <f>R43</f>
        <v>0.02</v>
      </c>
      <c r="S162" s="639"/>
      <c r="T162" s="14" t="s">
        <v>168</v>
      </c>
      <c r="V162" s="10"/>
    </row>
    <row r="163" spans="1:22" ht="18" customHeight="1">
      <c r="A163" s="9"/>
      <c r="B163" s="40"/>
      <c r="C163" s="14"/>
      <c r="D163" s="14"/>
      <c r="E163" s="14"/>
      <c r="F163" s="14"/>
      <c r="G163" s="14"/>
      <c r="H163" s="5"/>
      <c r="I163" s="5"/>
      <c r="J163" s="5"/>
      <c r="P163" s="249"/>
      <c r="Q163" s="246"/>
      <c r="R163" s="223"/>
      <c r="S163" s="27"/>
      <c r="T163" s="14"/>
      <c r="V163" s="10"/>
    </row>
    <row r="164" spans="1:22" s="7" customFormat="1" ht="18" customHeight="1">
      <c r="A164" s="395"/>
      <c r="B164" s="20"/>
      <c r="C164" s="20"/>
      <c r="D164" s="20"/>
      <c r="E164" s="20"/>
      <c r="F164" s="20"/>
      <c r="G164" s="20"/>
      <c r="H164" s="20"/>
      <c r="I164" s="20"/>
      <c r="J164" s="20"/>
      <c r="K164" s="20"/>
      <c r="L164" s="20"/>
      <c r="M164" s="20"/>
      <c r="N164" s="20"/>
      <c r="O164" s="20"/>
      <c r="P164" s="20"/>
      <c r="Q164" s="21"/>
      <c r="R164" s="22"/>
      <c r="S164" s="23"/>
      <c r="T164" s="20"/>
      <c r="U164" s="20"/>
      <c r="V164" s="140"/>
    </row>
    <row r="165" spans="1:22" ht="18" customHeight="1">
      <c r="A165" s="396" t="s">
        <v>427</v>
      </c>
      <c r="B165" s="397"/>
      <c r="C165" s="397"/>
      <c r="D165" s="397"/>
      <c r="E165" s="397"/>
      <c r="F165" s="397"/>
      <c r="G165" s="397"/>
      <c r="H165" s="397"/>
      <c r="I165" s="397"/>
      <c r="J165" s="397"/>
      <c r="K165" s="397"/>
      <c r="L165" s="397"/>
      <c r="M165" s="397"/>
      <c r="N165" s="397"/>
      <c r="O165" s="397"/>
      <c r="P165" s="397"/>
      <c r="Q165" s="397"/>
      <c r="R165" s="397"/>
      <c r="S165" s="397"/>
      <c r="T165" s="397"/>
      <c r="U165" s="397"/>
      <c r="V165" s="408"/>
    </row>
    <row r="166" spans="1:22" ht="18" customHeight="1">
      <c r="A166" s="1006" t="s">
        <v>428</v>
      </c>
      <c r="B166" s="956"/>
      <c r="C166" s="956"/>
      <c r="D166" s="14"/>
      <c r="E166" s="7"/>
      <c r="F166" s="1011">
        <f>R155</f>
        <v>40000</v>
      </c>
      <c r="G166" s="1015"/>
      <c r="H166" s="861" t="s">
        <v>326</v>
      </c>
      <c r="I166" s="1013">
        <f>R158</f>
        <v>1</v>
      </c>
      <c r="J166" s="1014"/>
      <c r="K166" s="861" t="s">
        <v>326</v>
      </c>
      <c r="L166" s="1011" t="s">
        <v>430</v>
      </c>
      <c r="M166" s="968">
        <f>R160</f>
        <v>14</v>
      </c>
      <c r="N166" s="1017" t="s">
        <v>358</v>
      </c>
      <c r="O166" s="1018">
        <f>R161</f>
        <v>1.46186744</v>
      </c>
      <c r="P166" s="861" t="s">
        <v>358</v>
      </c>
      <c r="Q166" s="1010">
        <f>R162</f>
        <v>0.02</v>
      </c>
      <c r="R166" s="1010"/>
      <c r="S166" s="1010"/>
      <c r="T166" s="952" t="s">
        <v>361</v>
      </c>
      <c r="U166" s="242" t="s">
        <v>433</v>
      </c>
      <c r="V166" s="112"/>
    </row>
    <row r="167" spans="1:22" ht="18" customHeight="1">
      <c r="A167" s="1007"/>
      <c r="B167" s="956"/>
      <c r="C167" s="956"/>
      <c r="D167" s="14"/>
      <c r="E167" s="7"/>
      <c r="F167" s="1015"/>
      <c r="G167" s="1015"/>
      <c r="H167" s="861"/>
      <c r="I167" s="861">
        <f>R154</f>
        <v>3000</v>
      </c>
      <c r="J167" s="1015"/>
      <c r="K167" s="861"/>
      <c r="L167" s="1011"/>
      <c r="M167" s="968"/>
      <c r="N167" s="1017"/>
      <c r="O167" s="968"/>
      <c r="P167" s="861"/>
      <c r="Q167" s="233">
        <f>R159</f>
        <v>1</v>
      </c>
      <c r="R167" s="233" t="s">
        <v>326</v>
      </c>
      <c r="S167" s="233">
        <f>R159</f>
        <v>1</v>
      </c>
      <c r="T167" s="952"/>
      <c r="U167" s="7"/>
      <c r="V167" s="112"/>
    </row>
    <row r="168" spans="1:22" ht="18" customHeight="1">
      <c r="A168" s="9"/>
      <c r="L168" s="442"/>
      <c r="V168" s="10"/>
    </row>
    <row r="169" spans="1:22" ht="18" customHeight="1">
      <c r="A169" s="9"/>
      <c r="C169" s="27" t="s">
        <v>138</v>
      </c>
      <c r="D169" s="798">
        <f>F166*(I166/I167)*(M166+O166+(Q166/(Q167*S167)))</f>
        <v>206.4248992</v>
      </c>
      <c r="E169" s="799"/>
      <c r="F169" s="27" t="s">
        <v>316</v>
      </c>
      <c r="L169" s="442"/>
      <c r="V169" s="10"/>
    </row>
    <row r="170" spans="1:22" ht="18" customHeight="1">
      <c r="A170" s="9"/>
      <c r="L170" s="442"/>
      <c r="V170" s="10"/>
    </row>
    <row r="171" spans="1:22" ht="18" customHeight="1">
      <c r="A171" s="205" t="s">
        <v>455</v>
      </c>
      <c r="L171" s="442"/>
      <c r="V171" s="10"/>
    </row>
    <row r="172" spans="1:22" ht="18" customHeight="1">
      <c r="A172" s="1006" t="s">
        <v>428</v>
      </c>
      <c r="B172" s="956"/>
      <c r="C172" s="956"/>
      <c r="D172" s="638">
        <v>2</v>
      </c>
      <c r="E172" s="638" t="s">
        <v>326</v>
      </c>
      <c r="F172" s="1016">
        <f>R156</f>
        <v>19625.768379858539</v>
      </c>
      <c r="G172" s="1015"/>
      <c r="H172" s="861" t="s">
        <v>326</v>
      </c>
      <c r="I172" s="1013">
        <f>R158</f>
        <v>1</v>
      </c>
      <c r="J172" s="1014"/>
      <c r="K172" s="861" t="s">
        <v>326</v>
      </c>
      <c r="L172" s="1011" t="s">
        <v>430</v>
      </c>
      <c r="M172" s="968">
        <f>R160</f>
        <v>14</v>
      </c>
      <c r="N172" s="1017" t="s">
        <v>358</v>
      </c>
      <c r="O172" s="1018">
        <f>R161</f>
        <v>1.46186744</v>
      </c>
      <c r="P172" s="861" t="s">
        <v>358</v>
      </c>
      <c r="Q172" s="1010">
        <f>Q166</f>
        <v>0.02</v>
      </c>
      <c r="R172" s="1010"/>
      <c r="S172" s="1010"/>
      <c r="T172" s="952" t="s">
        <v>361</v>
      </c>
      <c r="U172" s="242" t="s">
        <v>437</v>
      </c>
      <c r="V172" s="112"/>
    </row>
    <row r="173" spans="1:22" ht="18" customHeight="1">
      <c r="A173" s="1007"/>
      <c r="B173" s="956"/>
      <c r="C173" s="956"/>
      <c r="D173" s="638"/>
      <c r="E173" s="638"/>
      <c r="F173" s="1015"/>
      <c r="G173" s="1015"/>
      <c r="H173" s="861"/>
      <c r="I173" s="861">
        <f>R154</f>
        <v>3000</v>
      </c>
      <c r="J173" s="1015"/>
      <c r="K173" s="861"/>
      <c r="L173" s="1011"/>
      <c r="M173" s="968"/>
      <c r="N173" s="1017"/>
      <c r="O173" s="968"/>
      <c r="P173" s="861"/>
      <c r="Q173" s="233">
        <f>R159</f>
        <v>1</v>
      </c>
      <c r="R173" s="233" t="s">
        <v>326</v>
      </c>
      <c r="S173" s="233">
        <f>R159</f>
        <v>1</v>
      </c>
      <c r="T173" s="952"/>
      <c r="U173" s="7"/>
      <c r="V173" s="112"/>
    </row>
    <row r="174" spans="1:22" ht="18" customHeight="1">
      <c r="A174" s="9"/>
      <c r="L174" s="442"/>
      <c r="V174" s="10"/>
    </row>
    <row r="175" spans="1:22" ht="18" customHeight="1">
      <c r="A175" s="9"/>
      <c r="C175" s="27" t="s">
        <v>138</v>
      </c>
      <c r="D175" s="798">
        <f>D172*F172*(I172/I173)*(M172+O172+(Q172/(Q173*S173)))</f>
        <v>202.56236297674232</v>
      </c>
      <c r="E175" s="799"/>
      <c r="F175" s="27" t="s">
        <v>316</v>
      </c>
      <c r="L175" s="442"/>
      <c r="V175" s="10"/>
    </row>
    <row r="176" spans="1:22" ht="18" customHeight="1">
      <c r="A176" s="9"/>
      <c r="L176" s="442"/>
      <c r="V176" s="10"/>
    </row>
    <row r="177" spans="1:22" ht="18" customHeight="1">
      <c r="A177" s="205" t="s">
        <v>456</v>
      </c>
      <c r="L177" s="442"/>
      <c r="V177" s="10"/>
    </row>
    <row r="178" spans="1:22" ht="18" customHeight="1">
      <c r="A178" s="1006" t="s">
        <v>428</v>
      </c>
      <c r="B178" s="956"/>
      <c r="C178" s="956"/>
      <c r="D178" s="861">
        <v>2</v>
      </c>
      <c r="E178" s="861" t="s">
        <v>326</v>
      </c>
      <c r="F178" s="1016">
        <f>R157</f>
        <v>21361.580727736164</v>
      </c>
      <c r="G178" s="1015"/>
      <c r="H178" s="861" t="s">
        <v>326</v>
      </c>
      <c r="I178" s="1013">
        <f>R158</f>
        <v>1</v>
      </c>
      <c r="J178" s="1014"/>
      <c r="K178" s="861" t="s">
        <v>326</v>
      </c>
      <c r="L178" s="1011" t="s">
        <v>430</v>
      </c>
      <c r="M178" s="968">
        <f>R160</f>
        <v>14</v>
      </c>
      <c r="N178" s="1017" t="s">
        <v>358</v>
      </c>
      <c r="O178" s="1018">
        <f>R161</f>
        <v>1.46186744</v>
      </c>
      <c r="P178" s="861" t="s">
        <v>358</v>
      </c>
      <c r="Q178" s="1010">
        <f>R162</f>
        <v>0.02</v>
      </c>
      <c r="R178" s="1010"/>
      <c r="S178" s="1010"/>
      <c r="T178" s="952" t="s">
        <v>361</v>
      </c>
      <c r="U178" s="242" t="s">
        <v>437</v>
      </c>
      <c r="V178" s="112"/>
    </row>
    <row r="179" spans="1:22" ht="18" customHeight="1">
      <c r="A179" s="1007"/>
      <c r="B179" s="956"/>
      <c r="C179" s="956"/>
      <c r="D179" s="861"/>
      <c r="E179" s="861"/>
      <c r="F179" s="1015"/>
      <c r="G179" s="1015"/>
      <c r="H179" s="861"/>
      <c r="I179" s="861">
        <f>R154</f>
        <v>3000</v>
      </c>
      <c r="J179" s="1015"/>
      <c r="K179" s="861"/>
      <c r="L179" s="1011"/>
      <c r="M179" s="968"/>
      <c r="N179" s="1017"/>
      <c r="O179" s="968"/>
      <c r="P179" s="861"/>
      <c r="Q179" s="233">
        <f>R159</f>
        <v>1</v>
      </c>
      <c r="R179" s="233" t="s">
        <v>326</v>
      </c>
      <c r="S179" s="233">
        <f>R159</f>
        <v>1</v>
      </c>
      <c r="T179" s="952"/>
      <c r="U179" s="7"/>
      <c r="V179" s="112"/>
    </row>
    <row r="180" spans="1:22" ht="18" customHeight="1">
      <c r="A180" s="9"/>
      <c r="V180" s="10"/>
    </row>
    <row r="181" spans="1:22" ht="18" customHeight="1">
      <c r="A181" s="9"/>
      <c r="C181" s="27" t="s">
        <v>138</v>
      </c>
      <c r="D181" s="798">
        <f>D178*F178*(I178/I179)*(M178+O178+(Q178/(Q179*S179)))</f>
        <v>220.47810742377999</v>
      </c>
      <c r="E181" s="799"/>
      <c r="F181" s="27" t="s">
        <v>316</v>
      </c>
      <c r="V181" s="10"/>
    </row>
    <row r="182" spans="1:22" ht="18" customHeight="1">
      <c r="A182" s="9"/>
      <c r="V182" s="10"/>
    </row>
    <row r="183" spans="1:22" ht="18" customHeight="1">
      <c r="A183" s="116" t="s">
        <v>457</v>
      </c>
      <c r="V183" s="10"/>
    </row>
    <row r="184" spans="1:22" ht="18" customHeight="1">
      <c r="A184" s="1002" t="s">
        <v>510</v>
      </c>
      <c r="B184" s="1003"/>
      <c r="C184" s="1003"/>
      <c r="D184" s="1003"/>
      <c r="E184" s="1003"/>
      <c r="F184" s="1003"/>
      <c r="G184" s="1003"/>
      <c r="H184" s="1003"/>
      <c r="I184" s="1003"/>
      <c r="J184" s="1003"/>
      <c r="K184" s="1003"/>
      <c r="L184" s="1003"/>
      <c r="M184" s="1003"/>
      <c r="N184" s="1003"/>
      <c r="O184" s="1003"/>
      <c r="P184" s="1003"/>
      <c r="Q184" s="1003"/>
      <c r="R184" s="1003"/>
      <c r="S184" s="1003"/>
      <c r="T184" s="1003"/>
      <c r="U184" s="1003"/>
      <c r="V184" s="1004"/>
    </row>
    <row r="185" spans="1:22" ht="18" customHeight="1">
      <c r="A185" s="1002"/>
      <c r="B185" s="1003"/>
      <c r="C185" s="1003"/>
      <c r="D185" s="1003"/>
      <c r="E185" s="1003"/>
      <c r="F185" s="1003"/>
      <c r="G185" s="1003"/>
      <c r="H185" s="1003"/>
      <c r="I185" s="1003"/>
      <c r="J185" s="1003"/>
      <c r="K185" s="1003"/>
      <c r="L185" s="1003"/>
      <c r="M185" s="1003"/>
      <c r="N185" s="1003"/>
      <c r="O185" s="1003"/>
      <c r="P185" s="1003"/>
      <c r="Q185" s="1003"/>
      <c r="R185" s="1003"/>
      <c r="S185" s="1003"/>
      <c r="T185" s="1003"/>
      <c r="U185" s="1003"/>
      <c r="V185" s="1004"/>
    </row>
    <row r="186" spans="1:22" ht="18" customHeight="1">
      <c r="A186" s="460" t="s">
        <v>427</v>
      </c>
      <c r="V186" s="10"/>
    </row>
    <row r="187" spans="1:22" ht="18" customHeight="1">
      <c r="A187" s="1006" t="s">
        <v>428</v>
      </c>
      <c r="B187" s="956"/>
      <c r="C187" s="956"/>
      <c r="D187" s="1008" t="s">
        <v>429</v>
      </c>
      <c r="E187" s="887"/>
      <c r="F187" s="638" t="s">
        <v>326</v>
      </c>
      <c r="G187" s="661" t="s">
        <v>447</v>
      </c>
      <c r="H187" s="957"/>
      <c r="I187" s="638" t="s">
        <v>326</v>
      </c>
      <c r="J187" s="1038" t="s">
        <v>146</v>
      </c>
      <c r="K187" s="638" t="s">
        <v>326</v>
      </c>
      <c r="L187" s="1008" t="s">
        <v>430</v>
      </c>
      <c r="M187" s="920" t="s">
        <v>451</v>
      </c>
      <c r="N187" s="958" t="s">
        <v>358</v>
      </c>
      <c r="O187" s="920" t="s">
        <v>458</v>
      </c>
      <c r="P187" s="638" t="s">
        <v>358</v>
      </c>
      <c r="Q187" s="953" t="s">
        <v>459</v>
      </c>
      <c r="R187" s="1005"/>
      <c r="S187" s="1005"/>
      <c r="T187" s="952" t="s">
        <v>361</v>
      </c>
      <c r="U187" s="242" t="s">
        <v>433</v>
      </c>
      <c r="V187" s="112"/>
    </row>
    <row r="188" spans="1:22" ht="18" customHeight="1">
      <c r="A188" s="1007"/>
      <c r="B188" s="956"/>
      <c r="C188" s="956"/>
      <c r="D188" s="887"/>
      <c r="E188" s="887"/>
      <c r="F188" s="638"/>
      <c r="G188" s="638" t="s">
        <v>441</v>
      </c>
      <c r="H188" s="887"/>
      <c r="I188" s="638"/>
      <c r="J188" s="638"/>
      <c r="K188" s="638"/>
      <c r="L188" s="1008"/>
      <c r="M188" s="920"/>
      <c r="N188" s="958"/>
      <c r="O188" s="920"/>
      <c r="P188" s="638"/>
      <c r="Q188" s="28" t="s">
        <v>449</v>
      </c>
      <c r="R188" s="28" t="s">
        <v>326</v>
      </c>
      <c r="S188" s="28" t="s">
        <v>449</v>
      </c>
      <c r="T188" s="952"/>
      <c r="U188" s="7"/>
      <c r="V188" s="112"/>
    </row>
    <row r="189" spans="1:22" ht="18" customHeight="1">
      <c r="A189" s="460" t="s">
        <v>460</v>
      </c>
      <c r="L189" s="442"/>
      <c r="V189" s="10"/>
    </row>
    <row r="190" spans="1:22" ht="18" customHeight="1">
      <c r="A190" s="1006" t="s">
        <v>428</v>
      </c>
      <c r="B190" s="956"/>
      <c r="C190" s="956"/>
      <c r="D190" s="1008" t="s">
        <v>461</v>
      </c>
      <c r="E190" s="887"/>
      <c r="F190" s="638" t="s">
        <v>326</v>
      </c>
      <c r="G190" s="661" t="s">
        <v>447</v>
      </c>
      <c r="H190" s="957"/>
      <c r="I190" s="638" t="s">
        <v>326</v>
      </c>
      <c r="J190" s="1038" t="s">
        <v>462</v>
      </c>
      <c r="K190" s="638" t="s">
        <v>326</v>
      </c>
      <c r="L190" s="1008" t="s">
        <v>430</v>
      </c>
      <c r="M190" s="920" t="s">
        <v>451</v>
      </c>
      <c r="N190" s="958" t="s">
        <v>358</v>
      </c>
      <c r="O190" s="920" t="s">
        <v>458</v>
      </c>
      <c r="P190" s="638" t="s">
        <v>358</v>
      </c>
      <c r="Q190" s="953" t="s">
        <v>459</v>
      </c>
      <c r="R190" s="1005"/>
      <c r="S190" s="1005"/>
      <c r="T190" s="952" t="s">
        <v>361</v>
      </c>
      <c r="U190" s="242" t="s">
        <v>437</v>
      </c>
      <c r="V190" s="112"/>
    </row>
    <row r="191" spans="1:22" ht="18" customHeight="1">
      <c r="A191" s="1007"/>
      <c r="B191" s="956"/>
      <c r="C191" s="956"/>
      <c r="D191" s="887"/>
      <c r="E191" s="887"/>
      <c r="F191" s="638"/>
      <c r="G191" s="638" t="s">
        <v>441</v>
      </c>
      <c r="H191" s="887"/>
      <c r="I191" s="638"/>
      <c r="J191" s="638"/>
      <c r="K191" s="638"/>
      <c r="L191" s="1008"/>
      <c r="M191" s="920"/>
      <c r="N191" s="958"/>
      <c r="O191" s="920"/>
      <c r="P191" s="638"/>
      <c r="Q191" s="28" t="s">
        <v>449</v>
      </c>
      <c r="R191" s="28" t="s">
        <v>326</v>
      </c>
      <c r="S191" s="28" t="s">
        <v>449</v>
      </c>
      <c r="T191" s="952"/>
      <c r="U191" s="7"/>
      <c r="V191" s="112"/>
    </row>
    <row r="192" spans="1:22" ht="18" customHeight="1">
      <c r="A192" s="9"/>
      <c r="V192" s="10"/>
    </row>
    <row r="193" spans="1:22" ht="18" customHeight="1">
      <c r="A193" s="9"/>
      <c r="B193" s="14" t="s">
        <v>438</v>
      </c>
      <c r="P193" s="120" t="s">
        <v>439</v>
      </c>
      <c r="V193" s="10"/>
    </row>
    <row r="194" spans="1:22" ht="18" customHeight="1">
      <c r="A194" s="9"/>
      <c r="B194" s="14" t="s">
        <v>440</v>
      </c>
      <c r="P194" s="120" t="s">
        <v>441</v>
      </c>
      <c r="Q194" s="246" t="s">
        <v>138</v>
      </c>
      <c r="R194" s="639">
        <f>R154</f>
        <v>3000</v>
      </c>
      <c r="S194" s="639"/>
      <c r="T194" s="14" t="s">
        <v>9</v>
      </c>
      <c r="V194" s="10"/>
    </row>
    <row r="195" spans="1:22" ht="18" customHeight="1">
      <c r="A195" s="9"/>
      <c r="B195" s="14" t="s">
        <v>442</v>
      </c>
      <c r="P195" s="120" t="s">
        <v>429</v>
      </c>
      <c r="Q195" s="246" t="s">
        <v>138</v>
      </c>
      <c r="R195" s="639">
        <f>R155</f>
        <v>40000</v>
      </c>
      <c r="S195" s="639"/>
      <c r="T195" s="14" t="s">
        <v>9</v>
      </c>
      <c r="V195" s="10"/>
    </row>
    <row r="196" spans="1:22" ht="18" customHeight="1">
      <c r="A196" s="9"/>
      <c r="B196" s="14" t="s">
        <v>463</v>
      </c>
      <c r="P196" s="120" t="s">
        <v>461</v>
      </c>
      <c r="Q196" s="246" t="s">
        <v>138</v>
      </c>
      <c r="R196" s="873">
        <f>R77</f>
        <v>22086.904410813047</v>
      </c>
      <c r="S196" s="639"/>
      <c r="T196" s="14" t="s">
        <v>9</v>
      </c>
      <c r="U196" s="30" t="s">
        <v>444</v>
      </c>
      <c r="V196" s="10"/>
    </row>
    <row r="197" spans="1:22" ht="18" customHeight="1">
      <c r="A197" s="9"/>
      <c r="B197" s="14"/>
      <c r="P197" s="120"/>
      <c r="Q197" s="246" t="s">
        <v>138</v>
      </c>
      <c r="R197" s="873">
        <f>R78</f>
        <v>23819.814378888525</v>
      </c>
      <c r="S197" s="639"/>
      <c r="T197" s="14" t="s">
        <v>9</v>
      </c>
      <c r="U197" s="30" t="s">
        <v>445</v>
      </c>
      <c r="V197" s="10"/>
    </row>
    <row r="198" spans="1:22" ht="18" customHeight="1">
      <c r="A198" s="9"/>
      <c r="B198" s="14" t="s">
        <v>464</v>
      </c>
      <c r="P198" s="120" t="s">
        <v>447</v>
      </c>
      <c r="Q198" s="246" t="s">
        <v>138</v>
      </c>
      <c r="R198" s="639">
        <f>R158</f>
        <v>1</v>
      </c>
      <c r="S198" s="639"/>
      <c r="T198" s="14" t="s">
        <v>9</v>
      </c>
      <c r="V198" s="10"/>
    </row>
    <row r="199" spans="1:22" ht="18" customHeight="1">
      <c r="A199" s="9"/>
      <c r="B199" s="14" t="s">
        <v>448</v>
      </c>
      <c r="P199" s="120" t="s">
        <v>449</v>
      </c>
      <c r="Q199" s="246" t="s">
        <v>138</v>
      </c>
      <c r="R199" s="639">
        <f>R159</f>
        <v>1</v>
      </c>
      <c r="S199" s="639"/>
      <c r="T199" s="14" t="s">
        <v>9</v>
      </c>
      <c r="V199" s="10"/>
    </row>
    <row r="200" spans="1:22" ht="18" customHeight="1">
      <c r="A200" s="9"/>
      <c r="B200" s="14" t="s">
        <v>450</v>
      </c>
      <c r="P200" s="120" t="s">
        <v>451</v>
      </c>
      <c r="Q200" s="246" t="s">
        <v>138</v>
      </c>
      <c r="R200" s="639">
        <f>R160</f>
        <v>14</v>
      </c>
      <c r="S200" s="639"/>
      <c r="T200" s="204" t="s">
        <v>344</v>
      </c>
      <c r="V200" s="10"/>
    </row>
    <row r="201" spans="1:22" ht="18" customHeight="1">
      <c r="A201" s="9"/>
      <c r="B201" s="14" t="s">
        <v>465</v>
      </c>
      <c r="P201" s="249" t="s">
        <v>452</v>
      </c>
      <c r="Q201" s="246" t="s">
        <v>138</v>
      </c>
      <c r="R201" s="637">
        <f>R161</f>
        <v>1.46186744</v>
      </c>
      <c r="S201" s="639"/>
      <c r="T201" s="204" t="s">
        <v>344</v>
      </c>
      <c r="V201" s="10"/>
    </row>
    <row r="202" spans="1:22" ht="18" customHeight="1">
      <c r="A202" s="9"/>
      <c r="B202" s="40" t="s">
        <v>453</v>
      </c>
      <c r="P202" s="249" t="s">
        <v>454</v>
      </c>
      <c r="Q202" s="246" t="s">
        <v>138</v>
      </c>
      <c r="R202" s="637">
        <f>R162</f>
        <v>0.02</v>
      </c>
      <c r="S202" s="639"/>
      <c r="T202" s="14" t="s">
        <v>168</v>
      </c>
      <c r="V202" s="10"/>
    </row>
    <row r="203" spans="1:22" ht="18" customHeight="1">
      <c r="A203" s="9"/>
      <c r="B203" s="40"/>
      <c r="P203" s="249"/>
      <c r="Q203" s="246"/>
      <c r="R203" s="223"/>
      <c r="S203" s="27"/>
      <c r="T203" s="14"/>
      <c r="V203" s="10"/>
    </row>
    <row r="204" spans="1:22" s="7" customFormat="1" ht="18" customHeight="1">
      <c r="A204" s="395"/>
      <c r="B204" s="20"/>
      <c r="C204" s="20"/>
      <c r="D204" s="20"/>
      <c r="E204" s="20"/>
      <c r="F204" s="20"/>
      <c r="G204" s="20"/>
      <c r="H204" s="20"/>
      <c r="I204" s="20"/>
      <c r="J204" s="20"/>
      <c r="K204" s="20"/>
      <c r="L204" s="20"/>
      <c r="M204" s="20"/>
      <c r="N204" s="20"/>
      <c r="O204" s="20"/>
      <c r="P204" s="20"/>
      <c r="Q204" s="21"/>
      <c r="R204" s="22"/>
      <c r="S204" s="23"/>
      <c r="T204" s="20"/>
      <c r="U204" s="20"/>
      <c r="V204" s="140"/>
    </row>
    <row r="205" spans="1:22" ht="18" customHeight="1">
      <c r="A205" s="444" t="s">
        <v>466</v>
      </c>
      <c r="B205" s="445"/>
      <c r="C205" s="446"/>
      <c r="D205" s="447"/>
      <c r="E205" s="446"/>
      <c r="F205" s="447"/>
      <c r="G205" s="447"/>
      <c r="H205" s="445"/>
      <c r="I205" s="445"/>
      <c r="J205" s="445"/>
      <c r="K205" s="448"/>
      <c r="L205" s="448"/>
      <c r="M205" s="111"/>
      <c r="N205" s="447"/>
      <c r="O205" s="447"/>
      <c r="P205" s="448"/>
      <c r="Q205" s="449"/>
      <c r="R205" s="111"/>
      <c r="S205" s="111"/>
      <c r="T205" s="111"/>
      <c r="U205" s="111"/>
      <c r="V205" s="147"/>
    </row>
    <row r="206" spans="1:22" ht="18" customHeight="1">
      <c r="A206" s="96" t="s">
        <v>467</v>
      </c>
      <c r="B206" s="164"/>
      <c r="C206" s="450"/>
      <c r="D206" s="389"/>
      <c r="E206" s="450"/>
      <c r="F206" s="389"/>
      <c r="G206" s="389"/>
      <c r="H206" s="164"/>
      <c r="I206" s="164"/>
      <c r="J206" s="164"/>
      <c r="K206" s="165"/>
      <c r="L206" s="165"/>
      <c r="M206" s="7"/>
      <c r="N206" s="389"/>
      <c r="O206" s="389"/>
      <c r="P206" s="165"/>
      <c r="Q206" s="451"/>
      <c r="R206" s="7"/>
      <c r="S206" s="7"/>
      <c r="T206" s="7"/>
      <c r="U206" s="7"/>
      <c r="V206" s="112"/>
    </row>
    <row r="207" spans="1:22" ht="18" customHeight="1">
      <c r="A207" s="409"/>
      <c r="B207" s="164"/>
      <c r="C207" s="450"/>
      <c r="D207" s="7"/>
      <c r="E207" s="7"/>
      <c r="F207" s="7"/>
      <c r="G207" s="389"/>
      <c r="H207" s="452" t="s">
        <v>468</v>
      </c>
      <c r="I207" s="14" t="s">
        <v>469</v>
      </c>
      <c r="J207" s="7"/>
      <c r="K207" s="28" t="s">
        <v>470</v>
      </c>
      <c r="L207" s="28" t="s">
        <v>146</v>
      </c>
      <c r="M207" s="453"/>
      <c r="N207" s="389"/>
      <c r="O207" s="389"/>
      <c r="P207" s="102" t="s">
        <v>138</v>
      </c>
      <c r="Q207" s="28">
        <v>1</v>
      </c>
      <c r="R207" s="7"/>
      <c r="S207" s="7"/>
      <c r="T207" s="7"/>
      <c r="U207" s="7"/>
      <c r="V207" s="112"/>
    </row>
    <row r="208" spans="1:22" ht="18" customHeight="1">
      <c r="A208" s="409"/>
      <c r="B208" s="164"/>
      <c r="C208" s="450"/>
      <c r="D208" s="7"/>
      <c r="E208" s="7"/>
      <c r="F208" s="7"/>
      <c r="G208" s="389"/>
      <c r="H208" s="452"/>
      <c r="I208" s="14"/>
      <c r="J208" s="7"/>
      <c r="K208" s="28"/>
      <c r="L208" s="28"/>
      <c r="M208" s="453"/>
      <c r="N208" s="389"/>
      <c r="O208" s="389"/>
      <c r="P208" s="102"/>
      <c r="Q208" s="28"/>
      <c r="R208" s="7"/>
      <c r="S208" s="7"/>
      <c r="T208" s="7"/>
      <c r="U208" s="7"/>
      <c r="V208" s="112"/>
    </row>
    <row r="209" spans="1:22" ht="18" customHeight="1">
      <c r="A209" s="96" t="s">
        <v>471</v>
      </c>
      <c r="B209" s="164"/>
      <c r="C209" s="450"/>
      <c r="D209" s="389"/>
      <c r="E209" s="450"/>
      <c r="F209" s="389"/>
      <c r="G209" s="389"/>
      <c r="H209" s="164"/>
      <c r="I209" s="7"/>
      <c r="J209" s="7"/>
      <c r="K209" s="121"/>
      <c r="L209" s="121"/>
      <c r="M209" s="7"/>
      <c r="N209" s="389"/>
      <c r="O209" s="389"/>
      <c r="P209" s="165"/>
      <c r="Q209" s="451"/>
      <c r="V209" s="10"/>
    </row>
    <row r="210" spans="1:22" ht="18" customHeight="1">
      <c r="A210" s="96" t="s">
        <v>472</v>
      </c>
      <c r="B210" s="164"/>
      <c r="C210" s="450"/>
      <c r="D210" s="389"/>
      <c r="E210" s="450"/>
      <c r="F210" s="389"/>
      <c r="G210" s="389"/>
      <c r="H210" s="164"/>
      <c r="I210" s="7"/>
      <c r="J210" s="7"/>
      <c r="K210" s="121"/>
      <c r="L210" s="121"/>
      <c r="M210" s="7"/>
      <c r="N210" s="389"/>
      <c r="O210" s="389"/>
      <c r="P210" s="165"/>
      <c r="Q210" s="451"/>
      <c r="V210" s="10"/>
    </row>
    <row r="211" spans="1:22" ht="18" customHeight="1">
      <c r="A211" s="409"/>
      <c r="B211" s="164"/>
      <c r="C211" s="450"/>
      <c r="D211" s="7"/>
      <c r="E211" s="7"/>
      <c r="F211" s="7"/>
      <c r="G211" s="389"/>
      <c r="H211" s="452" t="s">
        <v>468</v>
      </c>
      <c r="I211" s="14" t="s">
        <v>473</v>
      </c>
      <c r="J211" s="7"/>
      <c r="K211" s="28" t="s">
        <v>470</v>
      </c>
      <c r="L211" s="28" t="s">
        <v>462</v>
      </c>
      <c r="M211" s="453"/>
      <c r="N211" s="389"/>
      <c r="O211" s="389"/>
      <c r="P211" s="102" t="s">
        <v>138</v>
      </c>
      <c r="Q211" s="28">
        <v>3</v>
      </c>
      <c r="V211" s="10"/>
    </row>
    <row r="212" spans="1:22" ht="18" customHeight="1">
      <c r="A212" s="409"/>
      <c r="B212" s="164"/>
      <c r="C212" s="450"/>
      <c r="D212" s="7"/>
      <c r="E212" s="7"/>
      <c r="F212" s="7"/>
      <c r="G212" s="389"/>
      <c r="H212" s="452"/>
      <c r="I212" s="14"/>
      <c r="J212" s="7"/>
      <c r="K212" s="28"/>
      <c r="L212" s="28"/>
      <c r="M212" s="453"/>
      <c r="N212" s="389"/>
      <c r="O212" s="389"/>
      <c r="P212" s="102"/>
      <c r="Q212" s="28"/>
      <c r="V212" s="10"/>
    </row>
    <row r="213" spans="1:22" ht="18" customHeight="1">
      <c r="A213" s="205" t="s">
        <v>427</v>
      </c>
      <c r="V213" s="10"/>
    </row>
    <row r="214" spans="1:22" ht="18" customHeight="1">
      <c r="A214" s="114"/>
      <c r="B214" s="7"/>
      <c r="C214" s="7"/>
      <c r="D214" s="7"/>
      <c r="E214" s="7"/>
      <c r="F214" s="7"/>
      <c r="G214" s="14" t="s">
        <v>474</v>
      </c>
      <c r="H214" s="7"/>
      <c r="I214" s="7"/>
      <c r="J214" s="7"/>
      <c r="K214" s="28" t="s">
        <v>138</v>
      </c>
      <c r="L214" s="641">
        <f>L95</f>
        <v>159.09090909090909</v>
      </c>
      <c r="M214" s="638"/>
      <c r="N214" s="28" t="s">
        <v>475</v>
      </c>
      <c r="O214" s="28" t="s">
        <v>146</v>
      </c>
      <c r="P214" s="28" t="s">
        <v>138</v>
      </c>
      <c r="Q214" s="28">
        <f>IF(L214&lt;=400,Q207,Q208)</f>
        <v>1</v>
      </c>
      <c r="R214" s="7"/>
      <c r="S214" s="7"/>
      <c r="T214" s="7"/>
      <c r="V214" s="10"/>
    </row>
    <row r="215" spans="1:22" ht="18" customHeight="1">
      <c r="A215" s="1006" t="s">
        <v>428</v>
      </c>
      <c r="B215" s="956"/>
      <c r="C215" s="956"/>
      <c r="D215" s="1011">
        <f>R195</f>
        <v>40000</v>
      </c>
      <c r="E215" s="1019"/>
      <c r="F215" s="861" t="s">
        <v>326</v>
      </c>
      <c r="G215" s="1013">
        <f>R198</f>
        <v>1</v>
      </c>
      <c r="H215" s="1020"/>
      <c r="I215" s="861" t="s">
        <v>326</v>
      </c>
      <c r="J215" s="862">
        <f>Q214</f>
        <v>1</v>
      </c>
      <c r="K215" s="861" t="s">
        <v>326</v>
      </c>
      <c r="L215" s="1011" t="s">
        <v>430</v>
      </c>
      <c r="M215" s="968">
        <f>R200</f>
        <v>14</v>
      </c>
      <c r="N215" s="1017" t="s">
        <v>358</v>
      </c>
      <c r="O215" s="1018">
        <f>R201</f>
        <v>1.46186744</v>
      </c>
      <c r="P215" s="861" t="s">
        <v>358</v>
      </c>
      <c r="Q215" s="1010">
        <f>R202</f>
        <v>0.02</v>
      </c>
      <c r="R215" s="1010"/>
      <c r="S215" s="1010"/>
      <c r="T215" s="952" t="s">
        <v>361</v>
      </c>
      <c r="U215" s="242" t="s">
        <v>433</v>
      </c>
      <c r="V215" s="112"/>
    </row>
    <row r="216" spans="1:22" ht="18" customHeight="1">
      <c r="A216" s="1007"/>
      <c r="B216" s="956"/>
      <c r="C216" s="956"/>
      <c r="D216" s="1019"/>
      <c r="E216" s="1019"/>
      <c r="F216" s="861"/>
      <c r="G216" s="861">
        <f>R194</f>
        <v>3000</v>
      </c>
      <c r="H216" s="1019"/>
      <c r="I216" s="861"/>
      <c r="J216" s="861"/>
      <c r="K216" s="861"/>
      <c r="L216" s="1011"/>
      <c r="M216" s="968"/>
      <c r="N216" s="1017"/>
      <c r="O216" s="968"/>
      <c r="P216" s="861"/>
      <c r="Q216" s="233">
        <f>R199</f>
        <v>1</v>
      </c>
      <c r="R216" s="233" t="s">
        <v>326</v>
      </c>
      <c r="S216" s="233">
        <f>R199</f>
        <v>1</v>
      </c>
      <c r="T216" s="952"/>
      <c r="U216" s="7"/>
      <c r="V216" s="112"/>
    </row>
    <row r="217" spans="1:22" ht="18" customHeight="1">
      <c r="A217" s="9"/>
      <c r="V217" s="10"/>
    </row>
    <row r="218" spans="1:22" ht="18" customHeight="1">
      <c r="A218" s="9"/>
      <c r="C218" s="27" t="s">
        <v>138</v>
      </c>
      <c r="D218" s="797">
        <f>D215*(G215/G216)*J215*(M215+O215+(Q215/(Q216*S216)))</f>
        <v>206.4248992</v>
      </c>
      <c r="E218" s="645"/>
      <c r="F218" s="27" t="s">
        <v>316</v>
      </c>
      <c r="V218" s="10"/>
    </row>
    <row r="219" spans="1:22" ht="18" customHeight="1">
      <c r="A219" s="9"/>
      <c r="V219" s="10"/>
    </row>
    <row r="220" spans="1:22" ht="18" customHeight="1">
      <c r="A220" s="205" t="s">
        <v>476</v>
      </c>
      <c r="V220" s="10"/>
    </row>
    <row r="221" spans="1:22" ht="18" customHeight="1">
      <c r="A221" s="9"/>
      <c r="E221" s="30" t="s">
        <v>477</v>
      </c>
      <c r="K221" s="27" t="s">
        <v>138</v>
      </c>
      <c r="L221" s="637">
        <f>L102</f>
        <v>6.7473490103646627</v>
      </c>
      <c r="M221" s="639"/>
      <c r="N221" s="27" t="s">
        <v>475</v>
      </c>
      <c r="O221" s="28" t="s">
        <v>462</v>
      </c>
      <c r="P221" s="27" t="s">
        <v>138</v>
      </c>
      <c r="Q221" s="27">
        <f>IF(L221&lt;=200,Q211,Q212)</f>
        <v>3</v>
      </c>
      <c r="V221" s="10"/>
    </row>
    <row r="222" spans="1:22" ht="18" customHeight="1">
      <c r="A222" s="1006" t="s">
        <v>428</v>
      </c>
      <c r="B222" s="956"/>
      <c r="C222" s="956"/>
      <c r="D222" s="1016">
        <f>R196</f>
        <v>22086.904410813047</v>
      </c>
      <c r="E222" s="1015"/>
      <c r="F222" s="861" t="s">
        <v>326</v>
      </c>
      <c r="G222" s="1013">
        <f>R198</f>
        <v>1</v>
      </c>
      <c r="H222" s="1014"/>
      <c r="I222" s="861" t="s">
        <v>326</v>
      </c>
      <c r="J222" s="1039">
        <f>Q221</f>
        <v>3</v>
      </c>
      <c r="K222" s="861" t="s">
        <v>326</v>
      </c>
      <c r="L222" s="1011" t="s">
        <v>430</v>
      </c>
      <c r="M222" s="968">
        <f>R200</f>
        <v>14</v>
      </c>
      <c r="N222" s="1017" t="s">
        <v>358</v>
      </c>
      <c r="O222" s="1018">
        <f>R201</f>
        <v>1.46186744</v>
      </c>
      <c r="P222" s="861" t="s">
        <v>358</v>
      </c>
      <c r="Q222" s="1010">
        <f>R202</f>
        <v>0.02</v>
      </c>
      <c r="R222" s="1010"/>
      <c r="S222" s="1010"/>
      <c r="T222" s="952" t="s">
        <v>361</v>
      </c>
      <c r="U222" s="242" t="s">
        <v>437</v>
      </c>
      <c r="V222" s="112"/>
    </row>
    <row r="223" spans="1:22" ht="18" customHeight="1">
      <c r="A223" s="1007"/>
      <c r="B223" s="956"/>
      <c r="C223" s="956"/>
      <c r="D223" s="1015"/>
      <c r="E223" s="1015"/>
      <c r="F223" s="861"/>
      <c r="G223" s="861">
        <f>R194</f>
        <v>3000</v>
      </c>
      <c r="H223" s="1015"/>
      <c r="I223" s="861"/>
      <c r="J223" s="861"/>
      <c r="K223" s="861"/>
      <c r="L223" s="1011"/>
      <c r="M223" s="968"/>
      <c r="N223" s="1017"/>
      <c r="O223" s="968"/>
      <c r="P223" s="861"/>
      <c r="Q223" s="233">
        <f>R199</f>
        <v>1</v>
      </c>
      <c r="R223" s="233" t="s">
        <v>326</v>
      </c>
      <c r="S223" s="233">
        <f>R199</f>
        <v>1</v>
      </c>
      <c r="T223" s="952"/>
      <c r="U223" s="7"/>
      <c r="V223" s="112"/>
    </row>
    <row r="224" spans="1:22" ht="18" customHeight="1">
      <c r="A224" s="9"/>
      <c r="V224" s="10"/>
    </row>
    <row r="225" spans="1:22" ht="18" customHeight="1">
      <c r="A225" s="9"/>
      <c r="C225" s="27" t="s">
        <v>138</v>
      </c>
      <c r="D225" s="797">
        <f>D222*(G222/G223)*J222*(M222+O222+(Q222/(Q223*S223)))</f>
        <v>341.94652624815893</v>
      </c>
      <c r="E225" s="645"/>
      <c r="F225" s="27" t="s">
        <v>316</v>
      </c>
      <c r="V225" s="10"/>
    </row>
    <row r="226" spans="1:22" ht="18" customHeight="1">
      <c r="A226" s="9"/>
      <c r="V226" s="10"/>
    </row>
    <row r="227" spans="1:22" ht="18" customHeight="1">
      <c r="A227" s="205" t="s">
        <v>478</v>
      </c>
      <c r="V227" s="10"/>
    </row>
    <row r="228" spans="1:22" ht="18" customHeight="1">
      <c r="A228" s="9"/>
      <c r="E228" s="30" t="s">
        <v>479</v>
      </c>
      <c r="K228" s="27" t="s">
        <v>138</v>
      </c>
      <c r="L228" s="637">
        <f>L109</f>
        <v>6.9289372966517959</v>
      </c>
      <c r="M228" s="639"/>
      <c r="N228" s="27" t="s">
        <v>475</v>
      </c>
      <c r="O228" s="28" t="s">
        <v>462</v>
      </c>
      <c r="P228" s="27" t="s">
        <v>138</v>
      </c>
      <c r="Q228" s="27">
        <f>IF(L228&lt;=200,Q211,Q212)</f>
        <v>3</v>
      </c>
      <c r="V228" s="10"/>
    </row>
    <row r="229" spans="1:22" ht="18" customHeight="1">
      <c r="A229" s="1006" t="s">
        <v>428</v>
      </c>
      <c r="B229" s="956"/>
      <c r="C229" s="956"/>
      <c r="D229" s="1016">
        <f>R197</f>
        <v>23819.814378888525</v>
      </c>
      <c r="E229" s="1015"/>
      <c r="F229" s="861" t="s">
        <v>326</v>
      </c>
      <c r="G229" s="1013">
        <f>R198</f>
        <v>1</v>
      </c>
      <c r="H229" s="1014"/>
      <c r="I229" s="861" t="s">
        <v>326</v>
      </c>
      <c r="J229" s="1039">
        <f>Q228</f>
        <v>3</v>
      </c>
      <c r="K229" s="861" t="s">
        <v>326</v>
      </c>
      <c r="L229" s="1011" t="s">
        <v>430</v>
      </c>
      <c r="M229" s="968">
        <f>R200</f>
        <v>14</v>
      </c>
      <c r="N229" s="1017" t="s">
        <v>358</v>
      </c>
      <c r="O229" s="1018">
        <f>R201</f>
        <v>1.46186744</v>
      </c>
      <c r="P229" s="861" t="s">
        <v>358</v>
      </c>
      <c r="Q229" s="1010">
        <f>R202</f>
        <v>0.02</v>
      </c>
      <c r="R229" s="1010"/>
      <c r="S229" s="1010"/>
      <c r="T229" s="952" t="s">
        <v>361</v>
      </c>
      <c r="U229" s="242" t="s">
        <v>437</v>
      </c>
      <c r="V229" s="112"/>
    </row>
    <row r="230" spans="1:22" ht="18" customHeight="1">
      <c r="A230" s="1007"/>
      <c r="B230" s="956"/>
      <c r="C230" s="956"/>
      <c r="D230" s="1015"/>
      <c r="E230" s="1015"/>
      <c r="F230" s="861"/>
      <c r="G230" s="861">
        <f>R194</f>
        <v>3000</v>
      </c>
      <c r="H230" s="1015"/>
      <c r="I230" s="861"/>
      <c r="J230" s="861"/>
      <c r="K230" s="861"/>
      <c r="L230" s="1011"/>
      <c r="M230" s="968"/>
      <c r="N230" s="1017"/>
      <c r="O230" s="968"/>
      <c r="P230" s="861"/>
      <c r="Q230" s="233">
        <f>R199</f>
        <v>1</v>
      </c>
      <c r="R230" s="233" t="s">
        <v>326</v>
      </c>
      <c r="S230" s="233">
        <f>R199</f>
        <v>1</v>
      </c>
      <c r="T230" s="952"/>
      <c r="U230" s="7"/>
      <c r="V230" s="112"/>
    </row>
    <row r="231" spans="1:22" ht="18" customHeight="1">
      <c r="A231" s="9"/>
      <c r="V231" s="10"/>
    </row>
    <row r="232" spans="1:22" ht="18" customHeight="1">
      <c r="A232" s="9"/>
      <c r="C232" s="27" t="s">
        <v>138</v>
      </c>
      <c r="D232" s="797">
        <f>D229*(G229/G230)*J229*(M229+O229+(Q229/(Q230*S230)))</f>
        <v>368.77520865935804</v>
      </c>
      <c r="E232" s="645"/>
      <c r="F232" s="27" t="s">
        <v>316</v>
      </c>
      <c r="V232" s="10"/>
    </row>
    <row r="233" spans="1:22" ht="18" customHeight="1">
      <c r="A233" s="9"/>
      <c r="V233" s="10"/>
    </row>
    <row r="234" spans="1:22" ht="18" customHeight="1">
      <c r="A234" s="196" t="s">
        <v>480</v>
      </c>
      <c r="M234" s="1023">
        <f>J129</f>
        <v>3000</v>
      </c>
      <c r="N234" s="1024"/>
      <c r="O234" s="30" t="s">
        <v>481</v>
      </c>
      <c r="Q234" s="798">
        <f>MAX(D169,D175,D181,D218,D225,D232)</f>
        <v>368.77520865935804</v>
      </c>
      <c r="R234" s="645"/>
      <c r="S234" s="30" t="s">
        <v>316</v>
      </c>
      <c r="V234" s="10"/>
    </row>
    <row r="235" spans="1:22" ht="18" customHeight="1">
      <c r="A235" s="364" t="s">
        <v>482</v>
      </c>
      <c r="B235" s="7"/>
      <c r="C235" s="7"/>
      <c r="D235" s="454"/>
      <c r="E235" s="7"/>
      <c r="F235" s="7"/>
      <c r="G235" s="385"/>
      <c r="H235" s="7"/>
      <c r="J235" s="7"/>
      <c r="K235" s="7"/>
      <c r="L235" s="7"/>
      <c r="M235" s="7"/>
      <c r="N235" s="7"/>
      <c r="O235" s="7"/>
      <c r="P235" s="262"/>
      <c r="Q235" s="263"/>
      <c r="R235" s="385"/>
      <c r="S235" s="7"/>
      <c r="V235" s="10"/>
    </row>
    <row r="236" spans="1:22" ht="18" customHeight="1">
      <c r="A236" s="96" t="s">
        <v>483</v>
      </c>
      <c r="V236" s="10"/>
    </row>
    <row r="237" spans="1:22" ht="18" customHeight="1">
      <c r="A237" s="9"/>
      <c r="N237" s="7"/>
      <c r="O237" s="28" t="s">
        <v>484</v>
      </c>
      <c r="P237" s="102" t="s">
        <v>138</v>
      </c>
      <c r="Q237" s="906" t="s">
        <v>485</v>
      </c>
      <c r="R237" s="906"/>
      <c r="S237" s="28" t="s">
        <v>326</v>
      </c>
      <c r="T237" s="28">
        <v>0.8</v>
      </c>
      <c r="V237" s="10"/>
    </row>
    <row r="238" spans="1:22" ht="18" customHeight="1">
      <c r="A238" s="9"/>
      <c r="N238" s="264"/>
      <c r="O238" s="28"/>
      <c r="P238" s="102" t="s">
        <v>138</v>
      </c>
      <c r="Q238" s="1026">
        <f>+Q234</f>
        <v>368.77520865935804</v>
      </c>
      <c r="R238" s="661"/>
      <c r="S238" s="234" t="s">
        <v>326</v>
      </c>
      <c r="T238" s="265">
        <f>+T237</f>
        <v>0.8</v>
      </c>
      <c r="V238" s="10"/>
    </row>
    <row r="239" spans="1:22" ht="18" customHeight="1">
      <c r="A239" s="9"/>
      <c r="O239" s="28"/>
      <c r="P239" s="28" t="s">
        <v>138</v>
      </c>
      <c r="Q239" s="1027">
        <f>Q238*T238</f>
        <v>295.02016692748646</v>
      </c>
      <c r="R239" s="707"/>
      <c r="S239" s="28" t="s">
        <v>316</v>
      </c>
      <c r="T239" s="28"/>
      <c r="V239" s="10"/>
    </row>
    <row r="240" spans="1:22" ht="18" customHeight="1">
      <c r="A240" s="9"/>
      <c r="D240" s="30" t="s">
        <v>486</v>
      </c>
      <c r="G240" s="27" t="str">
        <f>IF(E241&gt;H241,"&gt;","&lt;")</f>
        <v>&gt;</v>
      </c>
      <c r="H240" s="308" t="s">
        <v>488</v>
      </c>
      <c r="I240" s="27"/>
      <c r="O240" s="7"/>
      <c r="P240" s="7"/>
      <c r="Q240" s="7"/>
      <c r="R240" s="7"/>
      <c r="S240" s="7"/>
      <c r="T240" s="7"/>
      <c r="V240" s="10"/>
    </row>
    <row r="241" spans="1:29" ht="18" customHeight="1">
      <c r="A241" s="9"/>
      <c r="E241" s="639">
        <f>J132</f>
        <v>2500</v>
      </c>
      <c r="F241" s="639"/>
      <c r="G241" s="27" t="str">
        <f>G240</f>
        <v>&gt;</v>
      </c>
      <c r="H241" s="637">
        <f>Q239</f>
        <v>295.02016692748646</v>
      </c>
      <c r="I241" s="639"/>
      <c r="V241" s="10"/>
    </row>
    <row r="242" spans="1:29" ht="18" customHeight="1">
      <c r="A242" s="9"/>
      <c r="F242" s="256" t="s">
        <v>489</v>
      </c>
      <c r="H242" s="18" t="str">
        <f>IF(G240="&gt;","Suitably Dimensioned","Under Dimensioned")</f>
        <v>Suitably Dimensioned</v>
      </c>
      <c r="V242" s="10"/>
    </row>
    <row r="243" spans="1:29" ht="18" customHeight="1">
      <c r="A243" s="9"/>
      <c r="F243" s="256"/>
      <c r="H243" s="18"/>
      <c r="V243" s="10"/>
    </row>
    <row r="244" spans="1:29" s="7" customFormat="1" ht="18" hidden="1" customHeight="1">
      <c r="A244" s="395"/>
      <c r="B244" s="20"/>
      <c r="C244" s="20"/>
      <c r="D244" s="20"/>
      <c r="E244" s="20"/>
      <c r="F244" s="20"/>
      <c r="G244" s="20"/>
      <c r="H244" s="20"/>
      <c r="I244" s="20"/>
      <c r="J244" s="20"/>
      <c r="K244" s="20"/>
      <c r="L244" s="20"/>
      <c r="M244" s="20"/>
      <c r="N244" s="20"/>
      <c r="O244" s="20"/>
      <c r="P244" s="20"/>
      <c r="Q244" s="21"/>
      <c r="R244" s="22"/>
      <c r="S244" s="23"/>
      <c r="T244" s="20"/>
      <c r="U244" s="20"/>
      <c r="V244" s="140"/>
    </row>
    <row r="245" spans="1:29" ht="18" hidden="1" customHeight="1">
      <c r="A245" s="455"/>
      <c r="B245" s="397"/>
      <c r="C245" s="397"/>
      <c r="D245" s="397"/>
      <c r="E245" s="397"/>
      <c r="F245" s="397"/>
      <c r="G245" s="397"/>
      <c r="H245" s="397"/>
      <c r="I245" s="397"/>
      <c r="J245" s="397"/>
      <c r="K245" s="397"/>
      <c r="L245" s="397"/>
      <c r="M245" s="397"/>
      <c r="N245" s="397"/>
      <c r="O245" s="397"/>
      <c r="P245" s="397"/>
      <c r="Q245" s="397"/>
      <c r="R245" s="397"/>
      <c r="S245" s="397"/>
      <c r="T245" s="397"/>
      <c r="U245" s="397"/>
      <c r="V245" s="408"/>
    </row>
    <row r="246" spans="1:29" ht="18" hidden="1" customHeight="1">
      <c r="A246" s="9"/>
      <c r="B246" s="650" t="str">
        <f>B126</f>
        <v>T1</v>
      </c>
      <c r="C246" s="651"/>
      <c r="D246" s="663" t="str">
        <f>D126</f>
        <v>Core1</v>
      </c>
      <c r="E246" s="664"/>
      <c r="F246" s="638">
        <f>F126</f>
        <v>0</v>
      </c>
      <c r="G246" s="638"/>
      <c r="H246" s="638" t="str">
        <f>H126</f>
        <v>(Diff. + Dist.)</v>
      </c>
      <c r="I246" s="638"/>
      <c r="J246" s="638"/>
      <c r="K246" s="638"/>
      <c r="L246" s="638"/>
      <c r="M246" s="638"/>
      <c r="P246" s="198"/>
      <c r="S246" s="199" t="s">
        <v>398</v>
      </c>
      <c r="T246" s="650" t="str">
        <f>T126</f>
        <v>RED670</v>
      </c>
      <c r="U246" s="651"/>
      <c r="V246" s="10"/>
    </row>
    <row r="247" spans="1:29" ht="18" hidden="1" customHeight="1">
      <c r="A247" s="9"/>
      <c r="B247" s="660">
        <f>B127</f>
        <v>0</v>
      </c>
      <c r="C247" s="660"/>
      <c r="D247" s="665"/>
      <c r="E247" s="666"/>
      <c r="F247" s="461"/>
      <c r="T247" s="650">
        <f>T127</f>
        <v>0</v>
      </c>
      <c r="U247" s="651"/>
      <c r="V247" s="10"/>
    </row>
    <row r="248" spans="1:29" ht="18" hidden="1" customHeight="1">
      <c r="A248" s="9"/>
      <c r="H248" s="661" t="s">
        <v>401</v>
      </c>
      <c r="I248" s="661"/>
      <c r="J248" s="701" t="s">
        <v>402</v>
      </c>
      <c r="K248" s="701"/>
      <c r="L248" s="662" t="s">
        <v>403</v>
      </c>
      <c r="M248" s="662"/>
      <c r="T248" s="650">
        <f>T128</f>
        <v>0</v>
      </c>
      <c r="U248" s="651"/>
      <c r="V248" s="10"/>
    </row>
    <row r="249" spans="1:29" ht="18" hidden="1" customHeight="1">
      <c r="A249" s="9"/>
      <c r="B249" s="47" t="s">
        <v>404</v>
      </c>
      <c r="H249" s="650">
        <f>H129</f>
        <v>2500</v>
      </c>
      <c r="I249" s="651"/>
      <c r="J249" s="650">
        <f>J129</f>
        <v>3000</v>
      </c>
      <c r="K249" s="651"/>
      <c r="L249" s="652" t="str">
        <f>L129</f>
        <v>-</v>
      </c>
      <c r="M249" s="653"/>
      <c r="N249" s="123" t="s">
        <v>353</v>
      </c>
      <c r="O249" s="268">
        <f>O129</f>
        <v>1</v>
      </c>
      <c r="P249" s="438" t="s">
        <v>9</v>
      </c>
      <c r="V249" s="10"/>
    </row>
    <row r="250" spans="1:29" ht="18" hidden="1" customHeight="1">
      <c r="A250" s="9"/>
      <c r="B250" s="47" t="s">
        <v>405</v>
      </c>
      <c r="L250" s="650" t="str">
        <f>J130</f>
        <v>PX-A</v>
      </c>
      <c r="M250" s="651"/>
      <c r="V250" s="10"/>
    </row>
    <row r="251" spans="1:29" ht="18" hidden="1" customHeight="1">
      <c r="A251" s="9"/>
      <c r="B251" s="47" t="s">
        <v>407</v>
      </c>
      <c r="K251" s="120" t="s">
        <v>508</v>
      </c>
      <c r="L251" s="656" t="s">
        <v>7</v>
      </c>
      <c r="M251" s="657"/>
      <c r="N251" s="204" t="s">
        <v>344</v>
      </c>
      <c r="V251" s="10"/>
    </row>
    <row r="252" spans="1:29" ht="18" hidden="1" customHeight="1">
      <c r="A252" s="9"/>
      <c r="B252" s="47" t="s">
        <v>409</v>
      </c>
      <c r="K252" s="120" t="s">
        <v>509</v>
      </c>
      <c r="L252" s="656" t="s">
        <v>7</v>
      </c>
      <c r="M252" s="657"/>
      <c r="N252" s="14" t="s">
        <v>316</v>
      </c>
      <c r="V252" s="10"/>
      <c r="W252" s="30" t="s">
        <v>411</v>
      </c>
      <c r="AB252" s="996" t="e">
        <f>Q368</f>
        <v>#VALUE!</v>
      </c>
      <c r="AC252" s="997"/>
    </row>
    <row r="253" spans="1:29" ht="18" hidden="1" customHeight="1">
      <c r="A253" s="9"/>
      <c r="B253" s="14" t="s">
        <v>412</v>
      </c>
      <c r="K253" s="120" t="s">
        <v>413</v>
      </c>
      <c r="L253" s="656" t="s">
        <v>7</v>
      </c>
      <c r="M253" s="657"/>
      <c r="N253" s="14" t="s">
        <v>414</v>
      </c>
      <c r="V253" s="10"/>
    </row>
    <row r="254" spans="1:29" ht="18" hidden="1" customHeight="1">
      <c r="A254" s="9"/>
      <c r="V254" s="10"/>
    </row>
    <row r="255" spans="1:29" ht="18" hidden="1" customHeight="1">
      <c r="A255" s="116" t="s">
        <v>415</v>
      </c>
      <c r="V255" s="10"/>
    </row>
    <row r="256" spans="1:29" ht="18" hidden="1" customHeight="1">
      <c r="A256" s="9"/>
      <c r="V256" s="10"/>
    </row>
    <row r="257" spans="1:22" ht="18" hidden="1" customHeight="1">
      <c r="A257" s="9"/>
      <c r="B257" s="206" t="s">
        <v>416</v>
      </c>
      <c r="C257" s="207"/>
      <c r="D257" s="207" t="str">
        <f>T246</f>
        <v>RED670</v>
      </c>
      <c r="E257" s="436"/>
      <c r="F257" s="436"/>
      <c r="G257" s="436"/>
      <c r="H257" s="194" t="s">
        <v>417</v>
      </c>
      <c r="I257" s="195" t="s">
        <v>138</v>
      </c>
      <c r="J257" s="897">
        <f>J137</f>
        <v>0.02</v>
      </c>
      <c r="K257" s="1040"/>
      <c r="L257" s="214" t="s">
        <v>168</v>
      </c>
      <c r="N257" s="209" t="s">
        <v>418</v>
      </c>
      <c r="V257" s="10"/>
    </row>
    <row r="258" spans="1:22" ht="18" hidden="1" customHeight="1">
      <c r="A258" s="9"/>
      <c r="B258" s="196" t="s">
        <v>416</v>
      </c>
      <c r="D258" s="437">
        <f>T247</f>
        <v>0</v>
      </c>
      <c r="I258" s="28" t="s">
        <v>138</v>
      </c>
      <c r="J258" s="897">
        <f>J138</f>
        <v>0</v>
      </c>
      <c r="K258" s="1001"/>
      <c r="L258" s="309" t="s">
        <v>168</v>
      </c>
      <c r="V258" s="10"/>
    </row>
    <row r="259" spans="1:22" ht="18" hidden="1" customHeight="1">
      <c r="A259" s="9"/>
      <c r="B259" s="196" t="s">
        <v>416</v>
      </c>
      <c r="D259" s="437">
        <f>T248</f>
        <v>0</v>
      </c>
      <c r="E259" s="14"/>
      <c r="G259" s="211"/>
      <c r="H259" s="438"/>
      <c r="I259" s="101" t="s">
        <v>138</v>
      </c>
      <c r="J259" s="644">
        <f>J139</f>
        <v>0</v>
      </c>
      <c r="K259" s="1041"/>
      <c r="L259" s="439" t="s">
        <v>168</v>
      </c>
      <c r="N259" s="27" t="s">
        <v>419</v>
      </c>
      <c r="O259" s="27" t="s">
        <v>138</v>
      </c>
      <c r="P259" s="27" t="s">
        <v>420</v>
      </c>
      <c r="Q259" s="203" t="s">
        <v>421</v>
      </c>
      <c r="R259" s="27" t="s">
        <v>422</v>
      </c>
      <c r="S259" s="27" t="s">
        <v>326</v>
      </c>
      <c r="T259" s="27" t="s">
        <v>422</v>
      </c>
      <c r="U259" s="30" t="s">
        <v>361</v>
      </c>
      <c r="V259" s="10"/>
    </row>
    <row r="260" spans="1:22" ht="18" hidden="1" customHeight="1">
      <c r="A260" s="9"/>
      <c r="B260" s="196" t="s">
        <v>423</v>
      </c>
      <c r="H260" s="438"/>
      <c r="I260" s="440" t="s">
        <v>138</v>
      </c>
      <c r="J260" s="1042">
        <f>J140</f>
        <v>1.44186744</v>
      </c>
      <c r="K260" s="1043"/>
      <c r="L260" s="439" t="s">
        <v>168</v>
      </c>
      <c r="O260" s="27" t="s">
        <v>138</v>
      </c>
      <c r="P260" s="223">
        <f>J261</f>
        <v>1.44186744</v>
      </c>
      <c r="Q260" s="203" t="s">
        <v>421</v>
      </c>
      <c r="R260" s="27">
        <f>O249</f>
        <v>1</v>
      </c>
      <c r="S260" s="27" t="s">
        <v>326</v>
      </c>
      <c r="T260" s="27">
        <f>O249</f>
        <v>1</v>
      </c>
      <c r="U260" s="30" t="s">
        <v>361</v>
      </c>
      <c r="V260" s="10"/>
    </row>
    <row r="261" spans="1:22" ht="18" hidden="1" customHeight="1">
      <c r="A261" s="9"/>
      <c r="B261" s="217" t="s">
        <v>424</v>
      </c>
      <c r="C261" s="218"/>
      <c r="D261" s="218"/>
      <c r="E261" s="218"/>
      <c r="F261" s="359"/>
      <c r="G261" s="359"/>
      <c r="H261" s="202" t="s">
        <v>420</v>
      </c>
      <c r="I261" s="220" t="s">
        <v>138</v>
      </c>
      <c r="J261" s="897">
        <f>SUM(J258:K260)</f>
        <v>1.44186744</v>
      </c>
      <c r="K261" s="1001"/>
      <c r="L261" s="441" t="s">
        <v>168</v>
      </c>
      <c r="O261" s="27" t="s">
        <v>138</v>
      </c>
      <c r="P261" s="637">
        <f>P260/(R260*T260)</f>
        <v>1.44186744</v>
      </c>
      <c r="Q261" s="637"/>
      <c r="R261" s="204" t="s">
        <v>344</v>
      </c>
      <c r="V261" s="10"/>
    </row>
    <row r="262" spans="1:22" ht="18" hidden="1" customHeight="1">
      <c r="A262" s="9"/>
      <c r="V262" s="10"/>
    </row>
    <row r="263" spans="1:22" ht="18" hidden="1" customHeight="1">
      <c r="A263" s="116" t="s">
        <v>425</v>
      </c>
      <c r="V263" s="10"/>
    </row>
    <row r="264" spans="1:22" ht="18" hidden="1" customHeight="1">
      <c r="A264" s="1002" t="s">
        <v>510</v>
      </c>
      <c r="B264" s="1003"/>
      <c r="C264" s="1003"/>
      <c r="D264" s="1003"/>
      <c r="E264" s="1003"/>
      <c r="F264" s="1003"/>
      <c r="G264" s="1003"/>
      <c r="H264" s="1003"/>
      <c r="I264" s="1003"/>
      <c r="J264" s="1003"/>
      <c r="K264" s="1003"/>
      <c r="L264" s="1003"/>
      <c r="M264" s="1003"/>
      <c r="N264" s="1003"/>
      <c r="O264" s="1003"/>
      <c r="P264" s="1003"/>
      <c r="Q264" s="1003"/>
      <c r="R264" s="1003"/>
      <c r="S264" s="1003"/>
      <c r="T264" s="1003"/>
      <c r="U264" s="1003"/>
      <c r="V264" s="1004"/>
    </row>
    <row r="265" spans="1:22" ht="18" hidden="1" customHeight="1">
      <c r="A265" s="1002"/>
      <c r="B265" s="1003"/>
      <c r="C265" s="1003"/>
      <c r="D265" s="1003"/>
      <c r="E265" s="1003"/>
      <c r="F265" s="1003"/>
      <c r="G265" s="1003"/>
      <c r="H265" s="1003"/>
      <c r="I265" s="1003"/>
      <c r="J265" s="1003"/>
      <c r="K265" s="1003"/>
      <c r="L265" s="1003"/>
      <c r="M265" s="1003"/>
      <c r="N265" s="1003"/>
      <c r="O265" s="1003"/>
      <c r="P265" s="1003"/>
      <c r="Q265" s="1003"/>
      <c r="R265" s="1003"/>
      <c r="S265" s="1003"/>
      <c r="T265" s="1003"/>
      <c r="U265" s="1003"/>
      <c r="V265" s="1004"/>
    </row>
    <row r="266" spans="1:22" ht="18" hidden="1" customHeight="1">
      <c r="A266" s="205" t="s">
        <v>427</v>
      </c>
      <c r="V266" s="10"/>
    </row>
    <row r="267" spans="1:22" ht="18" hidden="1" customHeight="1">
      <c r="A267" s="1006" t="s">
        <v>428</v>
      </c>
      <c r="B267" s="956"/>
      <c r="C267" s="956"/>
      <c r="D267" s="14"/>
      <c r="E267" s="7"/>
      <c r="F267" s="1008" t="s">
        <v>429</v>
      </c>
      <c r="G267" s="887"/>
      <c r="H267" s="638" t="s">
        <v>326</v>
      </c>
      <c r="I267" s="661" t="s">
        <v>422</v>
      </c>
      <c r="J267" s="957"/>
      <c r="K267" s="638" t="s">
        <v>326</v>
      </c>
      <c r="L267" s="1008" t="s">
        <v>430</v>
      </c>
      <c r="M267" s="638" t="s">
        <v>431</v>
      </c>
      <c r="N267" s="958" t="s">
        <v>358</v>
      </c>
      <c r="O267" s="638" t="s">
        <v>419</v>
      </c>
      <c r="P267" s="638" t="s">
        <v>358</v>
      </c>
      <c r="Q267" s="953" t="s">
        <v>432</v>
      </c>
      <c r="R267" s="1005"/>
      <c r="S267" s="1005"/>
      <c r="T267" s="952" t="s">
        <v>361</v>
      </c>
      <c r="U267" s="242" t="s">
        <v>433</v>
      </c>
      <c r="V267" s="112"/>
    </row>
    <row r="268" spans="1:22" ht="18" hidden="1" customHeight="1">
      <c r="A268" s="1007"/>
      <c r="B268" s="956"/>
      <c r="C268" s="956"/>
      <c r="D268" s="14"/>
      <c r="E268" s="7"/>
      <c r="F268" s="887"/>
      <c r="G268" s="887"/>
      <c r="H268" s="638"/>
      <c r="I268" s="638" t="s">
        <v>434</v>
      </c>
      <c r="J268" s="887"/>
      <c r="K268" s="638"/>
      <c r="L268" s="1008"/>
      <c r="M268" s="638"/>
      <c r="N268" s="958"/>
      <c r="O268" s="638"/>
      <c r="P268" s="638"/>
      <c r="Q268" s="28" t="s">
        <v>157</v>
      </c>
      <c r="R268" s="28" t="s">
        <v>326</v>
      </c>
      <c r="S268" s="28" t="s">
        <v>157</v>
      </c>
      <c r="T268" s="952"/>
      <c r="U268" s="7"/>
      <c r="V268" s="112"/>
    </row>
    <row r="269" spans="1:22" ht="18" hidden="1" customHeight="1">
      <c r="A269" s="205" t="s">
        <v>435</v>
      </c>
      <c r="L269" s="442"/>
      <c r="M269" s="438"/>
      <c r="N269" s="438"/>
      <c r="O269" s="438"/>
      <c r="V269" s="10"/>
    </row>
    <row r="270" spans="1:22" ht="18" hidden="1" customHeight="1">
      <c r="A270" s="1006" t="s">
        <v>428</v>
      </c>
      <c r="B270" s="956"/>
      <c r="C270" s="956"/>
      <c r="D270" s="638">
        <v>2</v>
      </c>
      <c r="E270" s="638" t="s">
        <v>326</v>
      </c>
      <c r="F270" s="1008" t="s">
        <v>436</v>
      </c>
      <c r="G270" s="887"/>
      <c r="H270" s="638" t="s">
        <v>326</v>
      </c>
      <c r="I270" s="661" t="s">
        <v>422</v>
      </c>
      <c r="J270" s="957"/>
      <c r="K270" s="638" t="s">
        <v>326</v>
      </c>
      <c r="L270" s="1008" t="s">
        <v>430</v>
      </c>
      <c r="M270" s="638" t="s">
        <v>431</v>
      </c>
      <c r="N270" s="958" t="s">
        <v>358</v>
      </c>
      <c r="O270" s="638" t="s">
        <v>419</v>
      </c>
      <c r="P270" s="638" t="s">
        <v>358</v>
      </c>
      <c r="Q270" s="953" t="s">
        <v>432</v>
      </c>
      <c r="R270" s="1005"/>
      <c r="S270" s="1005"/>
      <c r="T270" s="952" t="s">
        <v>361</v>
      </c>
      <c r="U270" s="242" t="s">
        <v>437</v>
      </c>
      <c r="V270" s="112"/>
    </row>
    <row r="271" spans="1:22" ht="18" hidden="1" customHeight="1">
      <c r="A271" s="1007"/>
      <c r="B271" s="956"/>
      <c r="C271" s="956"/>
      <c r="D271" s="638"/>
      <c r="E271" s="638"/>
      <c r="F271" s="887"/>
      <c r="G271" s="887"/>
      <c r="H271" s="638"/>
      <c r="I271" s="638" t="s">
        <v>434</v>
      </c>
      <c r="J271" s="887"/>
      <c r="K271" s="638"/>
      <c r="L271" s="1008"/>
      <c r="M271" s="638"/>
      <c r="N271" s="958"/>
      <c r="O271" s="638"/>
      <c r="P271" s="638"/>
      <c r="Q271" s="28" t="s">
        <v>157</v>
      </c>
      <c r="R271" s="28" t="s">
        <v>326</v>
      </c>
      <c r="S271" s="28" t="s">
        <v>157</v>
      </c>
      <c r="T271" s="952"/>
      <c r="U271" s="7"/>
      <c r="V271" s="112"/>
    </row>
    <row r="272" spans="1:22" ht="18" hidden="1" customHeight="1">
      <c r="A272" s="9"/>
      <c r="V272" s="10"/>
    </row>
    <row r="273" spans="1:22" ht="18" hidden="1" customHeight="1">
      <c r="A273" s="9"/>
      <c r="B273" s="14" t="s">
        <v>438</v>
      </c>
      <c r="C273" s="14"/>
      <c r="D273" s="103"/>
      <c r="E273" s="103"/>
      <c r="F273" s="14"/>
      <c r="G273" s="14"/>
      <c r="H273" s="5"/>
      <c r="I273" s="5"/>
      <c r="J273" s="5"/>
      <c r="P273" s="120" t="s">
        <v>439</v>
      </c>
      <c r="V273" s="10"/>
    </row>
    <row r="274" spans="1:22" ht="18" hidden="1" customHeight="1">
      <c r="A274" s="9"/>
      <c r="B274" s="14" t="s">
        <v>440</v>
      </c>
      <c r="C274" s="14"/>
      <c r="D274" s="103"/>
      <c r="E274" s="103"/>
      <c r="F274" s="14"/>
      <c r="G274" s="14"/>
      <c r="H274" s="5"/>
      <c r="I274" s="5"/>
      <c r="J274" s="5"/>
      <c r="P274" s="120" t="s">
        <v>441</v>
      </c>
      <c r="Q274" s="246" t="s">
        <v>138</v>
      </c>
      <c r="R274" s="639" t="str">
        <f>L249</f>
        <v>-</v>
      </c>
      <c r="S274" s="639"/>
      <c r="T274" s="14" t="s">
        <v>9</v>
      </c>
      <c r="V274" s="10"/>
    </row>
    <row r="275" spans="1:22" ht="18" hidden="1" customHeight="1">
      <c r="A275" s="9"/>
      <c r="B275" s="14" t="s">
        <v>442</v>
      </c>
      <c r="C275" s="14"/>
      <c r="D275" s="14"/>
      <c r="E275" s="14"/>
      <c r="F275" s="14"/>
      <c r="G275" s="14"/>
      <c r="H275" s="14"/>
      <c r="I275" s="14"/>
      <c r="J275" s="14"/>
      <c r="P275" s="120" t="s">
        <v>429</v>
      </c>
      <c r="Q275" s="246" t="s">
        <v>138</v>
      </c>
      <c r="R275" s="639">
        <f>R155</f>
        <v>40000</v>
      </c>
      <c r="S275" s="639"/>
      <c r="T275" s="14" t="s">
        <v>9</v>
      </c>
      <c r="V275" s="10"/>
    </row>
    <row r="276" spans="1:22" ht="18" hidden="1" customHeight="1">
      <c r="A276" s="9"/>
      <c r="B276" s="14" t="s">
        <v>443</v>
      </c>
      <c r="C276" s="14"/>
      <c r="D276" s="14"/>
      <c r="E276" s="14"/>
      <c r="F276" s="14"/>
      <c r="G276" s="14"/>
      <c r="H276" s="14"/>
      <c r="I276" s="14"/>
      <c r="J276" s="14"/>
      <c r="P276" s="120" t="s">
        <v>436</v>
      </c>
      <c r="Q276" s="246" t="s">
        <v>138</v>
      </c>
      <c r="R276" s="873">
        <f>R156</f>
        <v>19625.768379858539</v>
      </c>
      <c r="S276" s="639"/>
      <c r="T276" s="14" t="s">
        <v>9</v>
      </c>
      <c r="U276" s="30" t="s">
        <v>444</v>
      </c>
      <c r="V276" s="10"/>
    </row>
    <row r="277" spans="1:22" ht="18" hidden="1" customHeight="1">
      <c r="A277" s="9"/>
      <c r="B277" s="14"/>
      <c r="C277" s="14"/>
      <c r="D277" s="14"/>
      <c r="E277" s="14"/>
      <c r="F277" s="14"/>
      <c r="G277" s="14"/>
      <c r="H277" s="14"/>
      <c r="I277" s="14"/>
      <c r="J277" s="14"/>
      <c r="P277" s="120"/>
      <c r="Q277" s="246" t="s">
        <v>138</v>
      </c>
      <c r="R277" s="873">
        <f>R157</f>
        <v>21361.580727736164</v>
      </c>
      <c r="S277" s="639"/>
      <c r="T277" s="14" t="s">
        <v>9</v>
      </c>
      <c r="U277" s="30" t="s">
        <v>445</v>
      </c>
      <c r="V277" s="10"/>
    </row>
    <row r="278" spans="1:22" ht="18" hidden="1" customHeight="1">
      <c r="A278" s="9"/>
      <c r="B278" s="14" t="s">
        <v>446</v>
      </c>
      <c r="C278" s="14"/>
      <c r="D278" s="103"/>
      <c r="E278" s="103"/>
      <c r="F278" s="14"/>
      <c r="G278" s="14"/>
      <c r="H278" s="5"/>
      <c r="I278" s="5"/>
      <c r="J278" s="5"/>
      <c r="P278" s="120" t="s">
        <v>447</v>
      </c>
      <c r="Q278" s="246" t="s">
        <v>138</v>
      </c>
      <c r="R278" s="639">
        <f>R158</f>
        <v>1</v>
      </c>
      <c r="S278" s="639"/>
      <c r="T278" s="14" t="s">
        <v>9</v>
      </c>
      <c r="V278" s="10"/>
    </row>
    <row r="279" spans="1:22" ht="18" hidden="1" customHeight="1">
      <c r="A279" s="9"/>
      <c r="B279" s="14" t="s">
        <v>448</v>
      </c>
      <c r="C279" s="14"/>
      <c r="D279" s="103"/>
      <c r="E279" s="103"/>
      <c r="F279" s="14"/>
      <c r="G279" s="14"/>
      <c r="H279" s="5"/>
      <c r="I279" s="5"/>
      <c r="J279" s="5"/>
      <c r="P279" s="120" t="s">
        <v>449</v>
      </c>
      <c r="Q279" s="246" t="s">
        <v>138</v>
      </c>
      <c r="R279" s="639">
        <f>R159</f>
        <v>1</v>
      </c>
      <c r="S279" s="639"/>
      <c r="T279" s="14" t="s">
        <v>9</v>
      </c>
      <c r="V279" s="10"/>
    </row>
    <row r="280" spans="1:22" ht="18" hidden="1" customHeight="1">
      <c r="A280" s="9"/>
      <c r="B280" s="14" t="s">
        <v>450</v>
      </c>
      <c r="C280" s="14"/>
      <c r="D280" s="103"/>
      <c r="E280" s="103"/>
      <c r="F280" s="14"/>
      <c r="G280" s="14"/>
      <c r="H280" s="5"/>
      <c r="I280" s="5"/>
      <c r="J280" s="5"/>
      <c r="P280" s="120" t="s">
        <v>451</v>
      </c>
      <c r="Q280" s="246" t="s">
        <v>138</v>
      </c>
      <c r="R280" s="639" t="str">
        <f>L251</f>
        <v>-</v>
      </c>
      <c r="S280" s="639"/>
      <c r="T280" s="204" t="s">
        <v>344</v>
      </c>
      <c r="V280" s="10"/>
    </row>
    <row r="281" spans="1:22" ht="18" hidden="1" customHeight="1">
      <c r="A281" s="9"/>
      <c r="B281" s="14" t="s">
        <v>164</v>
      </c>
      <c r="C281" s="14"/>
      <c r="D281" s="14"/>
      <c r="E281" s="14"/>
      <c r="F281" s="14"/>
      <c r="G281" s="14"/>
      <c r="H281" s="14"/>
      <c r="I281" s="14"/>
      <c r="J281" s="14"/>
      <c r="P281" s="249" t="s">
        <v>452</v>
      </c>
      <c r="Q281" s="246" t="s">
        <v>138</v>
      </c>
      <c r="R281" s="637">
        <f>R161</f>
        <v>1.46186744</v>
      </c>
      <c r="S281" s="639"/>
      <c r="T281" s="204" t="s">
        <v>344</v>
      </c>
      <c r="V281" s="10"/>
    </row>
    <row r="282" spans="1:22" ht="18" hidden="1" customHeight="1">
      <c r="A282" s="9"/>
      <c r="B282" s="40" t="s">
        <v>453</v>
      </c>
      <c r="C282" s="14"/>
      <c r="D282" s="14"/>
      <c r="E282" s="14"/>
      <c r="F282" s="14"/>
      <c r="G282" s="14"/>
      <c r="H282" s="5"/>
      <c r="I282" s="5"/>
      <c r="J282" s="5"/>
      <c r="P282" s="249" t="s">
        <v>454</v>
      </c>
      <c r="Q282" s="246" t="s">
        <v>138</v>
      </c>
      <c r="R282" s="637">
        <f>R162</f>
        <v>0.02</v>
      </c>
      <c r="S282" s="639"/>
      <c r="T282" s="14" t="s">
        <v>168</v>
      </c>
      <c r="V282" s="10"/>
    </row>
    <row r="283" spans="1:22" ht="18" hidden="1" customHeight="1">
      <c r="A283" s="9"/>
      <c r="B283" s="40"/>
      <c r="C283" s="14"/>
      <c r="D283" s="14"/>
      <c r="E283" s="14"/>
      <c r="F283" s="14"/>
      <c r="G283" s="14"/>
      <c r="H283" s="5"/>
      <c r="I283" s="5"/>
      <c r="J283" s="5"/>
      <c r="P283" s="249"/>
      <c r="Q283" s="246"/>
      <c r="R283" s="223"/>
      <c r="S283" s="27"/>
      <c r="T283" s="14"/>
      <c r="V283" s="10"/>
    </row>
    <row r="284" spans="1:22" ht="18" hidden="1" customHeight="1">
      <c r="A284" s="9"/>
      <c r="B284" s="40"/>
      <c r="C284" s="14"/>
      <c r="D284" s="14"/>
      <c r="E284" s="14"/>
      <c r="F284" s="14"/>
      <c r="G284" s="14"/>
      <c r="H284" s="5"/>
      <c r="I284" s="5"/>
      <c r="J284" s="5"/>
      <c r="P284" s="249"/>
      <c r="Q284" s="246"/>
      <c r="R284" s="223"/>
      <c r="S284" s="27"/>
      <c r="T284" s="14"/>
      <c r="V284" s="10"/>
    </row>
    <row r="285" spans="1:22" ht="18" hidden="1" customHeight="1">
      <c r="A285" s="9"/>
      <c r="B285" s="40"/>
      <c r="C285" s="14"/>
      <c r="D285" s="14"/>
      <c r="E285" s="14"/>
      <c r="F285" s="14"/>
      <c r="G285" s="14"/>
      <c r="H285" s="5"/>
      <c r="I285" s="5"/>
      <c r="J285" s="5"/>
      <c r="P285" s="249"/>
      <c r="Q285" s="246"/>
      <c r="R285" s="223"/>
      <c r="S285" s="27"/>
      <c r="T285" s="14"/>
      <c r="V285" s="10"/>
    </row>
    <row r="286" spans="1:22" ht="18" hidden="1" customHeight="1">
      <c r="A286" s="9"/>
      <c r="B286" s="40"/>
      <c r="C286" s="14"/>
      <c r="D286" s="14"/>
      <c r="E286" s="14"/>
      <c r="F286" s="14"/>
      <c r="G286" s="14"/>
      <c r="H286" s="5"/>
      <c r="I286" s="5"/>
      <c r="J286" s="5"/>
      <c r="P286" s="249"/>
      <c r="Q286" s="246"/>
      <c r="R286" s="223"/>
      <c r="S286" s="27"/>
      <c r="T286" s="14"/>
      <c r="V286" s="10"/>
    </row>
    <row r="287" spans="1:22" ht="18" hidden="1" customHeight="1">
      <c r="A287" s="9"/>
      <c r="B287" s="40"/>
      <c r="C287" s="14"/>
      <c r="D287" s="14"/>
      <c r="E287" s="14"/>
      <c r="F287" s="14"/>
      <c r="G287" s="14"/>
      <c r="H287" s="5"/>
      <c r="I287" s="5"/>
      <c r="J287" s="5"/>
      <c r="P287" s="249"/>
      <c r="Q287" s="246"/>
      <c r="R287" s="223"/>
      <c r="S287" s="27"/>
      <c r="T287" s="14"/>
      <c r="V287" s="10"/>
    </row>
    <row r="288" spans="1:22" s="7" customFormat="1" ht="18" hidden="1" customHeight="1">
      <c r="A288" s="395"/>
      <c r="B288" s="20"/>
      <c r="C288" s="20"/>
      <c r="D288" s="20"/>
      <c r="E288" s="20"/>
      <c r="F288" s="20"/>
      <c r="G288" s="20"/>
      <c r="H288" s="20"/>
      <c r="I288" s="20"/>
      <c r="J288" s="20"/>
      <c r="K288" s="20"/>
      <c r="L288" s="20"/>
      <c r="M288" s="20"/>
      <c r="N288" s="20"/>
      <c r="O288" s="20"/>
      <c r="P288" s="20"/>
      <c r="Q288" s="21"/>
      <c r="R288" s="22"/>
      <c r="S288" s="23"/>
      <c r="T288" s="20"/>
      <c r="U288" s="20"/>
      <c r="V288" s="140"/>
    </row>
    <row r="289" spans="1:22" ht="18" hidden="1" customHeight="1">
      <c r="A289" s="396" t="s">
        <v>427</v>
      </c>
      <c r="B289" s="397"/>
      <c r="C289" s="397"/>
      <c r="D289" s="397"/>
      <c r="E289" s="397"/>
      <c r="F289" s="397"/>
      <c r="G289" s="397"/>
      <c r="H289" s="397"/>
      <c r="I289" s="397"/>
      <c r="J289" s="397"/>
      <c r="K289" s="397"/>
      <c r="L289" s="397"/>
      <c r="M289" s="397"/>
      <c r="N289" s="397"/>
      <c r="O289" s="397"/>
      <c r="P289" s="397"/>
      <c r="Q289" s="397"/>
      <c r="R289" s="397"/>
      <c r="S289" s="397"/>
      <c r="T289" s="397"/>
      <c r="U289" s="397"/>
      <c r="V289" s="408"/>
    </row>
    <row r="290" spans="1:22" ht="18" hidden="1" customHeight="1">
      <c r="A290" s="1006" t="s">
        <v>428</v>
      </c>
      <c r="B290" s="956"/>
      <c r="C290" s="956"/>
      <c r="D290" s="14"/>
      <c r="E290" s="7"/>
      <c r="F290" s="1011">
        <f>R275</f>
        <v>40000</v>
      </c>
      <c r="G290" s="1015"/>
      <c r="H290" s="861" t="s">
        <v>326</v>
      </c>
      <c r="I290" s="1013">
        <f>R278</f>
        <v>1</v>
      </c>
      <c r="J290" s="1014"/>
      <c r="K290" s="861" t="s">
        <v>326</v>
      </c>
      <c r="L290" s="1011" t="s">
        <v>430</v>
      </c>
      <c r="M290" s="968" t="str">
        <f>R280</f>
        <v>-</v>
      </c>
      <c r="N290" s="1017" t="s">
        <v>358</v>
      </c>
      <c r="O290" s="1018">
        <f>R281</f>
        <v>1.46186744</v>
      </c>
      <c r="P290" s="861" t="s">
        <v>358</v>
      </c>
      <c r="Q290" s="1010">
        <f>R282</f>
        <v>0.02</v>
      </c>
      <c r="R290" s="1010"/>
      <c r="S290" s="1010"/>
      <c r="T290" s="952" t="s">
        <v>361</v>
      </c>
      <c r="U290" s="242" t="s">
        <v>433</v>
      </c>
      <c r="V290" s="112"/>
    </row>
    <row r="291" spans="1:22" ht="18" hidden="1" customHeight="1">
      <c r="A291" s="1007"/>
      <c r="B291" s="956"/>
      <c r="C291" s="956"/>
      <c r="D291" s="14"/>
      <c r="E291" s="7"/>
      <c r="F291" s="1015"/>
      <c r="G291" s="1015"/>
      <c r="H291" s="861"/>
      <c r="I291" s="861" t="str">
        <f>R274</f>
        <v>-</v>
      </c>
      <c r="J291" s="1015"/>
      <c r="K291" s="861"/>
      <c r="L291" s="1011"/>
      <c r="M291" s="968"/>
      <c r="N291" s="1017"/>
      <c r="O291" s="968"/>
      <c r="P291" s="861"/>
      <c r="Q291" s="233">
        <f>R279</f>
        <v>1</v>
      </c>
      <c r="R291" s="233" t="s">
        <v>326</v>
      </c>
      <c r="S291" s="233">
        <f>R279</f>
        <v>1</v>
      </c>
      <c r="T291" s="952"/>
      <c r="U291" s="7"/>
      <c r="V291" s="112"/>
    </row>
    <row r="292" spans="1:22" ht="18" hidden="1" customHeight="1">
      <c r="A292" s="9"/>
      <c r="L292" s="442"/>
      <c r="V292" s="10"/>
    </row>
    <row r="293" spans="1:22" ht="18" hidden="1" customHeight="1">
      <c r="A293" s="9"/>
      <c r="C293" s="27" t="s">
        <v>138</v>
      </c>
      <c r="D293" s="798" t="e">
        <f>F290*(I290/I291)*(M290+O290+(Q290/(Q291*S291)))</f>
        <v>#VALUE!</v>
      </c>
      <c r="E293" s="799"/>
      <c r="F293" s="27" t="s">
        <v>316</v>
      </c>
      <c r="L293" s="442"/>
      <c r="V293" s="10"/>
    </row>
    <row r="294" spans="1:22" ht="18" hidden="1" customHeight="1">
      <c r="A294" s="9"/>
      <c r="L294" s="442"/>
      <c r="V294" s="10"/>
    </row>
    <row r="295" spans="1:22" ht="18" hidden="1" customHeight="1">
      <c r="A295" s="205" t="s">
        <v>455</v>
      </c>
      <c r="L295" s="442"/>
      <c r="V295" s="10"/>
    </row>
    <row r="296" spans="1:22" ht="18" hidden="1" customHeight="1">
      <c r="A296" s="1006" t="s">
        <v>428</v>
      </c>
      <c r="B296" s="956"/>
      <c r="C296" s="956"/>
      <c r="D296" s="861">
        <v>2</v>
      </c>
      <c r="E296" s="861" t="s">
        <v>326</v>
      </c>
      <c r="F296" s="1016">
        <f>R276</f>
        <v>19625.768379858539</v>
      </c>
      <c r="G296" s="1015"/>
      <c r="H296" s="861" t="s">
        <v>326</v>
      </c>
      <c r="I296" s="1013">
        <f>R278</f>
        <v>1</v>
      </c>
      <c r="J296" s="1014"/>
      <c r="K296" s="861" t="s">
        <v>326</v>
      </c>
      <c r="L296" s="1011" t="s">
        <v>430</v>
      </c>
      <c r="M296" s="968" t="str">
        <f>R280</f>
        <v>-</v>
      </c>
      <c r="N296" s="1017" t="s">
        <v>358</v>
      </c>
      <c r="O296" s="1018">
        <f>R281</f>
        <v>1.46186744</v>
      </c>
      <c r="P296" s="861" t="s">
        <v>358</v>
      </c>
      <c r="Q296" s="1010">
        <f>Q290</f>
        <v>0.02</v>
      </c>
      <c r="R296" s="1010"/>
      <c r="S296" s="1010"/>
      <c r="T296" s="952" t="s">
        <v>361</v>
      </c>
      <c r="U296" s="242" t="s">
        <v>437</v>
      </c>
      <c r="V296" s="112"/>
    </row>
    <row r="297" spans="1:22" ht="18" hidden="1" customHeight="1">
      <c r="A297" s="1007"/>
      <c r="B297" s="956"/>
      <c r="C297" s="956"/>
      <c r="D297" s="861"/>
      <c r="E297" s="861"/>
      <c r="F297" s="1015"/>
      <c r="G297" s="1015"/>
      <c r="H297" s="861"/>
      <c r="I297" s="861" t="str">
        <f>R274</f>
        <v>-</v>
      </c>
      <c r="J297" s="1015"/>
      <c r="K297" s="861"/>
      <c r="L297" s="1011"/>
      <c r="M297" s="968"/>
      <c r="N297" s="1017"/>
      <c r="O297" s="968"/>
      <c r="P297" s="861"/>
      <c r="Q297" s="233">
        <f>R279</f>
        <v>1</v>
      </c>
      <c r="R297" s="233" t="s">
        <v>326</v>
      </c>
      <c r="S297" s="233">
        <f>R279</f>
        <v>1</v>
      </c>
      <c r="T297" s="952"/>
      <c r="U297" s="7"/>
      <c r="V297" s="112"/>
    </row>
    <row r="298" spans="1:22" ht="18" hidden="1" customHeight="1">
      <c r="A298" s="9"/>
      <c r="L298" s="442"/>
      <c r="V298" s="10"/>
    </row>
    <row r="299" spans="1:22" ht="18" hidden="1" customHeight="1">
      <c r="A299" s="9"/>
      <c r="C299" s="27" t="s">
        <v>138</v>
      </c>
      <c r="D299" s="798" t="e">
        <f>D296*F296*(I296/I297)*(M296+O296+(Q296/(Q297*S297)))</f>
        <v>#VALUE!</v>
      </c>
      <c r="E299" s="799"/>
      <c r="F299" s="27" t="s">
        <v>316</v>
      </c>
      <c r="L299" s="442"/>
      <c r="V299" s="10"/>
    </row>
    <row r="300" spans="1:22" ht="18" hidden="1" customHeight="1">
      <c r="A300" s="9"/>
      <c r="L300" s="442"/>
      <c r="V300" s="10"/>
    </row>
    <row r="301" spans="1:22" ht="18" hidden="1" customHeight="1">
      <c r="A301" s="205" t="s">
        <v>456</v>
      </c>
      <c r="L301" s="442"/>
      <c r="V301" s="10"/>
    </row>
    <row r="302" spans="1:22" ht="18" hidden="1" customHeight="1">
      <c r="A302" s="1006" t="s">
        <v>428</v>
      </c>
      <c r="B302" s="956"/>
      <c r="C302" s="956"/>
      <c r="D302" s="861">
        <v>2</v>
      </c>
      <c r="E302" s="861" t="s">
        <v>326</v>
      </c>
      <c r="F302" s="1016">
        <f>R277</f>
        <v>21361.580727736164</v>
      </c>
      <c r="G302" s="1015"/>
      <c r="H302" s="861" t="s">
        <v>326</v>
      </c>
      <c r="I302" s="1013">
        <f>R278</f>
        <v>1</v>
      </c>
      <c r="J302" s="1014"/>
      <c r="K302" s="861" t="s">
        <v>326</v>
      </c>
      <c r="L302" s="1011" t="s">
        <v>430</v>
      </c>
      <c r="M302" s="968" t="str">
        <f>R280</f>
        <v>-</v>
      </c>
      <c r="N302" s="1017" t="s">
        <v>358</v>
      </c>
      <c r="O302" s="1018">
        <f>R281</f>
        <v>1.46186744</v>
      </c>
      <c r="P302" s="861" t="s">
        <v>358</v>
      </c>
      <c r="Q302" s="1010">
        <f>R282</f>
        <v>0.02</v>
      </c>
      <c r="R302" s="1010"/>
      <c r="S302" s="1010"/>
      <c r="T302" s="952" t="s">
        <v>361</v>
      </c>
      <c r="U302" s="242" t="s">
        <v>437</v>
      </c>
      <c r="V302" s="112"/>
    </row>
    <row r="303" spans="1:22" ht="18" hidden="1" customHeight="1">
      <c r="A303" s="1007"/>
      <c r="B303" s="956"/>
      <c r="C303" s="956"/>
      <c r="D303" s="861"/>
      <c r="E303" s="861"/>
      <c r="F303" s="1015"/>
      <c r="G303" s="1015"/>
      <c r="H303" s="861"/>
      <c r="I303" s="861" t="str">
        <f>R274</f>
        <v>-</v>
      </c>
      <c r="J303" s="1015"/>
      <c r="K303" s="861"/>
      <c r="L303" s="1011"/>
      <c r="M303" s="968"/>
      <c r="N303" s="1017"/>
      <c r="O303" s="968"/>
      <c r="P303" s="861"/>
      <c r="Q303" s="233">
        <f>R279</f>
        <v>1</v>
      </c>
      <c r="R303" s="233" t="s">
        <v>326</v>
      </c>
      <c r="S303" s="233">
        <f>R279</f>
        <v>1</v>
      </c>
      <c r="T303" s="952"/>
      <c r="U303" s="7"/>
      <c r="V303" s="112"/>
    </row>
    <row r="304" spans="1:22" ht="18" hidden="1" customHeight="1">
      <c r="A304" s="9"/>
      <c r="V304" s="10"/>
    </row>
    <row r="305" spans="1:22" ht="18" hidden="1" customHeight="1">
      <c r="A305" s="9"/>
      <c r="C305" s="27" t="s">
        <v>138</v>
      </c>
      <c r="D305" s="798" t="e">
        <f>D302*F302*(I302/I303)*(M302+O302+(Q302/(Q303*S303)))</f>
        <v>#VALUE!</v>
      </c>
      <c r="E305" s="799"/>
      <c r="F305" s="27" t="s">
        <v>316</v>
      </c>
      <c r="V305" s="10"/>
    </row>
    <row r="306" spans="1:22" ht="18" hidden="1" customHeight="1">
      <c r="A306" s="9"/>
      <c r="V306" s="10"/>
    </row>
    <row r="307" spans="1:22" ht="18" hidden="1" customHeight="1">
      <c r="A307" s="116" t="s">
        <v>457</v>
      </c>
      <c r="V307" s="10"/>
    </row>
    <row r="308" spans="1:22" ht="18" hidden="1" customHeight="1">
      <c r="A308" s="1002" t="s">
        <v>510</v>
      </c>
      <c r="B308" s="1003"/>
      <c r="C308" s="1003"/>
      <c r="D308" s="1003"/>
      <c r="E308" s="1003"/>
      <c r="F308" s="1003"/>
      <c r="G308" s="1003"/>
      <c r="H308" s="1003"/>
      <c r="I308" s="1003"/>
      <c r="J308" s="1003"/>
      <c r="K308" s="1003"/>
      <c r="L308" s="1003"/>
      <c r="M308" s="1003"/>
      <c r="N308" s="1003"/>
      <c r="O308" s="1003"/>
      <c r="P308" s="1003"/>
      <c r="Q308" s="1003"/>
      <c r="R308" s="1003"/>
      <c r="S308" s="1003"/>
      <c r="T308" s="1003"/>
      <c r="U308" s="1003"/>
      <c r="V308" s="1004"/>
    </row>
    <row r="309" spans="1:22" ht="18" hidden="1" customHeight="1">
      <c r="A309" s="1002"/>
      <c r="B309" s="1003"/>
      <c r="C309" s="1003"/>
      <c r="D309" s="1003"/>
      <c r="E309" s="1003"/>
      <c r="F309" s="1003"/>
      <c r="G309" s="1003"/>
      <c r="H309" s="1003"/>
      <c r="I309" s="1003"/>
      <c r="J309" s="1003"/>
      <c r="K309" s="1003"/>
      <c r="L309" s="1003"/>
      <c r="M309" s="1003"/>
      <c r="N309" s="1003"/>
      <c r="O309" s="1003"/>
      <c r="P309" s="1003"/>
      <c r="Q309" s="1003"/>
      <c r="R309" s="1003"/>
      <c r="S309" s="1003"/>
      <c r="T309" s="1003"/>
      <c r="U309" s="1003"/>
      <c r="V309" s="1004"/>
    </row>
    <row r="310" spans="1:22" ht="18" hidden="1" customHeight="1">
      <c r="A310" s="205" t="s">
        <v>427</v>
      </c>
      <c r="V310" s="10"/>
    </row>
    <row r="311" spans="1:22" ht="18" hidden="1" customHeight="1">
      <c r="A311" s="1006" t="s">
        <v>428</v>
      </c>
      <c r="B311" s="956"/>
      <c r="C311" s="956"/>
      <c r="D311" s="1008" t="s">
        <v>429</v>
      </c>
      <c r="E311" s="887"/>
      <c r="F311" s="638" t="s">
        <v>326</v>
      </c>
      <c r="G311" s="661" t="s">
        <v>447</v>
      </c>
      <c r="H311" s="957"/>
      <c r="I311" s="638" t="s">
        <v>326</v>
      </c>
      <c r="J311" s="1038" t="s">
        <v>146</v>
      </c>
      <c r="K311" s="638" t="s">
        <v>326</v>
      </c>
      <c r="L311" s="1008" t="s">
        <v>430</v>
      </c>
      <c r="M311" s="638" t="s">
        <v>451</v>
      </c>
      <c r="N311" s="958" t="s">
        <v>358</v>
      </c>
      <c r="O311" s="638" t="s">
        <v>458</v>
      </c>
      <c r="P311" s="638" t="s">
        <v>358</v>
      </c>
      <c r="Q311" s="953" t="s">
        <v>459</v>
      </c>
      <c r="R311" s="1005"/>
      <c r="S311" s="1005"/>
      <c r="T311" s="952" t="s">
        <v>361</v>
      </c>
      <c r="U311" s="242" t="s">
        <v>433</v>
      </c>
      <c r="V311" s="112"/>
    </row>
    <row r="312" spans="1:22" ht="18" hidden="1" customHeight="1">
      <c r="A312" s="1007"/>
      <c r="B312" s="956"/>
      <c r="C312" s="956"/>
      <c r="D312" s="887"/>
      <c r="E312" s="887"/>
      <c r="F312" s="638"/>
      <c r="G312" s="638" t="s">
        <v>441</v>
      </c>
      <c r="H312" s="887"/>
      <c r="I312" s="638"/>
      <c r="J312" s="638"/>
      <c r="K312" s="638"/>
      <c r="L312" s="1008"/>
      <c r="M312" s="638"/>
      <c r="N312" s="958"/>
      <c r="O312" s="638"/>
      <c r="P312" s="638"/>
      <c r="Q312" s="28" t="s">
        <v>449</v>
      </c>
      <c r="R312" s="28" t="s">
        <v>326</v>
      </c>
      <c r="S312" s="28" t="s">
        <v>449</v>
      </c>
      <c r="T312" s="952"/>
      <c r="U312" s="7"/>
      <c r="V312" s="112"/>
    </row>
    <row r="313" spans="1:22" ht="18" hidden="1" customHeight="1">
      <c r="A313" s="205" t="s">
        <v>460</v>
      </c>
      <c r="L313" s="442"/>
      <c r="M313" s="438"/>
      <c r="N313" s="438"/>
      <c r="O313" s="438"/>
      <c r="V313" s="10"/>
    </row>
    <row r="314" spans="1:22" ht="18" hidden="1" customHeight="1">
      <c r="A314" s="1006" t="s">
        <v>428</v>
      </c>
      <c r="B314" s="956"/>
      <c r="C314" s="956"/>
      <c r="D314" s="1008" t="s">
        <v>461</v>
      </c>
      <c r="E314" s="887"/>
      <c r="F314" s="638" t="s">
        <v>326</v>
      </c>
      <c r="G314" s="661" t="s">
        <v>447</v>
      </c>
      <c r="H314" s="957"/>
      <c r="I314" s="638" t="s">
        <v>326</v>
      </c>
      <c r="J314" s="1038" t="s">
        <v>462</v>
      </c>
      <c r="K314" s="638" t="s">
        <v>326</v>
      </c>
      <c r="L314" s="1008" t="s">
        <v>430</v>
      </c>
      <c r="M314" s="638" t="s">
        <v>451</v>
      </c>
      <c r="N314" s="958" t="s">
        <v>358</v>
      </c>
      <c r="O314" s="638" t="s">
        <v>458</v>
      </c>
      <c r="P314" s="638" t="s">
        <v>358</v>
      </c>
      <c r="Q314" s="953" t="s">
        <v>459</v>
      </c>
      <c r="R314" s="1005"/>
      <c r="S314" s="1005"/>
      <c r="T314" s="952" t="s">
        <v>361</v>
      </c>
      <c r="U314" s="242" t="s">
        <v>437</v>
      </c>
      <c r="V314" s="112"/>
    </row>
    <row r="315" spans="1:22" ht="18" hidden="1" customHeight="1">
      <c r="A315" s="1007"/>
      <c r="B315" s="956"/>
      <c r="C315" s="956"/>
      <c r="D315" s="887"/>
      <c r="E315" s="887"/>
      <c r="F315" s="638"/>
      <c r="G315" s="638" t="s">
        <v>441</v>
      </c>
      <c r="H315" s="887"/>
      <c r="I315" s="638"/>
      <c r="J315" s="638"/>
      <c r="K315" s="638"/>
      <c r="L315" s="1008"/>
      <c r="M315" s="638"/>
      <c r="N315" s="958"/>
      <c r="O315" s="638"/>
      <c r="P315" s="638"/>
      <c r="Q315" s="28" t="s">
        <v>449</v>
      </c>
      <c r="R315" s="28" t="s">
        <v>326</v>
      </c>
      <c r="S315" s="28" t="s">
        <v>449</v>
      </c>
      <c r="T315" s="952"/>
      <c r="U315" s="7"/>
      <c r="V315" s="112"/>
    </row>
    <row r="316" spans="1:22" ht="18" hidden="1" customHeight="1">
      <c r="A316" s="9"/>
      <c r="V316" s="10"/>
    </row>
    <row r="317" spans="1:22" ht="18" hidden="1" customHeight="1">
      <c r="A317" s="9"/>
      <c r="B317" s="14" t="s">
        <v>438</v>
      </c>
      <c r="P317" s="120" t="s">
        <v>439</v>
      </c>
      <c r="V317" s="10"/>
    </row>
    <row r="318" spans="1:22" ht="18" hidden="1" customHeight="1">
      <c r="A318" s="9"/>
      <c r="B318" s="14" t="s">
        <v>440</v>
      </c>
      <c r="P318" s="120" t="s">
        <v>441</v>
      </c>
      <c r="Q318" s="246" t="s">
        <v>138</v>
      </c>
      <c r="R318" s="639" t="str">
        <f>R274</f>
        <v>-</v>
      </c>
      <c r="S318" s="639"/>
      <c r="T318" s="14" t="s">
        <v>9</v>
      </c>
      <c r="V318" s="10"/>
    </row>
    <row r="319" spans="1:22" ht="18" hidden="1" customHeight="1">
      <c r="A319" s="9"/>
      <c r="B319" s="14" t="s">
        <v>442</v>
      </c>
      <c r="P319" s="120" t="s">
        <v>429</v>
      </c>
      <c r="Q319" s="246" t="s">
        <v>138</v>
      </c>
      <c r="R319" s="639">
        <f>R275</f>
        <v>40000</v>
      </c>
      <c r="S319" s="639"/>
      <c r="T319" s="14" t="s">
        <v>9</v>
      </c>
      <c r="V319" s="10"/>
    </row>
    <row r="320" spans="1:22" ht="18" hidden="1" customHeight="1">
      <c r="A320" s="9"/>
      <c r="B320" s="14" t="s">
        <v>463</v>
      </c>
      <c r="P320" s="120" t="s">
        <v>461</v>
      </c>
      <c r="Q320" s="246" t="s">
        <v>138</v>
      </c>
      <c r="R320" s="873">
        <f>R196</f>
        <v>22086.904410813047</v>
      </c>
      <c r="S320" s="639"/>
      <c r="T320" s="14" t="s">
        <v>9</v>
      </c>
      <c r="U320" s="30" t="s">
        <v>444</v>
      </c>
      <c r="V320" s="10"/>
    </row>
    <row r="321" spans="1:22" ht="18" hidden="1" customHeight="1">
      <c r="A321" s="9"/>
      <c r="B321" s="14"/>
      <c r="P321" s="120"/>
      <c r="Q321" s="246" t="s">
        <v>138</v>
      </c>
      <c r="R321" s="873">
        <f>R197</f>
        <v>23819.814378888525</v>
      </c>
      <c r="S321" s="639"/>
      <c r="T321" s="14" t="s">
        <v>9</v>
      </c>
      <c r="U321" s="30" t="s">
        <v>445</v>
      </c>
      <c r="V321" s="10"/>
    </row>
    <row r="322" spans="1:22" ht="18" hidden="1" customHeight="1">
      <c r="A322" s="9"/>
      <c r="B322" s="14" t="s">
        <v>464</v>
      </c>
      <c r="P322" s="120" t="s">
        <v>447</v>
      </c>
      <c r="Q322" s="246" t="s">
        <v>138</v>
      </c>
      <c r="R322" s="639">
        <f>R278</f>
        <v>1</v>
      </c>
      <c r="S322" s="639"/>
      <c r="T322" s="14" t="s">
        <v>9</v>
      </c>
      <c r="V322" s="10"/>
    </row>
    <row r="323" spans="1:22" ht="18" hidden="1" customHeight="1">
      <c r="A323" s="9"/>
      <c r="B323" s="14" t="s">
        <v>448</v>
      </c>
      <c r="P323" s="120" t="s">
        <v>449</v>
      </c>
      <c r="Q323" s="246" t="s">
        <v>138</v>
      </c>
      <c r="R323" s="639">
        <f>R279</f>
        <v>1</v>
      </c>
      <c r="S323" s="639"/>
      <c r="T323" s="14" t="s">
        <v>9</v>
      </c>
      <c r="V323" s="10"/>
    </row>
    <row r="324" spans="1:22" ht="18" hidden="1" customHeight="1">
      <c r="A324" s="9"/>
      <c r="B324" s="14" t="s">
        <v>450</v>
      </c>
      <c r="P324" s="120" t="s">
        <v>451</v>
      </c>
      <c r="Q324" s="246" t="s">
        <v>138</v>
      </c>
      <c r="R324" s="639" t="str">
        <f>L251</f>
        <v>-</v>
      </c>
      <c r="S324" s="639"/>
      <c r="T324" s="204" t="s">
        <v>344</v>
      </c>
      <c r="V324" s="10"/>
    </row>
    <row r="325" spans="1:22" ht="18" hidden="1" customHeight="1">
      <c r="A325" s="9"/>
      <c r="B325" s="14" t="s">
        <v>465</v>
      </c>
      <c r="P325" s="249" t="s">
        <v>452</v>
      </c>
      <c r="Q325" s="246" t="s">
        <v>138</v>
      </c>
      <c r="R325" s="637">
        <f>R281</f>
        <v>1.46186744</v>
      </c>
      <c r="S325" s="639"/>
      <c r="T325" s="204" t="s">
        <v>344</v>
      </c>
      <c r="V325" s="10"/>
    </row>
    <row r="326" spans="1:22" ht="18" hidden="1" customHeight="1">
      <c r="A326" s="9"/>
      <c r="B326" s="40" t="s">
        <v>453</v>
      </c>
      <c r="P326" s="249" t="s">
        <v>454</v>
      </c>
      <c r="Q326" s="246" t="s">
        <v>138</v>
      </c>
      <c r="R326" s="637">
        <f>R282</f>
        <v>0.02</v>
      </c>
      <c r="S326" s="639"/>
      <c r="T326" s="14" t="s">
        <v>168</v>
      </c>
      <c r="V326" s="10"/>
    </row>
    <row r="327" spans="1:22" ht="18" hidden="1" customHeight="1">
      <c r="A327" s="9"/>
      <c r="B327" s="40"/>
      <c r="P327" s="249"/>
      <c r="Q327" s="246"/>
      <c r="R327" s="223"/>
      <c r="S327" s="27"/>
      <c r="T327" s="14"/>
      <c r="V327" s="10"/>
    </row>
    <row r="328" spans="1:22" ht="18" hidden="1" customHeight="1">
      <c r="A328" s="9"/>
      <c r="B328" s="40"/>
      <c r="P328" s="249"/>
      <c r="Q328" s="246"/>
      <c r="R328" s="223"/>
      <c r="S328" s="27"/>
      <c r="T328" s="14"/>
      <c r="V328" s="10"/>
    </row>
    <row r="329" spans="1:22" ht="18" hidden="1" customHeight="1">
      <c r="A329" s="9"/>
      <c r="B329" s="40"/>
      <c r="P329" s="249"/>
      <c r="Q329" s="246"/>
      <c r="R329" s="223"/>
      <c r="S329" s="27"/>
      <c r="T329" s="14"/>
      <c r="V329" s="10"/>
    </row>
    <row r="330" spans="1:22" ht="18" hidden="1" customHeight="1">
      <c r="A330" s="9"/>
      <c r="B330" s="40"/>
      <c r="P330" s="249"/>
      <c r="Q330" s="246"/>
      <c r="R330" s="223"/>
      <c r="S330" s="27"/>
      <c r="T330" s="14"/>
      <c r="V330" s="10"/>
    </row>
    <row r="331" spans="1:22" ht="18" hidden="1" customHeight="1">
      <c r="A331" s="9"/>
      <c r="B331" s="40"/>
      <c r="P331" s="249"/>
      <c r="Q331" s="246"/>
      <c r="R331" s="223"/>
      <c r="S331" s="27"/>
      <c r="T331" s="14"/>
      <c r="V331" s="10"/>
    </row>
    <row r="332" spans="1:22" s="7" customFormat="1" ht="18" hidden="1" customHeight="1">
      <c r="A332" s="395"/>
      <c r="B332" s="20"/>
      <c r="C332" s="20"/>
      <c r="D332" s="20"/>
      <c r="E332" s="20"/>
      <c r="F332" s="20"/>
      <c r="G332" s="20"/>
      <c r="H332" s="20"/>
      <c r="I332" s="20"/>
      <c r="J332" s="20"/>
      <c r="K332" s="20"/>
      <c r="L332" s="20"/>
      <c r="M332" s="20"/>
      <c r="N332" s="20"/>
      <c r="O332" s="20"/>
      <c r="P332" s="20"/>
      <c r="Q332" s="21"/>
      <c r="R332" s="22"/>
      <c r="S332" s="23"/>
      <c r="T332" s="20"/>
      <c r="U332" s="20"/>
      <c r="V332" s="140"/>
    </row>
    <row r="333" spans="1:22" ht="18" hidden="1" customHeight="1">
      <c r="A333" s="444" t="s">
        <v>466</v>
      </c>
      <c r="B333" s="445"/>
      <c r="C333" s="446"/>
      <c r="D333" s="447"/>
      <c r="E333" s="446"/>
      <c r="F333" s="447"/>
      <c r="G333" s="447"/>
      <c r="H333" s="445"/>
      <c r="I333" s="445"/>
      <c r="J333" s="445"/>
      <c r="K333" s="448"/>
      <c r="L333" s="448"/>
      <c r="M333" s="111"/>
      <c r="N333" s="447"/>
      <c r="O333" s="447"/>
      <c r="P333" s="448"/>
      <c r="Q333" s="449"/>
      <c r="R333" s="111"/>
      <c r="S333" s="111"/>
      <c r="T333" s="111"/>
      <c r="U333" s="111"/>
      <c r="V333" s="147"/>
    </row>
    <row r="334" spans="1:22" ht="18" hidden="1" customHeight="1">
      <c r="A334" s="96" t="s">
        <v>467</v>
      </c>
      <c r="B334" s="164"/>
      <c r="C334" s="450"/>
      <c r="D334" s="389"/>
      <c r="E334" s="450"/>
      <c r="F334" s="389"/>
      <c r="G334" s="389"/>
      <c r="H334" s="164"/>
      <c r="I334" s="164"/>
      <c r="J334" s="164"/>
      <c r="K334" s="165"/>
      <c r="L334" s="165"/>
      <c r="M334" s="7"/>
      <c r="N334" s="389"/>
      <c r="O334" s="389"/>
      <c r="P334" s="165"/>
      <c r="Q334" s="451"/>
      <c r="R334" s="7"/>
      <c r="S334" s="7"/>
      <c r="T334" s="7"/>
      <c r="U334" s="7"/>
      <c r="V334" s="112"/>
    </row>
    <row r="335" spans="1:22" ht="18" hidden="1" customHeight="1">
      <c r="A335" s="409"/>
      <c r="B335" s="164"/>
      <c r="C335" s="450"/>
      <c r="D335" s="7"/>
      <c r="E335" s="7"/>
      <c r="F335" s="7"/>
      <c r="G335" s="389"/>
      <c r="H335" s="452" t="s">
        <v>468</v>
      </c>
      <c r="I335" s="14" t="s">
        <v>469</v>
      </c>
      <c r="J335" s="7"/>
      <c r="K335" s="28" t="s">
        <v>470</v>
      </c>
      <c r="L335" s="28" t="s">
        <v>146</v>
      </c>
      <c r="M335" s="453"/>
      <c r="N335" s="389"/>
      <c r="O335" s="389"/>
      <c r="P335" s="102" t="s">
        <v>138</v>
      </c>
      <c r="Q335" s="28">
        <v>1</v>
      </c>
      <c r="R335" s="7"/>
      <c r="S335" s="7"/>
      <c r="T335" s="7"/>
      <c r="U335" s="7"/>
      <c r="V335" s="112"/>
    </row>
    <row r="336" spans="1:22" ht="18" hidden="1" customHeight="1">
      <c r="A336" s="409"/>
      <c r="B336" s="164"/>
      <c r="C336" s="450"/>
      <c r="D336" s="7"/>
      <c r="E336" s="7"/>
      <c r="F336" s="7"/>
      <c r="G336" s="389"/>
      <c r="H336" s="452"/>
      <c r="I336" s="14"/>
      <c r="J336" s="7"/>
      <c r="K336" s="28"/>
      <c r="L336" s="28"/>
      <c r="M336" s="453"/>
      <c r="N336" s="389"/>
      <c r="O336" s="389"/>
      <c r="P336" s="102"/>
      <c r="Q336" s="28"/>
      <c r="R336" s="7"/>
      <c r="S336" s="7"/>
      <c r="T336" s="7"/>
      <c r="U336" s="7"/>
      <c r="V336" s="112"/>
    </row>
    <row r="337" spans="1:22" ht="18" hidden="1" customHeight="1">
      <c r="A337" s="96" t="s">
        <v>471</v>
      </c>
      <c r="B337" s="164"/>
      <c r="C337" s="450"/>
      <c r="D337" s="389"/>
      <c r="E337" s="450"/>
      <c r="F337" s="389"/>
      <c r="G337" s="389"/>
      <c r="H337" s="164"/>
      <c r="I337" s="7"/>
      <c r="J337" s="7"/>
      <c r="K337" s="121"/>
      <c r="L337" s="121"/>
      <c r="M337" s="7"/>
      <c r="N337" s="389"/>
      <c r="O337" s="389"/>
      <c r="P337" s="165"/>
      <c r="Q337" s="451"/>
      <c r="V337" s="10"/>
    </row>
    <row r="338" spans="1:22" ht="18" hidden="1" customHeight="1">
      <c r="A338" s="96" t="s">
        <v>472</v>
      </c>
      <c r="B338" s="164"/>
      <c r="C338" s="450"/>
      <c r="D338" s="389"/>
      <c r="E338" s="450"/>
      <c r="F338" s="389"/>
      <c r="G338" s="389"/>
      <c r="H338" s="164"/>
      <c r="I338" s="7"/>
      <c r="J338" s="7"/>
      <c r="K338" s="121"/>
      <c r="L338" s="121"/>
      <c r="M338" s="7"/>
      <c r="N338" s="389"/>
      <c r="O338" s="389"/>
      <c r="P338" s="165"/>
      <c r="Q338" s="451"/>
      <c r="V338" s="10"/>
    </row>
    <row r="339" spans="1:22" ht="18" hidden="1" customHeight="1">
      <c r="A339" s="409"/>
      <c r="B339" s="164"/>
      <c r="C339" s="450"/>
      <c r="D339" s="7"/>
      <c r="E339" s="7"/>
      <c r="F339" s="7"/>
      <c r="G339" s="389"/>
      <c r="H339" s="452" t="s">
        <v>468</v>
      </c>
      <c r="I339" s="14" t="s">
        <v>473</v>
      </c>
      <c r="J339" s="7"/>
      <c r="K339" s="28" t="s">
        <v>470</v>
      </c>
      <c r="L339" s="28" t="s">
        <v>462</v>
      </c>
      <c r="M339" s="453"/>
      <c r="N339" s="389"/>
      <c r="O339" s="389"/>
      <c r="P339" s="102" t="s">
        <v>138</v>
      </c>
      <c r="Q339" s="28">
        <v>3</v>
      </c>
      <c r="V339" s="10"/>
    </row>
    <row r="340" spans="1:22" ht="18" hidden="1" customHeight="1">
      <c r="A340" s="409"/>
      <c r="B340" s="164"/>
      <c r="C340" s="450"/>
      <c r="D340" s="7"/>
      <c r="E340" s="7"/>
      <c r="F340" s="7"/>
      <c r="G340" s="389"/>
      <c r="H340" s="452"/>
      <c r="I340" s="14"/>
      <c r="J340" s="7"/>
      <c r="K340" s="28"/>
      <c r="L340" s="28"/>
      <c r="M340" s="453"/>
      <c r="N340" s="389"/>
      <c r="O340" s="389"/>
      <c r="P340" s="102"/>
      <c r="Q340" s="28"/>
      <c r="V340" s="10"/>
    </row>
    <row r="341" spans="1:22" ht="18" hidden="1" customHeight="1">
      <c r="A341" s="9"/>
      <c r="V341" s="10"/>
    </row>
    <row r="342" spans="1:22" ht="18" hidden="1" customHeight="1">
      <c r="A342" s="205" t="s">
        <v>427</v>
      </c>
      <c r="V342" s="10"/>
    </row>
    <row r="343" spans="1:22" ht="18" hidden="1" customHeight="1">
      <c r="A343" s="114"/>
      <c r="B343" s="7"/>
      <c r="C343" s="7"/>
      <c r="D343" s="7"/>
      <c r="E343" s="7"/>
      <c r="F343" s="7"/>
      <c r="G343" s="14" t="s">
        <v>474</v>
      </c>
      <c r="H343" s="7"/>
      <c r="I343" s="7"/>
      <c r="J343" s="7"/>
      <c r="K343" s="28" t="s">
        <v>138</v>
      </c>
      <c r="L343" s="641">
        <f>L214</f>
        <v>159.09090909090909</v>
      </c>
      <c r="M343" s="638"/>
      <c r="N343" s="28" t="s">
        <v>475</v>
      </c>
      <c r="O343" s="28" t="s">
        <v>146</v>
      </c>
      <c r="P343" s="28" t="s">
        <v>138</v>
      </c>
      <c r="Q343" s="28">
        <f>IF(L343&lt;=400,Q335,Q336)</f>
        <v>1</v>
      </c>
      <c r="R343" s="7"/>
      <c r="S343" s="7"/>
      <c r="T343" s="7"/>
      <c r="V343" s="10"/>
    </row>
    <row r="344" spans="1:22" ht="18" hidden="1" customHeight="1">
      <c r="A344" s="1006" t="s">
        <v>428</v>
      </c>
      <c r="B344" s="956"/>
      <c r="C344" s="956"/>
      <c r="D344" s="1011">
        <f>R319</f>
        <v>40000</v>
      </c>
      <c r="E344" s="1019"/>
      <c r="F344" s="861" t="s">
        <v>326</v>
      </c>
      <c r="G344" s="1013">
        <f>R322</f>
        <v>1</v>
      </c>
      <c r="H344" s="1020"/>
      <c r="I344" s="861" t="s">
        <v>326</v>
      </c>
      <c r="J344" s="862">
        <f>Q343</f>
        <v>1</v>
      </c>
      <c r="K344" s="861" t="s">
        <v>326</v>
      </c>
      <c r="L344" s="1011" t="s">
        <v>430</v>
      </c>
      <c r="M344" s="968" t="str">
        <f>R324</f>
        <v>-</v>
      </c>
      <c r="N344" s="1017" t="s">
        <v>358</v>
      </c>
      <c r="O344" s="1018">
        <f>R325</f>
        <v>1.46186744</v>
      </c>
      <c r="P344" s="861" t="s">
        <v>358</v>
      </c>
      <c r="Q344" s="1010">
        <f>R326</f>
        <v>0.02</v>
      </c>
      <c r="R344" s="1010"/>
      <c r="S344" s="1010"/>
      <c r="T344" s="952" t="s">
        <v>361</v>
      </c>
      <c r="U344" s="242" t="s">
        <v>433</v>
      </c>
      <c r="V344" s="112"/>
    </row>
    <row r="345" spans="1:22" ht="18" hidden="1" customHeight="1">
      <c r="A345" s="1007"/>
      <c r="B345" s="956"/>
      <c r="C345" s="956"/>
      <c r="D345" s="1019"/>
      <c r="E345" s="1019"/>
      <c r="F345" s="861"/>
      <c r="G345" s="861" t="str">
        <f>R318</f>
        <v>-</v>
      </c>
      <c r="H345" s="1019"/>
      <c r="I345" s="861"/>
      <c r="J345" s="861"/>
      <c r="K345" s="861"/>
      <c r="L345" s="1011"/>
      <c r="M345" s="968"/>
      <c r="N345" s="1017"/>
      <c r="O345" s="968"/>
      <c r="P345" s="861"/>
      <c r="Q345" s="233">
        <f>R323</f>
        <v>1</v>
      </c>
      <c r="R345" s="233" t="s">
        <v>326</v>
      </c>
      <c r="S345" s="233">
        <f>R323</f>
        <v>1</v>
      </c>
      <c r="T345" s="952"/>
      <c r="U345" s="7"/>
      <c r="V345" s="112"/>
    </row>
    <row r="346" spans="1:22" ht="18" hidden="1" customHeight="1">
      <c r="A346" s="9"/>
      <c r="V346" s="10"/>
    </row>
    <row r="347" spans="1:22" ht="18" hidden="1" customHeight="1">
      <c r="A347" s="9"/>
      <c r="C347" s="27" t="s">
        <v>138</v>
      </c>
      <c r="D347" s="797" t="e">
        <f>D344*(G344/G345)*J344*(M344+O344+(Q344/(Q345*S345)))</f>
        <v>#VALUE!</v>
      </c>
      <c r="E347" s="645"/>
      <c r="F347" s="27" t="s">
        <v>316</v>
      </c>
      <c r="V347" s="10"/>
    </row>
    <row r="348" spans="1:22" ht="18" hidden="1" customHeight="1">
      <c r="A348" s="9"/>
      <c r="V348" s="10"/>
    </row>
    <row r="349" spans="1:22" ht="18" hidden="1" customHeight="1">
      <c r="A349" s="205" t="s">
        <v>476</v>
      </c>
      <c r="V349" s="10"/>
    </row>
    <row r="350" spans="1:22" ht="18" hidden="1" customHeight="1">
      <c r="A350" s="9"/>
      <c r="E350" s="30" t="s">
        <v>477</v>
      </c>
      <c r="K350" s="27" t="s">
        <v>138</v>
      </c>
      <c r="L350" s="637">
        <f>L221</f>
        <v>6.7473490103646627</v>
      </c>
      <c r="M350" s="639"/>
      <c r="N350" s="27" t="s">
        <v>475</v>
      </c>
      <c r="O350" s="28" t="s">
        <v>462</v>
      </c>
      <c r="P350" s="27" t="s">
        <v>138</v>
      </c>
      <c r="Q350" s="27">
        <f>IF(L350&lt;=200,Q339,Q340)</f>
        <v>3</v>
      </c>
      <c r="V350" s="10"/>
    </row>
    <row r="351" spans="1:22" ht="18" hidden="1" customHeight="1">
      <c r="A351" s="1006" t="s">
        <v>428</v>
      </c>
      <c r="B351" s="956"/>
      <c r="C351" s="956"/>
      <c r="D351" s="1016">
        <f>R320</f>
        <v>22086.904410813047</v>
      </c>
      <c r="E351" s="1015"/>
      <c r="F351" s="861" t="s">
        <v>326</v>
      </c>
      <c r="G351" s="1013">
        <f>R322</f>
        <v>1</v>
      </c>
      <c r="H351" s="1014"/>
      <c r="I351" s="861" t="s">
        <v>326</v>
      </c>
      <c r="J351" s="1039">
        <f>Q350</f>
        <v>3</v>
      </c>
      <c r="K351" s="861" t="s">
        <v>326</v>
      </c>
      <c r="L351" s="1011" t="s">
        <v>430</v>
      </c>
      <c r="M351" s="968" t="str">
        <f>R324</f>
        <v>-</v>
      </c>
      <c r="N351" s="1017" t="s">
        <v>358</v>
      </c>
      <c r="O351" s="1018">
        <f>R325</f>
        <v>1.46186744</v>
      </c>
      <c r="P351" s="861" t="s">
        <v>358</v>
      </c>
      <c r="Q351" s="1010">
        <f>R326</f>
        <v>0.02</v>
      </c>
      <c r="R351" s="1010"/>
      <c r="S351" s="1010"/>
      <c r="T351" s="952" t="s">
        <v>361</v>
      </c>
      <c r="U351" s="242" t="s">
        <v>437</v>
      </c>
      <c r="V351" s="112"/>
    </row>
    <row r="352" spans="1:22" ht="18" hidden="1" customHeight="1">
      <c r="A352" s="1007"/>
      <c r="B352" s="956"/>
      <c r="C352" s="956"/>
      <c r="D352" s="1015"/>
      <c r="E352" s="1015"/>
      <c r="F352" s="861"/>
      <c r="G352" s="861" t="str">
        <f>R318</f>
        <v>-</v>
      </c>
      <c r="H352" s="1015"/>
      <c r="I352" s="861"/>
      <c r="J352" s="861"/>
      <c r="K352" s="861"/>
      <c r="L352" s="1011"/>
      <c r="M352" s="968"/>
      <c r="N352" s="1017"/>
      <c r="O352" s="968"/>
      <c r="P352" s="861"/>
      <c r="Q352" s="233">
        <f>R323</f>
        <v>1</v>
      </c>
      <c r="R352" s="233" t="s">
        <v>326</v>
      </c>
      <c r="S352" s="233">
        <f>R323</f>
        <v>1</v>
      </c>
      <c r="T352" s="952"/>
      <c r="U352" s="7"/>
      <c r="V352" s="112"/>
    </row>
    <row r="353" spans="1:22" ht="18" hidden="1" customHeight="1">
      <c r="A353" s="9"/>
      <c r="V353" s="10"/>
    </row>
    <row r="354" spans="1:22" ht="18" hidden="1" customHeight="1">
      <c r="A354" s="9"/>
      <c r="C354" s="27" t="s">
        <v>138</v>
      </c>
      <c r="D354" s="797" t="e">
        <f>D351*(G351/G352)*J351*(M351+O351+(Q351/(Q352*S352)))</f>
        <v>#VALUE!</v>
      </c>
      <c r="E354" s="645"/>
      <c r="F354" s="27" t="s">
        <v>316</v>
      </c>
      <c r="V354" s="10"/>
    </row>
    <row r="355" spans="1:22" ht="18" hidden="1" customHeight="1">
      <c r="A355" s="9"/>
      <c r="V355" s="10"/>
    </row>
    <row r="356" spans="1:22" ht="18" hidden="1" customHeight="1">
      <c r="A356" s="205" t="s">
        <v>478</v>
      </c>
      <c r="V356" s="10"/>
    </row>
    <row r="357" spans="1:22" ht="18" hidden="1" customHeight="1">
      <c r="A357" s="9"/>
      <c r="E357" s="30" t="s">
        <v>479</v>
      </c>
      <c r="K357" s="27" t="s">
        <v>138</v>
      </c>
      <c r="L357" s="637">
        <f>L228</f>
        <v>6.9289372966517959</v>
      </c>
      <c r="M357" s="639"/>
      <c r="N357" s="27" t="s">
        <v>475</v>
      </c>
      <c r="O357" s="28" t="s">
        <v>462</v>
      </c>
      <c r="P357" s="27" t="s">
        <v>138</v>
      </c>
      <c r="Q357" s="27">
        <f>IF(L357&lt;=30,Q339,Q340)</f>
        <v>3</v>
      </c>
      <c r="V357" s="10"/>
    </row>
    <row r="358" spans="1:22" ht="18" hidden="1" customHeight="1">
      <c r="A358" s="1006" t="s">
        <v>428</v>
      </c>
      <c r="B358" s="956"/>
      <c r="C358" s="956"/>
      <c r="D358" s="1016">
        <f>R321</f>
        <v>23819.814378888525</v>
      </c>
      <c r="E358" s="1015"/>
      <c r="F358" s="861" t="s">
        <v>326</v>
      </c>
      <c r="G358" s="1013">
        <f>R322</f>
        <v>1</v>
      </c>
      <c r="H358" s="1014"/>
      <c r="I358" s="861" t="s">
        <v>326</v>
      </c>
      <c r="J358" s="1039">
        <f>Q357</f>
        <v>3</v>
      </c>
      <c r="K358" s="861" t="s">
        <v>326</v>
      </c>
      <c r="L358" s="1011" t="s">
        <v>430</v>
      </c>
      <c r="M358" s="968" t="str">
        <f>R324</f>
        <v>-</v>
      </c>
      <c r="N358" s="1017" t="s">
        <v>358</v>
      </c>
      <c r="O358" s="1018">
        <f>R325</f>
        <v>1.46186744</v>
      </c>
      <c r="P358" s="861" t="s">
        <v>358</v>
      </c>
      <c r="Q358" s="1010">
        <f>R326</f>
        <v>0.02</v>
      </c>
      <c r="R358" s="1010"/>
      <c r="S358" s="1010"/>
      <c r="T358" s="952" t="s">
        <v>361</v>
      </c>
      <c r="U358" s="242" t="s">
        <v>437</v>
      </c>
      <c r="V358" s="112"/>
    </row>
    <row r="359" spans="1:22" ht="18" hidden="1" customHeight="1">
      <c r="A359" s="1007"/>
      <c r="B359" s="956"/>
      <c r="C359" s="956"/>
      <c r="D359" s="1015"/>
      <c r="E359" s="1015"/>
      <c r="F359" s="861"/>
      <c r="G359" s="861" t="str">
        <f>R318</f>
        <v>-</v>
      </c>
      <c r="H359" s="1015"/>
      <c r="I359" s="861"/>
      <c r="J359" s="861"/>
      <c r="K359" s="861"/>
      <c r="L359" s="1011"/>
      <c r="M359" s="968"/>
      <c r="N359" s="1017"/>
      <c r="O359" s="968"/>
      <c r="P359" s="861"/>
      <c r="Q359" s="233">
        <f>R323</f>
        <v>1</v>
      </c>
      <c r="R359" s="233" t="s">
        <v>326</v>
      </c>
      <c r="S359" s="233">
        <f>R323</f>
        <v>1</v>
      </c>
      <c r="T359" s="952"/>
      <c r="U359" s="7"/>
      <c r="V359" s="112"/>
    </row>
    <row r="360" spans="1:22" ht="18" hidden="1" customHeight="1">
      <c r="A360" s="9"/>
      <c r="D360" s="443"/>
      <c r="E360" s="443"/>
      <c r="F360" s="443"/>
      <c r="G360" s="443"/>
      <c r="H360" s="443"/>
      <c r="I360" s="443"/>
      <c r="J360" s="443"/>
      <c r="K360" s="443"/>
      <c r="L360" s="443"/>
      <c r="M360" s="443"/>
      <c r="N360" s="443"/>
      <c r="O360" s="443"/>
      <c r="P360" s="443"/>
      <c r="Q360" s="443"/>
      <c r="R360" s="443"/>
      <c r="S360" s="443"/>
      <c r="V360" s="10"/>
    </row>
    <row r="361" spans="1:22" ht="18" hidden="1" customHeight="1">
      <c r="A361" s="9"/>
      <c r="C361" s="27" t="s">
        <v>138</v>
      </c>
      <c r="D361" s="797" t="e">
        <f>D358*(G358/G359)*J358*(M358+O358+(Q358/(Q359*S359)))</f>
        <v>#VALUE!</v>
      </c>
      <c r="E361" s="645"/>
      <c r="F361" s="27" t="s">
        <v>316</v>
      </c>
      <c r="V361" s="10"/>
    </row>
    <row r="362" spans="1:22" ht="18" hidden="1" customHeight="1">
      <c r="A362" s="9"/>
      <c r="V362" s="10"/>
    </row>
    <row r="363" spans="1:22" ht="18" hidden="1" customHeight="1">
      <c r="A363" s="196" t="s">
        <v>480</v>
      </c>
      <c r="M363" s="1044" t="str">
        <f>L249</f>
        <v>-</v>
      </c>
      <c r="N363" s="1045"/>
      <c r="O363" s="30" t="s">
        <v>481</v>
      </c>
      <c r="P363" s="30"/>
      <c r="Q363" s="1046" t="e">
        <f>MAX(D293,D299,D305,D347,D354,D361)</f>
        <v>#VALUE!</v>
      </c>
      <c r="R363" s="1022"/>
      <c r="S363" s="30" t="s">
        <v>316</v>
      </c>
      <c r="V363" s="10"/>
    </row>
    <row r="364" spans="1:22" ht="18" hidden="1" customHeight="1">
      <c r="A364" s="364" t="s">
        <v>482</v>
      </c>
      <c r="B364" s="7"/>
      <c r="C364" s="7"/>
      <c r="D364" s="454"/>
      <c r="E364" s="7"/>
      <c r="F364" s="7"/>
      <c r="G364" s="385"/>
      <c r="H364" s="7"/>
      <c r="J364" s="7"/>
      <c r="K364" s="7"/>
      <c r="L364" s="7"/>
      <c r="M364" s="7"/>
      <c r="N364" s="7"/>
      <c r="O364" s="7"/>
      <c r="P364" s="262"/>
      <c r="Q364" s="263"/>
      <c r="R364" s="385"/>
      <c r="S364" s="7"/>
      <c r="V364" s="10"/>
    </row>
    <row r="365" spans="1:22" ht="18" hidden="1" customHeight="1">
      <c r="A365" s="96" t="s">
        <v>511</v>
      </c>
      <c r="V365" s="10"/>
    </row>
    <row r="366" spans="1:22" ht="18" hidden="1" customHeight="1">
      <c r="A366" s="9"/>
      <c r="N366" s="7"/>
      <c r="O366" s="28" t="s">
        <v>484</v>
      </c>
      <c r="P366" s="102" t="s">
        <v>138</v>
      </c>
      <c r="Q366" s="906" t="s">
        <v>485</v>
      </c>
      <c r="R366" s="906"/>
      <c r="S366" s="28" t="s">
        <v>326</v>
      </c>
      <c r="T366" s="28">
        <v>0.8</v>
      </c>
      <c r="V366" s="10"/>
    </row>
    <row r="367" spans="1:22" ht="18" hidden="1" customHeight="1">
      <c r="A367" s="9"/>
      <c r="N367" s="264"/>
      <c r="O367" s="28"/>
      <c r="P367" s="102" t="s">
        <v>138</v>
      </c>
      <c r="Q367" s="1026" t="e">
        <f>+Q363</f>
        <v>#VALUE!</v>
      </c>
      <c r="R367" s="661"/>
      <c r="S367" s="234" t="s">
        <v>326</v>
      </c>
      <c r="T367" s="265">
        <f>+T366</f>
        <v>0.8</v>
      </c>
      <c r="V367" s="10"/>
    </row>
    <row r="368" spans="1:22" ht="18" hidden="1" customHeight="1">
      <c r="A368" s="9"/>
      <c r="O368" s="28"/>
      <c r="P368" s="28" t="s">
        <v>138</v>
      </c>
      <c r="Q368" s="1027" t="e">
        <f>Q367*T367</f>
        <v>#VALUE!</v>
      </c>
      <c r="R368" s="707"/>
      <c r="S368" s="28" t="s">
        <v>316</v>
      </c>
      <c r="T368" s="28"/>
      <c r="V368" s="10"/>
    </row>
    <row r="369" spans="1:22" ht="18" hidden="1" customHeight="1">
      <c r="A369" s="9"/>
      <c r="D369" s="30" t="s">
        <v>486</v>
      </c>
      <c r="G369" s="27" t="e">
        <f>IF(E370&gt;H370,"&gt;","&lt;")</f>
        <v>#VALUE!</v>
      </c>
      <c r="H369" s="30" t="s">
        <v>488</v>
      </c>
      <c r="V369" s="10"/>
    </row>
    <row r="370" spans="1:22" ht="18" hidden="1" customHeight="1">
      <c r="A370" s="9"/>
      <c r="E370" s="639" t="str">
        <f>L252</f>
        <v>-</v>
      </c>
      <c r="F370" s="639"/>
      <c r="G370" s="27" t="e">
        <f>G369</f>
        <v>#VALUE!</v>
      </c>
      <c r="H370" s="637" t="e">
        <f>Q368</f>
        <v>#VALUE!</v>
      </c>
      <c r="I370" s="639"/>
      <c r="V370" s="10"/>
    </row>
    <row r="371" spans="1:22" ht="18" hidden="1" customHeight="1">
      <c r="A371" s="9"/>
      <c r="F371" s="256" t="s">
        <v>489</v>
      </c>
      <c r="H371" s="18" t="e">
        <f>IF(G369="&gt;","Suitably Dimensioned","Under Dimensioned")</f>
        <v>#VALUE!</v>
      </c>
      <c r="V371" s="10"/>
    </row>
    <row r="372" spans="1:22" ht="18" hidden="1" customHeight="1">
      <c r="A372" s="9"/>
      <c r="F372" s="256"/>
      <c r="H372" s="18"/>
      <c r="V372" s="10"/>
    </row>
    <row r="373" spans="1:22" ht="18" hidden="1" customHeight="1">
      <c r="A373" s="9"/>
      <c r="F373" s="256"/>
      <c r="H373" s="18"/>
      <c r="V373" s="10"/>
    </row>
    <row r="374" spans="1:22" ht="18" hidden="1" customHeight="1">
      <c r="A374" s="9"/>
      <c r="F374" s="256"/>
      <c r="H374" s="18"/>
      <c r="V374" s="10"/>
    </row>
    <row r="375" spans="1:22" ht="18" hidden="1" customHeight="1">
      <c r="A375" s="9"/>
      <c r="F375" s="256"/>
      <c r="H375" s="18"/>
      <c r="V375" s="10"/>
    </row>
    <row r="376" spans="1:22" ht="18" hidden="1" customHeight="1">
      <c r="A376" s="9"/>
      <c r="F376" s="256"/>
      <c r="H376" s="18"/>
      <c r="V376" s="10"/>
    </row>
    <row r="377" spans="1:22" s="7" customFormat="1" ht="18" customHeight="1">
      <c r="A377" s="395"/>
      <c r="B377" s="20"/>
      <c r="C377" s="20"/>
      <c r="D377" s="20"/>
      <c r="E377" s="20"/>
      <c r="F377" s="20"/>
      <c r="G377" s="20"/>
      <c r="H377" s="20"/>
      <c r="I377" s="20"/>
      <c r="J377" s="20"/>
      <c r="K377" s="20"/>
      <c r="L377" s="20"/>
      <c r="M377" s="20"/>
      <c r="N377" s="20"/>
      <c r="O377" s="20"/>
      <c r="P377" s="20"/>
      <c r="Q377" s="21"/>
      <c r="R377" s="22"/>
      <c r="S377" s="23"/>
      <c r="T377" s="20"/>
      <c r="U377" s="20"/>
      <c r="V377" s="140"/>
    </row>
    <row r="378" spans="1:22" ht="18" customHeight="1">
      <c r="A378" s="455"/>
      <c r="B378" s="397"/>
      <c r="C378" s="397"/>
      <c r="D378" s="397"/>
      <c r="E378" s="397"/>
      <c r="F378" s="397"/>
      <c r="G378" s="397"/>
      <c r="H378" s="397"/>
      <c r="I378" s="397"/>
      <c r="J378" s="397"/>
      <c r="K378" s="397"/>
      <c r="L378" s="397"/>
      <c r="M378" s="397"/>
      <c r="N378" s="397"/>
      <c r="O378" s="397"/>
      <c r="P378" s="397"/>
      <c r="Q378" s="397"/>
      <c r="R378" s="397"/>
      <c r="S378" s="397"/>
      <c r="T378" s="397"/>
      <c r="U378" s="397"/>
      <c r="V378" s="408"/>
    </row>
    <row r="379" spans="1:22" ht="18" customHeight="1">
      <c r="A379" s="274" t="s">
        <v>512</v>
      </c>
      <c r="B379" s="7"/>
      <c r="C379" s="7"/>
      <c r="D379" s="124"/>
      <c r="E379" s="124"/>
      <c r="F379" s="115"/>
      <c r="G379" s="115"/>
      <c r="H379" s="7"/>
      <c r="I379" s="7"/>
      <c r="J379" s="7"/>
      <c r="K379" s="7"/>
      <c r="L379" s="7"/>
      <c r="M379" s="7"/>
      <c r="N379" s="7"/>
      <c r="O379" s="7"/>
      <c r="P379" s="121"/>
      <c r="Q379" s="124"/>
      <c r="R379" s="385"/>
      <c r="S379" s="462"/>
      <c r="T379" s="463"/>
      <c r="U379" s="7"/>
      <c r="V379" s="112"/>
    </row>
    <row r="380" spans="1:22" ht="18" customHeight="1">
      <c r="A380" s="782" t="s">
        <v>97</v>
      </c>
      <c r="B380" s="782"/>
      <c r="C380" s="612"/>
      <c r="D380" s="782" t="s">
        <v>98</v>
      </c>
      <c r="E380" s="782"/>
      <c r="F380" s="782"/>
      <c r="G380" s="782" t="s">
        <v>99</v>
      </c>
      <c r="H380" s="782"/>
      <c r="I380" s="782" t="s">
        <v>100</v>
      </c>
      <c r="J380" s="782"/>
      <c r="K380" s="782" t="s">
        <v>513</v>
      </c>
      <c r="L380" s="782"/>
      <c r="M380" s="782" t="s">
        <v>514</v>
      </c>
      <c r="N380" s="782"/>
      <c r="O380" s="782" t="s">
        <v>515</v>
      </c>
      <c r="P380" s="782"/>
      <c r="Q380" s="782" t="s">
        <v>516</v>
      </c>
      <c r="R380" s="782"/>
      <c r="S380" s="782" t="s">
        <v>105</v>
      </c>
      <c r="T380" s="782"/>
      <c r="U380" s="782"/>
      <c r="V380" s="782"/>
    </row>
    <row r="381" spans="1:22" ht="18" customHeight="1">
      <c r="A381" s="782"/>
      <c r="B381" s="782"/>
      <c r="C381" s="612"/>
      <c r="D381" s="782"/>
      <c r="E381" s="782"/>
      <c r="F381" s="782"/>
      <c r="G381" s="782"/>
      <c r="H381" s="782"/>
      <c r="I381" s="782"/>
      <c r="J381" s="782"/>
      <c r="K381" s="782"/>
      <c r="L381" s="782"/>
      <c r="M381" s="782"/>
      <c r="N381" s="782"/>
      <c r="O381" s="782"/>
      <c r="P381" s="782"/>
      <c r="Q381" s="782"/>
      <c r="R381" s="782"/>
      <c r="S381" s="782"/>
      <c r="T381" s="782"/>
      <c r="U381" s="782"/>
      <c r="V381" s="782"/>
    </row>
    <row r="382" spans="1:22" ht="18" customHeight="1">
      <c r="A382" s="782"/>
      <c r="B382" s="782"/>
      <c r="C382" s="612"/>
      <c r="D382" s="782"/>
      <c r="E382" s="782"/>
      <c r="F382" s="782"/>
      <c r="G382" s="782"/>
      <c r="H382" s="782"/>
      <c r="I382" s="782"/>
      <c r="J382" s="782"/>
      <c r="K382" s="782"/>
      <c r="L382" s="782"/>
      <c r="M382" s="782"/>
      <c r="N382" s="782"/>
      <c r="O382" s="782"/>
      <c r="P382" s="782"/>
      <c r="Q382" s="782"/>
      <c r="R382" s="782"/>
      <c r="S382" s="782"/>
      <c r="T382" s="782"/>
      <c r="U382" s="782"/>
      <c r="V382" s="782"/>
    </row>
    <row r="383" spans="1:22" ht="18" customHeight="1">
      <c r="A383" s="782"/>
      <c r="B383" s="782"/>
      <c r="C383" s="612"/>
      <c r="D383" s="782"/>
      <c r="E383" s="782"/>
      <c r="F383" s="782"/>
      <c r="G383" s="782"/>
      <c r="H383" s="782"/>
      <c r="I383" s="782"/>
      <c r="J383" s="782"/>
      <c r="K383" s="782"/>
      <c r="L383" s="782"/>
      <c r="M383" s="782"/>
      <c r="N383" s="782"/>
      <c r="O383" s="782"/>
      <c r="P383" s="782"/>
      <c r="Q383" s="782"/>
      <c r="R383" s="782"/>
      <c r="S383" s="782"/>
      <c r="T383" s="782"/>
      <c r="U383" s="782"/>
      <c r="V383" s="782"/>
    </row>
    <row r="384" spans="1:22" ht="18" customHeight="1">
      <c r="A384" s="623" t="str">
        <f>B7</f>
        <v>T1</v>
      </c>
      <c r="B384" s="623" t="str">
        <f>D7</f>
        <v>Core1</v>
      </c>
      <c r="C384" s="623"/>
      <c r="D384" s="613">
        <f>H10</f>
        <v>2500</v>
      </c>
      <c r="E384" s="613"/>
      <c r="F384" s="624">
        <f>O10</f>
        <v>1</v>
      </c>
      <c r="G384" s="613">
        <f>'CT-VT Burdens'!S19</f>
        <v>80</v>
      </c>
      <c r="H384" s="783">
        <f>'CT-VT Burdens'!S10</f>
        <v>2.5</v>
      </c>
      <c r="I384" s="783" t="str">
        <f>H11</f>
        <v>PX-A</v>
      </c>
      <c r="J384" s="783"/>
      <c r="K384" s="612">
        <f>H12</f>
        <v>10</v>
      </c>
      <c r="L384" s="612"/>
      <c r="M384" s="612">
        <f>H13</f>
        <v>3000</v>
      </c>
      <c r="N384" s="612"/>
      <c r="O384" s="613">
        <f>H14</f>
        <v>50</v>
      </c>
      <c r="P384" s="613"/>
      <c r="Q384" s="629" t="str">
        <f>IF(T8="",T7,IF(T9="",T7&amp;"+"&amp;T8,T7&amp;"+"&amp;T8&amp;"+"&amp;T9))</f>
        <v>RED670</v>
      </c>
      <c r="R384" s="629"/>
      <c r="S384" s="628" t="str">
        <f>H123</f>
        <v>Suitably Dimensioned</v>
      </c>
      <c r="T384" s="628"/>
      <c r="U384" s="628"/>
      <c r="V384" s="628"/>
    </row>
    <row r="385" spans="1:22" ht="18" customHeight="1">
      <c r="A385" s="623"/>
      <c r="B385" s="623"/>
      <c r="C385" s="623"/>
      <c r="D385" s="613">
        <f>J10</f>
        <v>3000</v>
      </c>
      <c r="E385" s="613"/>
      <c r="F385" s="625"/>
      <c r="G385" s="613"/>
      <c r="H385" s="613"/>
      <c r="I385" s="783"/>
      <c r="J385" s="783"/>
      <c r="K385" s="785" t="s">
        <v>7</v>
      </c>
      <c r="L385" s="612"/>
      <c r="M385" s="785" t="s">
        <v>7</v>
      </c>
      <c r="N385" s="612"/>
      <c r="O385" s="786" t="s">
        <v>7</v>
      </c>
      <c r="P385" s="613"/>
      <c r="Q385" s="629"/>
      <c r="R385" s="629"/>
      <c r="S385" s="961" t="s">
        <v>7</v>
      </c>
      <c r="T385" s="628"/>
      <c r="U385" s="628"/>
      <c r="V385" s="628"/>
    </row>
    <row r="386" spans="1:22" ht="18" customHeight="1">
      <c r="A386" s="623"/>
      <c r="B386" s="623"/>
      <c r="C386" s="623"/>
      <c r="D386" s="613" t="str">
        <f>L10</f>
        <v>-</v>
      </c>
      <c r="E386" s="613"/>
      <c r="F386" s="626"/>
      <c r="G386" s="613"/>
      <c r="H386" s="613"/>
      <c r="I386" s="783"/>
      <c r="J386" s="783"/>
      <c r="K386" s="612" t="str">
        <f>L251</f>
        <v>-</v>
      </c>
      <c r="L386" s="612"/>
      <c r="M386" s="612" t="str">
        <f>L252</f>
        <v>-</v>
      </c>
      <c r="N386" s="612"/>
      <c r="O386" s="613" t="str">
        <f>L253</f>
        <v>-</v>
      </c>
      <c r="P386" s="613"/>
      <c r="Q386" s="629"/>
      <c r="R386" s="629"/>
      <c r="S386" s="628" t="s">
        <v>7</v>
      </c>
      <c r="T386" s="628"/>
      <c r="U386" s="628"/>
      <c r="V386" s="628"/>
    </row>
    <row r="387" spans="1:22" ht="18" customHeight="1">
      <c r="A387" s="9"/>
      <c r="V387" s="10"/>
    </row>
    <row r="388" spans="1:22" ht="18" customHeight="1">
      <c r="A388" s="9"/>
      <c r="V388" s="10"/>
    </row>
    <row r="389" spans="1:22" ht="18" customHeight="1">
      <c r="A389" s="9"/>
      <c r="V389" s="10"/>
    </row>
    <row r="390" spans="1:22" ht="18" customHeight="1">
      <c r="A390" s="9"/>
      <c r="V390" s="10"/>
    </row>
    <row r="391" spans="1:22" ht="18" customHeight="1">
      <c r="A391" s="9"/>
      <c r="V391" s="10"/>
    </row>
    <row r="392" spans="1:22" ht="18" customHeight="1">
      <c r="A392" s="9"/>
      <c r="V392" s="10"/>
    </row>
    <row r="393" spans="1:22" ht="18" customHeight="1">
      <c r="A393" s="9"/>
      <c r="V393" s="10"/>
    </row>
    <row r="394" spans="1:22" ht="18" customHeight="1">
      <c r="A394" s="9"/>
      <c r="V394" s="10"/>
    </row>
    <row r="395" spans="1:22" ht="18" customHeight="1">
      <c r="A395" s="9"/>
      <c r="V395" s="10"/>
    </row>
    <row r="396" spans="1:22" ht="18" customHeight="1">
      <c r="A396" s="9"/>
      <c r="V396" s="10"/>
    </row>
    <row r="397" spans="1:22" ht="18" customHeight="1">
      <c r="A397" s="9"/>
      <c r="V397" s="10"/>
    </row>
    <row r="398" spans="1:22" ht="18" customHeight="1">
      <c r="A398" s="9"/>
      <c r="V398" s="10"/>
    </row>
    <row r="399" spans="1:22" ht="18" customHeight="1">
      <c r="A399" s="9"/>
      <c r="V399" s="10"/>
    </row>
    <row r="400" spans="1:22" ht="18" customHeight="1">
      <c r="A400" s="9"/>
      <c r="V400" s="10"/>
    </row>
    <row r="401" spans="1:22" ht="18" customHeight="1">
      <c r="A401" s="9"/>
      <c r="V401" s="10"/>
    </row>
    <row r="402" spans="1:22" ht="18" customHeight="1">
      <c r="A402" s="9"/>
      <c r="V402" s="10"/>
    </row>
    <row r="403" spans="1:22" ht="18" customHeight="1">
      <c r="A403" s="9"/>
      <c r="V403" s="10"/>
    </row>
    <row r="404" spans="1:22" ht="18" customHeight="1">
      <c r="A404" s="9"/>
      <c r="V404" s="10"/>
    </row>
    <row r="405" spans="1:22" ht="18" customHeight="1">
      <c r="A405" s="9"/>
      <c r="V405" s="10"/>
    </row>
    <row r="406" spans="1:22" ht="18" customHeight="1">
      <c r="A406" s="9"/>
      <c r="V406" s="10"/>
    </row>
    <row r="407" spans="1:22" ht="18" customHeight="1">
      <c r="A407" s="9"/>
      <c r="V407" s="10"/>
    </row>
    <row r="408" spans="1:22" ht="18" customHeight="1">
      <c r="A408" s="9"/>
      <c r="V408" s="10"/>
    </row>
    <row r="409" spans="1:22" ht="18" customHeight="1">
      <c r="A409" s="9"/>
      <c r="V409" s="10"/>
    </row>
    <row r="410" spans="1:22" ht="18" customHeight="1">
      <c r="A410" s="9"/>
      <c r="V410" s="10"/>
    </row>
    <row r="411" spans="1:22" ht="18" customHeight="1">
      <c r="A411" s="9"/>
      <c r="V411" s="10"/>
    </row>
    <row r="412" spans="1:22" ht="18" customHeight="1">
      <c r="A412" s="9"/>
      <c r="V412" s="10"/>
    </row>
    <row r="413" spans="1:22" ht="18" customHeight="1">
      <c r="A413" s="9"/>
      <c r="V413" s="10"/>
    </row>
    <row r="414" spans="1:22" ht="18" customHeight="1">
      <c r="A414" s="9"/>
      <c r="V414" s="10"/>
    </row>
    <row r="415" spans="1:22" ht="18" customHeight="1">
      <c r="A415" s="9"/>
      <c r="V415" s="10"/>
    </row>
    <row r="416" spans="1:22" ht="18" customHeight="1">
      <c r="A416" s="9"/>
      <c r="V416" s="10"/>
    </row>
    <row r="417" spans="1:22" s="7" customFormat="1" ht="18" customHeight="1">
      <c r="A417" s="395"/>
      <c r="B417" s="20"/>
      <c r="C417" s="20"/>
      <c r="D417" s="20"/>
      <c r="E417" s="20"/>
      <c r="F417" s="20"/>
      <c r="G417" s="20"/>
      <c r="H417" s="20"/>
      <c r="I417" s="20"/>
      <c r="J417" s="20"/>
      <c r="K417" s="20"/>
      <c r="L417" s="20"/>
      <c r="M417" s="20"/>
      <c r="N417" s="20"/>
      <c r="O417" s="20"/>
      <c r="P417" s="20"/>
      <c r="Q417" s="21"/>
      <c r="R417" s="22"/>
      <c r="S417" s="23"/>
      <c r="T417" s="20"/>
      <c r="U417" s="20"/>
      <c r="V417" s="140"/>
    </row>
  </sheetData>
  <mergeCells count="664">
    <mergeCell ref="S380:V383"/>
    <mergeCell ref="A384:A386"/>
    <mergeCell ref="B384:C386"/>
    <mergeCell ref="D384:E384"/>
    <mergeCell ref="F384:F386"/>
    <mergeCell ref="G384:G386"/>
    <mergeCell ref="H384:H386"/>
    <mergeCell ref="D385:E385"/>
    <mergeCell ref="K385:L385"/>
    <mergeCell ref="M385:N385"/>
    <mergeCell ref="O385:P385"/>
    <mergeCell ref="S385:V385"/>
    <mergeCell ref="D386:E386"/>
    <mergeCell ref="K386:L386"/>
    <mergeCell ref="M386:N386"/>
    <mergeCell ref="O386:P386"/>
    <mergeCell ref="S386:V386"/>
    <mergeCell ref="I384:J386"/>
    <mergeCell ref="K384:L384"/>
    <mergeCell ref="M384:N384"/>
    <mergeCell ref="O384:P384"/>
    <mergeCell ref="Q384:R386"/>
    <mergeCell ref="S384:V384"/>
    <mergeCell ref="Q366:R366"/>
    <mergeCell ref="Q367:R367"/>
    <mergeCell ref="Q368:R368"/>
    <mergeCell ref="E370:F370"/>
    <mergeCell ref="H370:I370"/>
    <mergeCell ref="A380:C383"/>
    <mergeCell ref="D380:F383"/>
    <mergeCell ref="G380:H383"/>
    <mergeCell ref="I380:J383"/>
    <mergeCell ref="K380:L383"/>
    <mergeCell ref="M380:N383"/>
    <mergeCell ref="O380:P383"/>
    <mergeCell ref="Q380:R383"/>
    <mergeCell ref="D361:E361"/>
    <mergeCell ref="M363:N363"/>
    <mergeCell ref="Q363:R363"/>
    <mergeCell ref="K358:K359"/>
    <mergeCell ref="L358:L359"/>
    <mergeCell ref="M358:M359"/>
    <mergeCell ref="N358:N359"/>
    <mergeCell ref="O358:O359"/>
    <mergeCell ref="P358:P359"/>
    <mergeCell ref="A358:C359"/>
    <mergeCell ref="D358:E359"/>
    <mergeCell ref="F358:F359"/>
    <mergeCell ref="G358:H358"/>
    <mergeCell ref="I358:I359"/>
    <mergeCell ref="J358:J359"/>
    <mergeCell ref="P351:P352"/>
    <mergeCell ref="Q351:S351"/>
    <mergeCell ref="T351:T352"/>
    <mergeCell ref="G352:H352"/>
    <mergeCell ref="D354:E354"/>
    <mergeCell ref="L357:M357"/>
    <mergeCell ref="J351:J352"/>
    <mergeCell ref="K351:K352"/>
    <mergeCell ref="L351:L352"/>
    <mergeCell ref="M351:M352"/>
    <mergeCell ref="N351:N352"/>
    <mergeCell ref="O351:O352"/>
    <mergeCell ref="Q358:S358"/>
    <mergeCell ref="T358:T359"/>
    <mergeCell ref="G359:H359"/>
    <mergeCell ref="Q344:S344"/>
    <mergeCell ref="T344:T345"/>
    <mergeCell ref="G345:H345"/>
    <mergeCell ref="D347:E347"/>
    <mergeCell ref="L350:M350"/>
    <mergeCell ref="A351:C352"/>
    <mergeCell ref="D351:E352"/>
    <mergeCell ref="F351:F352"/>
    <mergeCell ref="G351:H351"/>
    <mergeCell ref="I351:I352"/>
    <mergeCell ref="K344:K345"/>
    <mergeCell ref="L344:L345"/>
    <mergeCell ref="M344:M345"/>
    <mergeCell ref="N344:N345"/>
    <mergeCell ref="O344:O345"/>
    <mergeCell ref="P344:P345"/>
    <mergeCell ref="A344:C345"/>
    <mergeCell ref="D344:E345"/>
    <mergeCell ref="F344:F345"/>
    <mergeCell ref="G344:H344"/>
    <mergeCell ref="I344:I345"/>
    <mergeCell ref="J344:J345"/>
    <mergeCell ref="R322:S322"/>
    <mergeCell ref="R323:S323"/>
    <mergeCell ref="R324:S324"/>
    <mergeCell ref="R325:S325"/>
    <mergeCell ref="R326:S326"/>
    <mergeCell ref="L343:M343"/>
    <mergeCell ref="T314:T315"/>
    <mergeCell ref="G315:H315"/>
    <mergeCell ref="R318:S318"/>
    <mergeCell ref="R319:S319"/>
    <mergeCell ref="R320:S320"/>
    <mergeCell ref="R321:S321"/>
    <mergeCell ref="L314:L315"/>
    <mergeCell ref="M314:M315"/>
    <mergeCell ref="N314:N315"/>
    <mergeCell ref="O314:O315"/>
    <mergeCell ref="P314:P315"/>
    <mergeCell ref="Q314:S314"/>
    <mergeCell ref="A314:C315"/>
    <mergeCell ref="D314:E315"/>
    <mergeCell ref="F314:F315"/>
    <mergeCell ref="G314:H314"/>
    <mergeCell ref="I314:I315"/>
    <mergeCell ref="J314:J315"/>
    <mergeCell ref="K314:K315"/>
    <mergeCell ref="K311:K312"/>
    <mergeCell ref="L311:L312"/>
    <mergeCell ref="A311:C312"/>
    <mergeCell ref="D311:E312"/>
    <mergeCell ref="F311:F312"/>
    <mergeCell ref="G311:H311"/>
    <mergeCell ref="I311:I312"/>
    <mergeCell ref="J311:J312"/>
    <mergeCell ref="D305:E305"/>
    <mergeCell ref="A308:V309"/>
    <mergeCell ref="I302:J302"/>
    <mergeCell ref="K302:K303"/>
    <mergeCell ref="L302:L303"/>
    <mergeCell ref="M302:M303"/>
    <mergeCell ref="N302:N303"/>
    <mergeCell ref="O302:O303"/>
    <mergeCell ref="Q311:S311"/>
    <mergeCell ref="T311:T312"/>
    <mergeCell ref="G312:H312"/>
    <mergeCell ref="M311:M312"/>
    <mergeCell ref="N311:N312"/>
    <mergeCell ref="O311:O312"/>
    <mergeCell ref="P311:P312"/>
    <mergeCell ref="P296:P297"/>
    <mergeCell ref="Q296:S296"/>
    <mergeCell ref="T296:T297"/>
    <mergeCell ref="I297:J297"/>
    <mergeCell ref="D299:E299"/>
    <mergeCell ref="A302:C303"/>
    <mergeCell ref="D302:D303"/>
    <mergeCell ref="E302:E303"/>
    <mergeCell ref="F302:G303"/>
    <mergeCell ref="H302:H303"/>
    <mergeCell ref="I296:J296"/>
    <mergeCell ref="K296:K297"/>
    <mergeCell ref="L296:L297"/>
    <mergeCell ref="M296:M297"/>
    <mergeCell ref="N296:N297"/>
    <mergeCell ref="O296:O297"/>
    <mergeCell ref="P302:P303"/>
    <mergeCell ref="Q302:S302"/>
    <mergeCell ref="T302:T303"/>
    <mergeCell ref="I303:J303"/>
    <mergeCell ref="D293:E293"/>
    <mergeCell ref="A296:C297"/>
    <mergeCell ref="D296:D297"/>
    <mergeCell ref="E296:E297"/>
    <mergeCell ref="F296:G297"/>
    <mergeCell ref="H296:H297"/>
    <mergeCell ref="M290:M291"/>
    <mergeCell ref="N290:N291"/>
    <mergeCell ref="O290:O291"/>
    <mergeCell ref="P290:P291"/>
    <mergeCell ref="Q290:S290"/>
    <mergeCell ref="T290:T291"/>
    <mergeCell ref="A290:C291"/>
    <mergeCell ref="F290:G291"/>
    <mergeCell ref="H290:H291"/>
    <mergeCell ref="I290:J290"/>
    <mergeCell ref="K290:K291"/>
    <mergeCell ref="L290:L291"/>
    <mergeCell ref="I291:J291"/>
    <mergeCell ref="R277:S277"/>
    <mergeCell ref="R278:S278"/>
    <mergeCell ref="R279:S279"/>
    <mergeCell ref="R280:S280"/>
    <mergeCell ref="R281:S281"/>
    <mergeCell ref="R282:S282"/>
    <mergeCell ref="Q270:S270"/>
    <mergeCell ref="T270:T271"/>
    <mergeCell ref="I271:J271"/>
    <mergeCell ref="R274:S274"/>
    <mergeCell ref="R275:S275"/>
    <mergeCell ref="R276:S276"/>
    <mergeCell ref="K270:K271"/>
    <mergeCell ref="L270:L271"/>
    <mergeCell ref="M270:M271"/>
    <mergeCell ref="N270:N271"/>
    <mergeCell ref="O270:O271"/>
    <mergeCell ref="P270:P271"/>
    <mergeCell ref="A270:C271"/>
    <mergeCell ref="D270:D271"/>
    <mergeCell ref="E270:E271"/>
    <mergeCell ref="F270:G271"/>
    <mergeCell ref="H270:H271"/>
    <mergeCell ref="I270:J270"/>
    <mergeCell ref="N267:N268"/>
    <mergeCell ref="O267:O268"/>
    <mergeCell ref="P267:P268"/>
    <mergeCell ref="Q267:S267"/>
    <mergeCell ref="T267:T268"/>
    <mergeCell ref="I268:J268"/>
    <mergeCell ref="J261:K261"/>
    <mergeCell ref="P261:Q261"/>
    <mergeCell ref="A264:V265"/>
    <mergeCell ref="A267:C268"/>
    <mergeCell ref="F267:G268"/>
    <mergeCell ref="H267:H268"/>
    <mergeCell ref="I267:J267"/>
    <mergeCell ref="K267:K268"/>
    <mergeCell ref="L267:L268"/>
    <mergeCell ref="M267:M268"/>
    <mergeCell ref="AB252:AC252"/>
    <mergeCell ref="L253:M253"/>
    <mergeCell ref="J257:K257"/>
    <mergeCell ref="J258:K258"/>
    <mergeCell ref="J259:K259"/>
    <mergeCell ref="J260:K260"/>
    <mergeCell ref="H249:I249"/>
    <mergeCell ref="J249:K249"/>
    <mergeCell ref="L249:M249"/>
    <mergeCell ref="L250:M250"/>
    <mergeCell ref="L251:M251"/>
    <mergeCell ref="L252:M252"/>
    <mergeCell ref="T246:U246"/>
    <mergeCell ref="B247:C247"/>
    <mergeCell ref="T247:U247"/>
    <mergeCell ref="H248:I248"/>
    <mergeCell ref="J248:K248"/>
    <mergeCell ref="L248:M248"/>
    <mergeCell ref="T248:U248"/>
    <mergeCell ref="Q237:R237"/>
    <mergeCell ref="Q238:R238"/>
    <mergeCell ref="Q239:R239"/>
    <mergeCell ref="E241:F241"/>
    <mergeCell ref="H241:I241"/>
    <mergeCell ref="B246:C246"/>
    <mergeCell ref="D246:E247"/>
    <mergeCell ref="F246:G246"/>
    <mergeCell ref="H246:M246"/>
    <mergeCell ref="D232:E232"/>
    <mergeCell ref="M234:N234"/>
    <mergeCell ref="Q234:R234"/>
    <mergeCell ref="K229:K230"/>
    <mergeCell ref="L229:L230"/>
    <mergeCell ref="M229:M230"/>
    <mergeCell ref="N229:N230"/>
    <mergeCell ref="O229:O230"/>
    <mergeCell ref="P229:P230"/>
    <mergeCell ref="A229:C230"/>
    <mergeCell ref="D229:E230"/>
    <mergeCell ref="F229:F230"/>
    <mergeCell ref="G229:H229"/>
    <mergeCell ref="I229:I230"/>
    <mergeCell ref="J229:J230"/>
    <mergeCell ref="P222:P223"/>
    <mergeCell ref="Q222:S222"/>
    <mergeCell ref="T222:T223"/>
    <mergeCell ref="G223:H223"/>
    <mergeCell ref="D225:E225"/>
    <mergeCell ref="L228:M228"/>
    <mergeCell ref="J222:J223"/>
    <mergeCell ref="K222:K223"/>
    <mergeCell ref="L222:L223"/>
    <mergeCell ref="M222:M223"/>
    <mergeCell ref="N222:N223"/>
    <mergeCell ref="O222:O223"/>
    <mergeCell ref="Q229:S229"/>
    <mergeCell ref="T229:T230"/>
    <mergeCell ref="G230:H230"/>
    <mergeCell ref="Q215:S215"/>
    <mergeCell ref="T215:T216"/>
    <mergeCell ref="G216:H216"/>
    <mergeCell ref="D218:E218"/>
    <mergeCell ref="L221:M221"/>
    <mergeCell ref="A222:C223"/>
    <mergeCell ref="D222:E223"/>
    <mergeCell ref="F222:F223"/>
    <mergeCell ref="G222:H222"/>
    <mergeCell ref="I222:I223"/>
    <mergeCell ref="K215:K216"/>
    <mergeCell ref="L215:L216"/>
    <mergeCell ref="M215:M216"/>
    <mergeCell ref="N215:N216"/>
    <mergeCell ref="O215:O216"/>
    <mergeCell ref="P215:P216"/>
    <mergeCell ref="A215:C216"/>
    <mergeCell ref="D215:E216"/>
    <mergeCell ref="F215:F216"/>
    <mergeCell ref="G215:H215"/>
    <mergeCell ref="I215:I216"/>
    <mergeCell ref="J215:J216"/>
    <mergeCell ref="R198:S198"/>
    <mergeCell ref="R199:S199"/>
    <mergeCell ref="R200:S200"/>
    <mergeCell ref="R201:S201"/>
    <mergeCell ref="R202:S202"/>
    <mergeCell ref="L214:M214"/>
    <mergeCell ref="T190:T191"/>
    <mergeCell ref="G191:H191"/>
    <mergeCell ref="R194:S194"/>
    <mergeCell ref="R195:S195"/>
    <mergeCell ref="R196:S196"/>
    <mergeCell ref="R197:S197"/>
    <mergeCell ref="L190:L191"/>
    <mergeCell ref="M190:M191"/>
    <mergeCell ref="N190:N191"/>
    <mergeCell ref="O190:O191"/>
    <mergeCell ref="P190:P191"/>
    <mergeCell ref="Q190:S190"/>
    <mergeCell ref="A190:C191"/>
    <mergeCell ref="D190:E191"/>
    <mergeCell ref="F190:F191"/>
    <mergeCell ref="G190:H190"/>
    <mergeCell ref="I190:I191"/>
    <mergeCell ref="J190:J191"/>
    <mergeCell ref="K190:K191"/>
    <mergeCell ref="K187:K188"/>
    <mergeCell ref="L187:L188"/>
    <mergeCell ref="A187:C188"/>
    <mergeCell ref="D187:E188"/>
    <mergeCell ref="F187:F188"/>
    <mergeCell ref="G187:H187"/>
    <mergeCell ref="I187:I188"/>
    <mergeCell ref="J187:J188"/>
    <mergeCell ref="D181:E181"/>
    <mergeCell ref="A184:V185"/>
    <mergeCell ref="I178:J178"/>
    <mergeCell ref="K178:K179"/>
    <mergeCell ref="L178:L179"/>
    <mergeCell ref="M178:M179"/>
    <mergeCell ref="N178:N179"/>
    <mergeCell ref="O178:O179"/>
    <mergeCell ref="Q187:S187"/>
    <mergeCell ref="T187:T188"/>
    <mergeCell ref="G188:H188"/>
    <mergeCell ref="M187:M188"/>
    <mergeCell ref="N187:N188"/>
    <mergeCell ref="O187:O188"/>
    <mergeCell ref="P187:P188"/>
    <mergeCell ref="P172:P173"/>
    <mergeCell ref="Q172:S172"/>
    <mergeCell ref="T172:T173"/>
    <mergeCell ref="I173:J173"/>
    <mergeCell ref="D175:E175"/>
    <mergeCell ref="A178:C179"/>
    <mergeCell ref="D178:D179"/>
    <mergeCell ref="E178:E179"/>
    <mergeCell ref="F178:G179"/>
    <mergeCell ref="H178:H179"/>
    <mergeCell ref="I172:J172"/>
    <mergeCell ref="K172:K173"/>
    <mergeCell ref="L172:L173"/>
    <mergeCell ref="M172:M173"/>
    <mergeCell ref="N172:N173"/>
    <mergeCell ref="O172:O173"/>
    <mergeCell ref="P178:P179"/>
    <mergeCell ref="Q178:S178"/>
    <mergeCell ref="T178:T179"/>
    <mergeCell ref="I179:J179"/>
    <mergeCell ref="D169:E169"/>
    <mergeCell ref="A172:C173"/>
    <mergeCell ref="D172:D173"/>
    <mergeCell ref="E172:E173"/>
    <mergeCell ref="F172:G173"/>
    <mergeCell ref="H172:H173"/>
    <mergeCell ref="M166:M167"/>
    <mergeCell ref="N166:N167"/>
    <mergeCell ref="O166:O167"/>
    <mergeCell ref="P166:P167"/>
    <mergeCell ref="Q166:S166"/>
    <mergeCell ref="T166:T167"/>
    <mergeCell ref="A166:C167"/>
    <mergeCell ref="F166:G167"/>
    <mergeCell ref="H166:H167"/>
    <mergeCell ref="I166:J166"/>
    <mergeCell ref="K166:K167"/>
    <mergeCell ref="L166:L167"/>
    <mergeCell ref="I167:J167"/>
    <mergeCell ref="R157:S157"/>
    <mergeCell ref="R158:S158"/>
    <mergeCell ref="R159:S159"/>
    <mergeCell ref="R160:S160"/>
    <mergeCell ref="R161:S161"/>
    <mergeCell ref="R162:S162"/>
    <mergeCell ref="Q150:S150"/>
    <mergeCell ref="T150:T151"/>
    <mergeCell ref="I151:J151"/>
    <mergeCell ref="R154:S154"/>
    <mergeCell ref="R155:S155"/>
    <mergeCell ref="R156:S156"/>
    <mergeCell ref="K150:K151"/>
    <mergeCell ref="L150:L151"/>
    <mergeCell ref="M150:M151"/>
    <mergeCell ref="N150:N151"/>
    <mergeCell ref="O150:O151"/>
    <mergeCell ref="P150:P151"/>
    <mergeCell ref="A150:C151"/>
    <mergeCell ref="D150:D151"/>
    <mergeCell ref="E150:E151"/>
    <mergeCell ref="F150:G151"/>
    <mergeCell ref="H150:H151"/>
    <mergeCell ref="I150:J150"/>
    <mergeCell ref="M147:M148"/>
    <mergeCell ref="N147:N148"/>
    <mergeCell ref="O147:O148"/>
    <mergeCell ref="P147:P148"/>
    <mergeCell ref="Q147:S147"/>
    <mergeCell ref="T147:T148"/>
    <mergeCell ref="A147:C148"/>
    <mergeCell ref="F147:G148"/>
    <mergeCell ref="H147:H148"/>
    <mergeCell ref="I147:J147"/>
    <mergeCell ref="K147:K148"/>
    <mergeCell ref="L147:L148"/>
    <mergeCell ref="I148:J148"/>
    <mergeCell ref="J138:K138"/>
    <mergeCell ref="J139:K139"/>
    <mergeCell ref="J140:K140"/>
    <mergeCell ref="J141:K141"/>
    <mergeCell ref="P141:Q141"/>
    <mergeCell ref="A144:V145"/>
    <mergeCell ref="J130:K130"/>
    <mergeCell ref="J131:K131"/>
    <mergeCell ref="J132:K132"/>
    <mergeCell ref="AB132:AC132"/>
    <mergeCell ref="J133:K133"/>
    <mergeCell ref="J137:K137"/>
    <mergeCell ref="H128:I128"/>
    <mergeCell ref="J128:K128"/>
    <mergeCell ref="L128:M128"/>
    <mergeCell ref="T128:U128"/>
    <mergeCell ref="H129:I129"/>
    <mergeCell ref="J129:K129"/>
    <mergeCell ref="L129:M129"/>
    <mergeCell ref="B126:C126"/>
    <mergeCell ref="D126:E127"/>
    <mergeCell ref="F126:G126"/>
    <mergeCell ref="H126:M126"/>
    <mergeCell ref="T126:U126"/>
    <mergeCell ref="B127:C127"/>
    <mergeCell ref="T127:U127"/>
    <mergeCell ref="Q118:R118"/>
    <mergeCell ref="Q119:R119"/>
    <mergeCell ref="Q120:R120"/>
    <mergeCell ref="E122:F122"/>
    <mergeCell ref="H122:I122"/>
    <mergeCell ref="D113:E113"/>
    <mergeCell ref="M115:N115"/>
    <mergeCell ref="Q115:R115"/>
    <mergeCell ref="K110:K111"/>
    <mergeCell ref="L110:L111"/>
    <mergeCell ref="M110:M111"/>
    <mergeCell ref="N110:N111"/>
    <mergeCell ref="O110:O111"/>
    <mergeCell ref="P110:P111"/>
    <mergeCell ref="A110:C111"/>
    <mergeCell ref="D110:E111"/>
    <mergeCell ref="F110:F111"/>
    <mergeCell ref="G110:H110"/>
    <mergeCell ref="I110:I111"/>
    <mergeCell ref="J110:J111"/>
    <mergeCell ref="P103:P104"/>
    <mergeCell ref="Q103:S103"/>
    <mergeCell ref="T103:T104"/>
    <mergeCell ref="G104:H104"/>
    <mergeCell ref="D106:E106"/>
    <mergeCell ref="L109:M109"/>
    <mergeCell ref="J103:J104"/>
    <mergeCell ref="K103:K104"/>
    <mergeCell ref="L103:L104"/>
    <mergeCell ref="M103:M104"/>
    <mergeCell ref="N103:N104"/>
    <mergeCell ref="O103:O104"/>
    <mergeCell ref="Q110:S110"/>
    <mergeCell ref="T110:T111"/>
    <mergeCell ref="G111:H111"/>
    <mergeCell ref="Q96:S96"/>
    <mergeCell ref="T96:T97"/>
    <mergeCell ref="G97:H97"/>
    <mergeCell ref="D99:E99"/>
    <mergeCell ref="L102:M102"/>
    <mergeCell ref="A103:C104"/>
    <mergeCell ref="D103:E104"/>
    <mergeCell ref="F103:F104"/>
    <mergeCell ref="G103:H103"/>
    <mergeCell ref="I103:I104"/>
    <mergeCell ref="K96:K97"/>
    <mergeCell ref="L96:L97"/>
    <mergeCell ref="M96:M97"/>
    <mergeCell ref="N96:N97"/>
    <mergeCell ref="O96:O97"/>
    <mergeCell ref="P96:P97"/>
    <mergeCell ref="A96:C97"/>
    <mergeCell ref="D96:E97"/>
    <mergeCell ref="F96:F97"/>
    <mergeCell ref="G96:H96"/>
    <mergeCell ref="I96:I97"/>
    <mergeCell ref="J96:J97"/>
    <mergeCell ref="R79:S79"/>
    <mergeCell ref="R80:S80"/>
    <mergeCell ref="R81:S81"/>
    <mergeCell ref="R82:S82"/>
    <mergeCell ref="R83:S83"/>
    <mergeCell ref="L95:M95"/>
    <mergeCell ref="T71:T72"/>
    <mergeCell ref="G72:H72"/>
    <mergeCell ref="R75:S75"/>
    <mergeCell ref="R76:S76"/>
    <mergeCell ref="R77:S77"/>
    <mergeCell ref="R78:S78"/>
    <mergeCell ref="L71:L72"/>
    <mergeCell ref="M71:M72"/>
    <mergeCell ref="N71:N72"/>
    <mergeCell ref="O71:O72"/>
    <mergeCell ref="P71:P72"/>
    <mergeCell ref="Q71:S71"/>
    <mergeCell ref="A71:C72"/>
    <mergeCell ref="D71:E72"/>
    <mergeCell ref="F71:F72"/>
    <mergeCell ref="G71:H71"/>
    <mergeCell ref="I71:I72"/>
    <mergeCell ref="J71:J72"/>
    <mergeCell ref="K71:K72"/>
    <mergeCell ref="K68:K69"/>
    <mergeCell ref="L68:L69"/>
    <mergeCell ref="A68:C69"/>
    <mergeCell ref="D68:E69"/>
    <mergeCell ref="F68:F69"/>
    <mergeCell ref="G68:H68"/>
    <mergeCell ref="I68:I69"/>
    <mergeCell ref="J68:J69"/>
    <mergeCell ref="D62:E62"/>
    <mergeCell ref="A65:V66"/>
    <mergeCell ref="I59:J59"/>
    <mergeCell ref="K59:K60"/>
    <mergeCell ref="L59:L60"/>
    <mergeCell ref="M59:M60"/>
    <mergeCell ref="N59:N60"/>
    <mergeCell ref="O59:O60"/>
    <mergeCell ref="Q68:S68"/>
    <mergeCell ref="T68:T69"/>
    <mergeCell ref="G69:H69"/>
    <mergeCell ref="M68:M69"/>
    <mergeCell ref="N68:N69"/>
    <mergeCell ref="O68:O69"/>
    <mergeCell ref="P68:P69"/>
    <mergeCell ref="P53:P54"/>
    <mergeCell ref="Q53:S53"/>
    <mergeCell ref="T53:T54"/>
    <mergeCell ref="I54:J54"/>
    <mergeCell ref="D56:E56"/>
    <mergeCell ref="A59:C60"/>
    <mergeCell ref="D59:D60"/>
    <mergeCell ref="E59:E60"/>
    <mergeCell ref="F59:G60"/>
    <mergeCell ref="H59:H60"/>
    <mergeCell ref="I53:J53"/>
    <mergeCell ref="K53:K54"/>
    <mergeCell ref="L53:L54"/>
    <mergeCell ref="M53:M54"/>
    <mergeCell ref="N53:N54"/>
    <mergeCell ref="O53:O54"/>
    <mergeCell ref="P59:P60"/>
    <mergeCell ref="Q59:S59"/>
    <mergeCell ref="T59:T60"/>
    <mergeCell ref="I60:J60"/>
    <mergeCell ref="D50:E50"/>
    <mergeCell ref="A53:C54"/>
    <mergeCell ref="D53:D54"/>
    <mergeCell ref="E53:E54"/>
    <mergeCell ref="F53:G54"/>
    <mergeCell ref="H53:H54"/>
    <mergeCell ref="M47:M48"/>
    <mergeCell ref="N47:N48"/>
    <mergeCell ref="O47:O48"/>
    <mergeCell ref="P47:P48"/>
    <mergeCell ref="Q47:S47"/>
    <mergeCell ref="T47:T48"/>
    <mergeCell ref="A47:C48"/>
    <mergeCell ref="F47:G48"/>
    <mergeCell ref="H47:H48"/>
    <mergeCell ref="I47:J47"/>
    <mergeCell ref="K47:K48"/>
    <mergeCell ref="L47:L48"/>
    <mergeCell ref="I48:J48"/>
    <mergeCell ref="R38:S38"/>
    <mergeCell ref="R39:S39"/>
    <mergeCell ref="R40:S40"/>
    <mergeCell ref="R41:S41"/>
    <mergeCell ref="R42:S42"/>
    <mergeCell ref="R43:S43"/>
    <mergeCell ref="Q31:S31"/>
    <mergeCell ref="T31:T32"/>
    <mergeCell ref="I32:J32"/>
    <mergeCell ref="R35:S35"/>
    <mergeCell ref="R36:S36"/>
    <mergeCell ref="R37:S37"/>
    <mergeCell ref="K31:K32"/>
    <mergeCell ref="L31:L32"/>
    <mergeCell ref="M31:M32"/>
    <mergeCell ref="N31:N32"/>
    <mergeCell ref="O31:O32"/>
    <mergeCell ref="P31:P32"/>
    <mergeCell ref="A31:C32"/>
    <mergeCell ref="D31:D32"/>
    <mergeCell ref="E31:E32"/>
    <mergeCell ref="F31:G32"/>
    <mergeCell ref="H31:H32"/>
    <mergeCell ref="I31:J31"/>
    <mergeCell ref="M28:M29"/>
    <mergeCell ref="N28:N29"/>
    <mergeCell ref="O28:O29"/>
    <mergeCell ref="P28:P29"/>
    <mergeCell ref="Q28:S28"/>
    <mergeCell ref="T28:T29"/>
    <mergeCell ref="A28:C29"/>
    <mergeCell ref="F28:G29"/>
    <mergeCell ref="H28:H29"/>
    <mergeCell ref="I28:J28"/>
    <mergeCell ref="K28:K29"/>
    <mergeCell ref="L28:L29"/>
    <mergeCell ref="I29:J29"/>
    <mergeCell ref="J19:K19"/>
    <mergeCell ref="J20:K20"/>
    <mergeCell ref="J21:K21"/>
    <mergeCell ref="P21:Q21"/>
    <mergeCell ref="J22:K22"/>
    <mergeCell ref="A25:V26"/>
    <mergeCell ref="H11:I11"/>
    <mergeCell ref="H12:I12"/>
    <mergeCell ref="H13:I13"/>
    <mergeCell ref="AB13:AC13"/>
    <mergeCell ref="H14:I14"/>
    <mergeCell ref="J18:K18"/>
    <mergeCell ref="H9:I9"/>
    <mergeCell ref="J9:K9"/>
    <mergeCell ref="L9:M9"/>
    <mergeCell ref="T9:U9"/>
    <mergeCell ref="H10:I10"/>
    <mergeCell ref="J10:K10"/>
    <mergeCell ref="L10:M10"/>
    <mergeCell ref="B7:C8"/>
    <mergeCell ref="D7:E8"/>
    <mergeCell ref="F7:G7"/>
    <mergeCell ref="H7:N7"/>
    <mergeCell ref="T7:U7"/>
    <mergeCell ref="T8:U8"/>
    <mergeCell ref="O4:Q4"/>
    <mergeCell ref="R4:V4"/>
    <mergeCell ref="A1:G4"/>
    <mergeCell ref="H1:N1"/>
    <mergeCell ref="O1:Q1"/>
    <mergeCell ref="R1:V1"/>
    <mergeCell ref="H2:N2"/>
    <mergeCell ref="O2:Q2"/>
    <mergeCell ref="R2:V2"/>
    <mergeCell ref="H3:N4"/>
    <mergeCell ref="O3:Q3"/>
    <mergeCell ref="R3:V3"/>
    <mergeCell ref="A5:V5"/>
  </mergeCells>
  <conditionalFormatting sqref="H123:H124 H242:H243 H371:H376">
    <cfRule type="cellIs" dxfId="90" priority="2" stopIfTrue="1" operator="equal">
      <formula>"Under Dimentioned"</formula>
    </cfRule>
  </conditionalFormatting>
  <dataValidations count="1">
    <dataValidation type="list" allowBlank="1" showInputMessage="1" showErrorMessage="1" sqref="D246 IZ246 SV246 ACR246 AMN246 AWJ246 BGF246 BQB246 BZX246 CJT246 CTP246 DDL246 DNH246 DXD246 EGZ246 EQV246 FAR246 FKN246 FUJ246 GEF246 GOB246 GXX246 HHT246 HRP246 IBL246 ILH246 IVD246 JEZ246 JOV246 JYR246 KIN246 KSJ246 LCF246 LMB246 LVX246 MFT246 MPP246 MZL246 NJH246 NTD246 OCZ246 OMV246 OWR246 PGN246 PQJ246 QAF246 QKB246 QTX246 RDT246 RNP246 RXL246 SHH246 SRD246 TAZ246 TKV246 TUR246 UEN246 UOJ246 UYF246 VIB246 VRX246 WBT246 WLP246 WVL246 D65782 IZ65782 SV65782 ACR65782 AMN65782 AWJ65782 BGF65782 BQB65782 BZX65782 CJT65782 CTP65782 DDL65782 DNH65782 DXD65782 EGZ65782 EQV65782 FAR65782 FKN65782 FUJ65782 GEF65782 GOB65782 GXX65782 HHT65782 HRP65782 IBL65782 ILH65782 IVD65782 JEZ65782 JOV65782 JYR65782 KIN65782 KSJ65782 LCF65782 LMB65782 LVX65782 MFT65782 MPP65782 MZL65782 NJH65782 NTD65782 OCZ65782 OMV65782 OWR65782 PGN65782 PQJ65782 QAF65782 QKB65782 QTX65782 RDT65782 RNP65782 RXL65782 SHH65782 SRD65782 TAZ65782 TKV65782 TUR65782 UEN65782 UOJ65782 UYF65782 VIB65782 VRX65782 WBT65782 WLP65782 WVL65782 D131318 IZ131318 SV131318 ACR131318 AMN131318 AWJ131318 BGF131318 BQB131318 BZX131318 CJT131318 CTP131318 DDL131318 DNH131318 DXD131318 EGZ131318 EQV131318 FAR131318 FKN131318 FUJ131318 GEF131318 GOB131318 GXX131318 HHT131318 HRP131318 IBL131318 ILH131318 IVD131318 JEZ131318 JOV131318 JYR131318 KIN131318 KSJ131318 LCF131318 LMB131318 LVX131318 MFT131318 MPP131318 MZL131318 NJH131318 NTD131318 OCZ131318 OMV131318 OWR131318 PGN131318 PQJ131318 QAF131318 QKB131318 QTX131318 RDT131318 RNP131318 RXL131318 SHH131318 SRD131318 TAZ131318 TKV131318 TUR131318 UEN131318 UOJ131318 UYF131318 VIB131318 VRX131318 WBT131318 WLP131318 WVL131318 D196854 IZ196854 SV196854 ACR196854 AMN196854 AWJ196854 BGF196854 BQB196854 BZX196854 CJT196854 CTP196854 DDL196854 DNH196854 DXD196854 EGZ196854 EQV196854 FAR196854 FKN196854 FUJ196854 GEF196854 GOB196854 GXX196854 HHT196854 HRP196854 IBL196854 ILH196854 IVD196854 JEZ196854 JOV196854 JYR196854 KIN196854 KSJ196854 LCF196854 LMB196854 LVX196854 MFT196854 MPP196854 MZL196854 NJH196854 NTD196854 OCZ196854 OMV196854 OWR196854 PGN196854 PQJ196854 QAF196854 QKB196854 QTX196854 RDT196854 RNP196854 RXL196854 SHH196854 SRD196854 TAZ196854 TKV196854 TUR196854 UEN196854 UOJ196854 UYF196854 VIB196854 VRX196854 WBT196854 WLP196854 WVL196854 D262390 IZ262390 SV262390 ACR262390 AMN262390 AWJ262390 BGF262390 BQB262390 BZX262390 CJT262390 CTP262390 DDL262390 DNH262390 DXD262390 EGZ262390 EQV262390 FAR262390 FKN262390 FUJ262390 GEF262390 GOB262390 GXX262390 HHT262390 HRP262390 IBL262390 ILH262390 IVD262390 JEZ262390 JOV262390 JYR262390 KIN262390 KSJ262390 LCF262390 LMB262390 LVX262390 MFT262390 MPP262390 MZL262390 NJH262390 NTD262390 OCZ262390 OMV262390 OWR262390 PGN262390 PQJ262390 QAF262390 QKB262390 QTX262390 RDT262390 RNP262390 RXL262390 SHH262390 SRD262390 TAZ262390 TKV262390 TUR262390 UEN262390 UOJ262390 UYF262390 VIB262390 VRX262390 WBT262390 WLP262390 WVL262390 D327926 IZ327926 SV327926 ACR327926 AMN327926 AWJ327926 BGF327926 BQB327926 BZX327926 CJT327926 CTP327926 DDL327926 DNH327926 DXD327926 EGZ327926 EQV327926 FAR327926 FKN327926 FUJ327926 GEF327926 GOB327926 GXX327926 HHT327926 HRP327926 IBL327926 ILH327926 IVD327926 JEZ327926 JOV327926 JYR327926 KIN327926 KSJ327926 LCF327926 LMB327926 LVX327926 MFT327926 MPP327926 MZL327926 NJH327926 NTD327926 OCZ327926 OMV327926 OWR327926 PGN327926 PQJ327926 QAF327926 QKB327926 QTX327926 RDT327926 RNP327926 RXL327926 SHH327926 SRD327926 TAZ327926 TKV327926 TUR327926 UEN327926 UOJ327926 UYF327926 VIB327926 VRX327926 WBT327926 WLP327926 WVL327926 D393462 IZ393462 SV393462 ACR393462 AMN393462 AWJ393462 BGF393462 BQB393462 BZX393462 CJT393462 CTP393462 DDL393462 DNH393462 DXD393462 EGZ393462 EQV393462 FAR393462 FKN393462 FUJ393462 GEF393462 GOB393462 GXX393462 HHT393462 HRP393462 IBL393462 ILH393462 IVD393462 JEZ393462 JOV393462 JYR393462 KIN393462 KSJ393462 LCF393462 LMB393462 LVX393462 MFT393462 MPP393462 MZL393462 NJH393462 NTD393462 OCZ393462 OMV393462 OWR393462 PGN393462 PQJ393462 QAF393462 QKB393462 QTX393462 RDT393462 RNP393462 RXL393462 SHH393462 SRD393462 TAZ393462 TKV393462 TUR393462 UEN393462 UOJ393462 UYF393462 VIB393462 VRX393462 WBT393462 WLP393462 WVL393462 D458998 IZ458998 SV458998 ACR458998 AMN458998 AWJ458998 BGF458998 BQB458998 BZX458998 CJT458998 CTP458998 DDL458998 DNH458998 DXD458998 EGZ458998 EQV458998 FAR458998 FKN458998 FUJ458998 GEF458998 GOB458998 GXX458998 HHT458998 HRP458998 IBL458998 ILH458998 IVD458998 JEZ458998 JOV458998 JYR458998 KIN458998 KSJ458998 LCF458998 LMB458998 LVX458998 MFT458998 MPP458998 MZL458998 NJH458998 NTD458998 OCZ458998 OMV458998 OWR458998 PGN458998 PQJ458998 QAF458998 QKB458998 QTX458998 RDT458998 RNP458998 RXL458998 SHH458998 SRD458998 TAZ458998 TKV458998 TUR458998 UEN458998 UOJ458998 UYF458998 VIB458998 VRX458998 WBT458998 WLP458998 WVL458998 D524534 IZ524534 SV524534 ACR524534 AMN524534 AWJ524534 BGF524534 BQB524534 BZX524534 CJT524534 CTP524534 DDL524534 DNH524534 DXD524534 EGZ524534 EQV524534 FAR524534 FKN524534 FUJ524534 GEF524534 GOB524534 GXX524534 HHT524534 HRP524534 IBL524534 ILH524534 IVD524534 JEZ524534 JOV524534 JYR524534 KIN524534 KSJ524534 LCF524534 LMB524534 LVX524534 MFT524534 MPP524534 MZL524534 NJH524534 NTD524534 OCZ524534 OMV524534 OWR524534 PGN524534 PQJ524534 QAF524534 QKB524534 QTX524534 RDT524534 RNP524534 RXL524534 SHH524534 SRD524534 TAZ524534 TKV524534 TUR524534 UEN524534 UOJ524534 UYF524534 VIB524534 VRX524534 WBT524534 WLP524534 WVL524534 D590070 IZ590070 SV590070 ACR590070 AMN590070 AWJ590070 BGF590070 BQB590070 BZX590070 CJT590070 CTP590070 DDL590070 DNH590070 DXD590070 EGZ590070 EQV590070 FAR590070 FKN590070 FUJ590070 GEF590070 GOB590070 GXX590070 HHT590070 HRP590070 IBL590070 ILH590070 IVD590070 JEZ590070 JOV590070 JYR590070 KIN590070 KSJ590070 LCF590070 LMB590070 LVX590070 MFT590070 MPP590070 MZL590070 NJH590070 NTD590070 OCZ590070 OMV590070 OWR590070 PGN590070 PQJ590070 QAF590070 QKB590070 QTX590070 RDT590070 RNP590070 RXL590070 SHH590070 SRD590070 TAZ590070 TKV590070 TUR590070 UEN590070 UOJ590070 UYF590070 VIB590070 VRX590070 WBT590070 WLP590070 WVL590070 D655606 IZ655606 SV655606 ACR655606 AMN655606 AWJ655606 BGF655606 BQB655606 BZX655606 CJT655606 CTP655606 DDL655606 DNH655606 DXD655606 EGZ655606 EQV655606 FAR655606 FKN655606 FUJ655606 GEF655606 GOB655606 GXX655606 HHT655606 HRP655606 IBL655606 ILH655606 IVD655606 JEZ655606 JOV655606 JYR655606 KIN655606 KSJ655606 LCF655606 LMB655606 LVX655606 MFT655606 MPP655606 MZL655606 NJH655606 NTD655606 OCZ655606 OMV655606 OWR655606 PGN655606 PQJ655606 QAF655606 QKB655606 QTX655606 RDT655606 RNP655606 RXL655606 SHH655606 SRD655606 TAZ655606 TKV655606 TUR655606 UEN655606 UOJ655606 UYF655606 VIB655606 VRX655606 WBT655606 WLP655606 WVL655606 D721142 IZ721142 SV721142 ACR721142 AMN721142 AWJ721142 BGF721142 BQB721142 BZX721142 CJT721142 CTP721142 DDL721142 DNH721142 DXD721142 EGZ721142 EQV721142 FAR721142 FKN721142 FUJ721142 GEF721142 GOB721142 GXX721142 HHT721142 HRP721142 IBL721142 ILH721142 IVD721142 JEZ721142 JOV721142 JYR721142 KIN721142 KSJ721142 LCF721142 LMB721142 LVX721142 MFT721142 MPP721142 MZL721142 NJH721142 NTD721142 OCZ721142 OMV721142 OWR721142 PGN721142 PQJ721142 QAF721142 QKB721142 QTX721142 RDT721142 RNP721142 RXL721142 SHH721142 SRD721142 TAZ721142 TKV721142 TUR721142 UEN721142 UOJ721142 UYF721142 VIB721142 VRX721142 WBT721142 WLP721142 WVL721142 D786678 IZ786678 SV786678 ACR786678 AMN786678 AWJ786678 BGF786678 BQB786678 BZX786678 CJT786678 CTP786678 DDL786678 DNH786678 DXD786678 EGZ786678 EQV786678 FAR786678 FKN786678 FUJ786678 GEF786678 GOB786678 GXX786678 HHT786678 HRP786678 IBL786678 ILH786678 IVD786678 JEZ786678 JOV786678 JYR786678 KIN786678 KSJ786678 LCF786678 LMB786678 LVX786678 MFT786678 MPP786678 MZL786678 NJH786678 NTD786678 OCZ786678 OMV786678 OWR786678 PGN786678 PQJ786678 QAF786678 QKB786678 QTX786678 RDT786678 RNP786678 RXL786678 SHH786678 SRD786678 TAZ786678 TKV786678 TUR786678 UEN786678 UOJ786678 UYF786678 VIB786678 VRX786678 WBT786678 WLP786678 WVL786678 D852214 IZ852214 SV852214 ACR852214 AMN852214 AWJ852214 BGF852214 BQB852214 BZX852214 CJT852214 CTP852214 DDL852214 DNH852214 DXD852214 EGZ852214 EQV852214 FAR852214 FKN852214 FUJ852214 GEF852214 GOB852214 GXX852214 HHT852214 HRP852214 IBL852214 ILH852214 IVD852214 JEZ852214 JOV852214 JYR852214 KIN852214 KSJ852214 LCF852214 LMB852214 LVX852214 MFT852214 MPP852214 MZL852214 NJH852214 NTD852214 OCZ852214 OMV852214 OWR852214 PGN852214 PQJ852214 QAF852214 QKB852214 QTX852214 RDT852214 RNP852214 RXL852214 SHH852214 SRD852214 TAZ852214 TKV852214 TUR852214 UEN852214 UOJ852214 UYF852214 VIB852214 VRX852214 WBT852214 WLP852214 WVL852214 D917750 IZ917750 SV917750 ACR917750 AMN917750 AWJ917750 BGF917750 BQB917750 BZX917750 CJT917750 CTP917750 DDL917750 DNH917750 DXD917750 EGZ917750 EQV917750 FAR917750 FKN917750 FUJ917750 GEF917750 GOB917750 GXX917750 HHT917750 HRP917750 IBL917750 ILH917750 IVD917750 JEZ917750 JOV917750 JYR917750 KIN917750 KSJ917750 LCF917750 LMB917750 LVX917750 MFT917750 MPP917750 MZL917750 NJH917750 NTD917750 OCZ917750 OMV917750 OWR917750 PGN917750 PQJ917750 QAF917750 QKB917750 QTX917750 RDT917750 RNP917750 RXL917750 SHH917750 SRD917750 TAZ917750 TKV917750 TUR917750 UEN917750 UOJ917750 UYF917750 VIB917750 VRX917750 WBT917750 WLP917750 WVL917750 D983286 IZ983286 SV983286 ACR983286 AMN983286 AWJ983286 BGF983286 BQB983286 BZX983286 CJT983286 CTP983286 DDL983286 DNH983286 DXD983286 EGZ983286 EQV983286 FAR983286 FKN983286 FUJ983286 GEF983286 GOB983286 GXX983286 HHT983286 HRP983286 IBL983286 ILH983286 IVD983286 JEZ983286 JOV983286 JYR983286 KIN983286 KSJ983286 LCF983286 LMB983286 LVX983286 MFT983286 MPP983286 MZL983286 NJH983286 NTD983286 OCZ983286 OMV983286 OWR983286 PGN983286 PQJ983286 QAF983286 QKB983286 QTX983286 RDT983286 RNP983286 RXL983286 SHH983286 SRD983286 TAZ983286 TKV983286 TUR983286 UEN983286 UOJ983286 UYF983286 VIB983286 VRX983286 WBT983286 WLP983286 WVL983286 D126 IZ126 SV126 ACR126 AMN126 AWJ126 BGF126 BQB126 BZX126 CJT126 CTP126 DDL126 DNH126 DXD126 EGZ126 EQV126 FAR126 FKN126 FUJ126 GEF126 GOB126 GXX126 HHT126 HRP126 IBL126 ILH126 IVD126 JEZ126 JOV126 JYR126 KIN126 KSJ126 LCF126 LMB126 LVX126 MFT126 MPP126 MZL126 NJH126 NTD126 OCZ126 OMV126 OWR126 PGN126 PQJ126 QAF126 QKB126 QTX126 RDT126 RNP126 RXL126 SHH126 SRD126 TAZ126 TKV126 TUR126 UEN126 UOJ126 UYF126 VIB126 VRX126 WBT126 WLP126 WVL126 D65662 IZ65662 SV65662 ACR65662 AMN65662 AWJ65662 BGF65662 BQB65662 BZX65662 CJT65662 CTP65662 DDL65662 DNH65662 DXD65662 EGZ65662 EQV65662 FAR65662 FKN65662 FUJ65662 GEF65662 GOB65662 GXX65662 HHT65662 HRP65662 IBL65662 ILH65662 IVD65662 JEZ65662 JOV65662 JYR65662 KIN65662 KSJ65662 LCF65662 LMB65662 LVX65662 MFT65662 MPP65662 MZL65662 NJH65662 NTD65662 OCZ65662 OMV65662 OWR65662 PGN65662 PQJ65662 QAF65662 QKB65662 QTX65662 RDT65662 RNP65662 RXL65662 SHH65662 SRD65662 TAZ65662 TKV65662 TUR65662 UEN65662 UOJ65662 UYF65662 VIB65662 VRX65662 WBT65662 WLP65662 WVL65662 D131198 IZ131198 SV131198 ACR131198 AMN131198 AWJ131198 BGF131198 BQB131198 BZX131198 CJT131198 CTP131198 DDL131198 DNH131198 DXD131198 EGZ131198 EQV131198 FAR131198 FKN131198 FUJ131198 GEF131198 GOB131198 GXX131198 HHT131198 HRP131198 IBL131198 ILH131198 IVD131198 JEZ131198 JOV131198 JYR131198 KIN131198 KSJ131198 LCF131198 LMB131198 LVX131198 MFT131198 MPP131198 MZL131198 NJH131198 NTD131198 OCZ131198 OMV131198 OWR131198 PGN131198 PQJ131198 QAF131198 QKB131198 QTX131198 RDT131198 RNP131198 RXL131198 SHH131198 SRD131198 TAZ131198 TKV131198 TUR131198 UEN131198 UOJ131198 UYF131198 VIB131198 VRX131198 WBT131198 WLP131198 WVL131198 D196734 IZ196734 SV196734 ACR196734 AMN196734 AWJ196734 BGF196734 BQB196734 BZX196734 CJT196734 CTP196734 DDL196734 DNH196734 DXD196734 EGZ196734 EQV196734 FAR196734 FKN196734 FUJ196734 GEF196734 GOB196734 GXX196734 HHT196734 HRP196734 IBL196734 ILH196734 IVD196734 JEZ196734 JOV196734 JYR196734 KIN196734 KSJ196734 LCF196734 LMB196734 LVX196734 MFT196734 MPP196734 MZL196734 NJH196734 NTD196734 OCZ196734 OMV196734 OWR196734 PGN196734 PQJ196734 QAF196734 QKB196734 QTX196734 RDT196734 RNP196734 RXL196734 SHH196734 SRD196734 TAZ196734 TKV196734 TUR196734 UEN196734 UOJ196734 UYF196734 VIB196734 VRX196734 WBT196734 WLP196734 WVL196734 D262270 IZ262270 SV262270 ACR262270 AMN262270 AWJ262270 BGF262270 BQB262270 BZX262270 CJT262270 CTP262270 DDL262270 DNH262270 DXD262270 EGZ262270 EQV262270 FAR262270 FKN262270 FUJ262270 GEF262270 GOB262270 GXX262270 HHT262270 HRP262270 IBL262270 ILH262270 IVD262270 JEZ262270 JOV262270 JYR262270 KIN262270 KSJ262270 LCF262270 LMB262270 LVX262270 MFT262270 MPP262270 MZL262270 NJH262270 NTD262270 OCZ262270 OMV262270 OWR262270 PGN262270 PQJ262270 QAF262270 QKB262270 QTX262270 RDT262270 RNP262270 RXL262270 SHH262270 SRD262270 TAZ262270 TKV262270 TUR262270 UEN262270 UOJ262270 UYF262270 VIB262270 VRX262270 WBT262270 WLP262270 WVL262270 D327806 IZ327806 SV327806 ACR327806 AMN327806 AWJ327806 BGF327806 BQB327806 BZX327806 CJT327806 CTP327806 DDL327806 DNH327806 DXD327806 EGZ327806 EQV327806 FAR327806 FKN327806 FUJ327806 GEF327806 GOB327806 GXX327806 HHT327806 HRP327806 IBL327806 ILH327806 IVD327806 JEZ327806 JOV327806 JYR327806 KIN327806 KSJ327806 LCF327806 LMB327806 LVX327806 MFT327806 MPP327806 MZL327806 NJH327806 NTD327806 OCZ327806 OMV327806 OWR327806 PGN327806 PQJ327806 QAF327806 QKB327806 QTX327806 RDT327806 RNP327806 RXL327806 SHH327806 SRD327806 TAZ327806 TKV327806 TUR327806 UEN327806 UOJ327806 UYF327806 VIB327806 VRX327806 WBT327806 WLP327806 WVL327806 D393342 IZ393342 SV393342 ACR393342 AMN393342 AWJ393342 BGF393342 BQB393342 BZX393342 CJT393342 CTP393342 DDL393342 DNH393342 DXD393342 EGZ393342 EQV393342 FAR393342 FKN393342 FUJ393342 GEF393342 GOB393342 GXX393342 HHT393342 HRP393342 IBL393342 ILH393342 IVD393342 JEZ393342 JOV393342 JYR393342 KIN393342 KSJ393342 LCF393342 LMB393342 LVX393342 MFT393342 MPP393342 MZL393342 NJH393342 NTD393342 OCZ393342 OMV393342 OWR393342 PGN393342 PQJ393342 QAF393342 QKB393342 QTX393342 RDT393342 RNP393342 RXL393342 SHH393342 SRD393342 TAZ393342 TKV393342 TUR393342 UEN393342 UOJ393342 UYF393342 VIB393342 VRX393342 WBT393342 WLP393342 WVL393342 D458878 IZ458878 SV458878 ACR458878 AMN458878 AWJ458878 BGF458878 BQB458878 BZX458878 CJT458878 CTP458878 DDL458878 DNH458878 DXD458878 EGZ458878 EQV458878 FAR458878 FKN458878 FUJ458878 GEF458878 GOB458878 GXX458878 HHT458878 HRP458878 IBL458878 ILH458878 IVD458878 JEZ458878 JOV458878 JYR458878 KIN458878 KSJ458878 LCF458878 LMB458878 LVX458878 MFT458878 MPP458878 MZL458878 NJH458878 NTD458878 OCZ458878 OMV458878 OWR458878 PGN458878 PQJ458878 QAF458878 QKB458878 QTX458878 RDT458878 RNP458878 RXL458878 SHH458878 SRD458878 TAZ458878 TKV458878 TUR458878 UEN458878 UOJ458878 UYF458878 VIB458878 VRX458878 WBT458878 WLP458878 WVL458878 D524414 IZ524414 SV524414 ACR524414 AMN524414 AWJ524414 BGF524414 BQB524414 BZX524414 CJT524414 CTP524414 DDL524414 DNH524414 DXD524414 EGZ524414 EQV524414 FAR524414 FKN524414 FUJ524414 GEF524414 GOB524414 GXX524414 HHT524414 HRP524414 IBL524414 ILH524414 IVD524414 JEZ524414 JOV524414 JYR524414 KIN524414 KSJ524414 LCF524414 LMB524414 LVX524414 MFT524414 MPP524414 MZL524414 NJH524414 NTD524414 OCZ524414 OMV524414 OWR524414 PGN524414 PQJ524414 QAF524414 QKB524414 QTX524414 RDT524414 RNP524414 RXL524414 SHH524414 SRD524414 TAZ524414 TKV524414 TUR524414 UEN524414 UOJ524414 UYF524414 VIB524414 VRX524414 WBT524414 WLP524414 WVL524414 D589950 IZ589950 SV589950 ACR589950 AMN589950 AWJ589950 BGF589950 BQB589950 BZX589950 CJT589950 CTP589950 DDL589950 DNH589950 DXD589950 EGZ589950 EQV589950 FAR589950 FKN589950 FUJ589950 GEF589950 GOB589950 GXX589950 HHT589950 HRP589950 IBL589950 ILH589950 IVD589950 JEZ589950 JOV589950 JYR589950 KIN589950 KSJ589950 LCF589950 LMB589950 LVX589950 MFT589950 MPP589950 MZL589950 NJH589950 NTD589950 OCZ589950 OMV589950 OWR589950 PGN589950 PQJ589950 QAF589950 QKB589950 QTX589950 RDT589950 RNP589950 RXL589950 SHH589950 SRD589950 TAZ589950 TKV589950 TUR589950 UEN589950 UOJ589950 UYF589950 VIB589950 VRX589950 WBT589950 WLP589950 WVL589950 D655486 IZ655486 SV655486 ACR655486 AMN655486 AWJ655486 BGF655486 BQB655486 BZX655486 CJT655486 CTP655486 DDL655486 DNH655486 DXD655486 EGZ655486 EQV655486 FAR655486 FKN655486 FUJ655486 GEF655486 GOB655486 GXX655486 HHT655486 HRP655486 IBL655486 ILH655486 IVD655486 JEZ655486 JOV655486 JYR655486 KIN655486 KSJ655486 LCF655486 LMB655486 LVX655486 MFT655486 MPP655486 MZL655486 NJH655486 NTD655486 OCZ655486 OMV655486 OWR655486 PGN655486 PQJ655486 QAF655486 QKB655486 QTX655486 RDT655486 RNP655486 RXL655486 SHH655486 SRD655486 TAZ655486 TKV655486 TUR655486 UEN655486 UOJ655486 UYF655486 VIB655486 VRX655486 WBT655486 WLP655486 WVL655486 D721022 IZ721022 SV721022 ACR721022 AMN721022 AWJ721022 BGF721022 BQB721022 BZX721022 CJT721022 CTP721022 DDL721022 DNH721022 DXD721022 EGZ721022 EQV721022 FAR721022 FKN721022 FUJ721022 GEF721022 GOB721022 GXX721022 HHT721022 HRP721022 IBL721022 ILH721022 IVD721022 JEZ721022 JOV721022 JYR721022 KIN721022 KSJ721022 LCF721022 LMB721022 LVX721022 MFT721022 MPP721022 MZL721022 NJH721022 NTD721022 OCZ721022 OMV721022 OWR721022 PGN721022 PQJ721022 QAF721022 QKB721022 QTX721022 RDT721022 RNP721022 RXL721022 SHH721022 SRD721022 TAZ721022 TKV721022 TUR721022 UEN721022 UOJ721022 UYF721022 VIB721022 VRX721022 WBT721022 WLP721022 WVL721022 D786558 IZ786558 SV786558 ACR786558 AMN786558 AWJ786558 BGF786558 BQB786558 BZX786558 CJT786558 CTP786558 DDL786558 DNH786558 DXD786558 EGZ786558 EQV786558 FAR786558 FKN786558 FUJ786558 GEF786558 GOB786558 GXX786558 HHT786558 HRP786558 IBL786558 ILH786558 IVD786558 JEZ786558 JOV786558 JYR786558 KIN786558 KSJ786558 LCF786558 LMB786558 LVX786558 MFT786558 MPP786558 MZL786558 NJH786558 NTD786558 OCZ786558 OMV786558 OWR786558 PGN786558 PQJ786558 QAF786558 QKB786558 QTX786558 RDT786558 RNP786558 RXL786558 SHH786558 SRD786558 TAZ786558 TKV786558 TUR786558 UEN786558 UOJ786558 UYF786558 VIB786558 VRX786558 WBT786558 WLP786558 WVL786558 D852094 IZ852094 SV852094 ACR852094 AMN852094 AWJ852094 BGF852094 BQB852094 BZX852094 CJT852094 CTP852094 DDL852094 DNH852094 DXD852094 EGZ852094 EQV852094 FAR852094 FKN852094 FUJ852094 GEF852094 GOB852094 GXX852094 HHT852094 HRP852094 IBL852094 ILH852094 IVD852094 JEZ852094 JOV852094 JYR852094 KIN852094 KSJ852094 LCF852094 LMB852094 LVX852094 MFT852094 MPP852094 MZL852094 NJH852094 NTD852094 OCZ852094 OMV852094 OWR852094 PGN852094 PQJ852094 QAF852094 QKB852094 QTX852094 RDT852094 RNP852094 RXL852094 SHH852094 SRD852094 TAZ852094 TKV852094 TUR852094 UEN852094 UOJ852094 UYF852094 VIB852094 VRX852094 WBT852094 WLP852094 WVL852094 D917630 IZ917630 SV917630 ACR917630 AMN917630 AWJ917630 BGF917630 BQB917630 BZX917630 CJT917630 CTP917630 DDL917630 DNH917630 DXD917630 EGZ917630 EQV917630 FAR917630 FKN917630 FUJ917630 GEF917630 GOB917630 GXX917630 HHT917630 HRP917630 IBL917630 ILH917630 IVD917630 JEZ917630 JOV917630 JYR917630 KIN917630 KSJ917630 LCF917630 LMB917630 LVX917630 MFT917630 MPP917630 MZL917630 NJH917630 NTD917630 OCZ917630 OMV917630 OWR917630 PGN917630 PQJ917630 QAF917630 QKB917630 QTX917630 RDT917630 RNP917630 RXL917630 SHH917630 SRD917630 TAZ917630 TKV917630 TUR917630 UEN917630 UOJ917630 UYF917630 VIB917630 VRX917630 WBT917630 WLP917630 WVL917630 D983166 IZ983166 SV983166 ACR983166 AMN983166 AWJ983166 BGF983166 BQB983166 BZX983166 CJT983166 CTP983166 DDL983166 DNH983166 DXD983166 EGZ983166 EQV983166 FAR983166 FKN983166 FUJ983166 GEF983166 GOB983166 GXX983166 HHT983166 HRP983166 IBL983166 ILH983166 IVD983166 JEZ983166 JOV983166 JYR983166 KIN983166 KSJ983166 LCF983166 LMB983166 LVX983166 MFT983166 MPP983166 MZL983166 NJH983166 NTD983166 OCZ983166 OMV983166 OWR983166 PGN983166 PQJ983166 QAF983166 QKB983166 QTX983166 RDT983166 RNP983166 RXL983166 SHH983166 SRD983166 TAZ983166 TKV983166 TUR983166 UEN983166 UOJ983166 UYF983166 VIB983166 VRX983166 WBT983166 WLP983166 WVL983166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496 IZ65496 SV65496 ACR65496 AMN65496 AWJ65496 BGF65496 BQB65496 BZX65496 CJT65496 CTP65496 DDL65496 DNH65496 DXD65496 EGZ65496 EQV65496 FAR65496 FKN65496 FUJ65496 GEF65496 GOB65496 GXX65496 HHT65496 HRP65496 IBL65496 ILH65496 IVD65496 JEZ65496 JOV65496 JYR65496 KIN65496 KSJ65496 LCF65496 LMB65496 LVX65496 MFT65496 MPP65496 MZL65496 NJH65496 NTD65496 OCZ65496 OMV65496 OWR65496 PGN65496 PQJ65496 QAF65496 QKB65496 QTX65496 RDT65496 RNP65496 RXL65496 SHH65496 SRD65496 TAZ65496 TKV65496 TUR65496 UEN65496 UOJ65496 UYF65496 VIB65496 VRX65496 WBT65496 WLP65496 WVL65496 D131032 IZ131032 SV131032 ACR131032 AMN131032 AWJ131032 BGF131032 BQB131032 BZX131032 CJT131032 CTP131032 DDL131032 DNH131032 DXD131032 EGZ131032 EQV131032 FAR131032 FKN131032 FUJ131032 GEF131032 GOB131032 GXX131032 HHT131032 HRP131032 IBL131032 ILH131032 IVD131032 JEZ131032 JOV131032 JYR131032 KIN131032 KSJ131032 LCF131032 LMB131032 LVX131032 MFT131032 MPP131032 MZL131032 NJH131032 NTD131032 OCZ131032 OMV131032 OWR131032 PGN131032 PQJ131032 QAF131032 QKB131032 QTX131032 RDT131032 RNP131032 RXL131032 SHH131032 SRD131032 TAZ131032 TKV131032 TUR131032 UEN131032 UOJ131032 UYF131032 VIB131032 VRX131032 WBT131032 WLP131032 WVL131032 D196568 IZ196568 SV196568 ACR196568 AMN196568 AWJ196568 BGF196568 BQB196568 BZX196568 CJT196568 CTP196568 DDL196568 DNH196568 DXD196568 EGZ196568 EQV196568 FAR196568 FKN196568 FUJ196568 GEF196568 GOB196568 GXX196568 HHT196568 HRP196568 IBL196568 ILH196568 IVD196568 JEZ196568 JOV196568 JYR196568 KIN196568 KSJ196568 LCF196568 LMB196568 LVX196568 MFT196568 MPP196568 MZL196568 NJH196568 NTD196568 OCZ196568 OMV196568 OWR196568 PGN196568 PQJ196568 QAF196568 QKB196568 QTX196568 RDT196568 RNP196568 RXL196568 SHH196568 SRD196568 TAZ196568 TKV196568 TUR196568 UEN196568 UOJ196568 UYF196568 VIB196568 VRX196568 WBT196568 WLP196568 WVL196568 D262104 IZ262104 SV262104 ACR262104 AMN262104 AWJ262104 BGF262104 BQB262104 BZX262104 CJT262104 CTP262104 DDL262104 DNH262104 DXD262104 EGZ262104 EQV262104 FAR262104 FKN262104 FUJ262104 GEF262104 GOB262104 GXX262104 HHT262104 HRP262104 IBL262104 ILH262104 IVD262104 JEZ262104 JOV262104 JYR262104 KIN262104 KSJ262104 LCF262104 LMB262104 LVX262104 MFT262104 MPP262104 MZL262104 NJH262104 NTD262104 OCZ262104 OMV262104 OWR262104 PGN262104 PQJ262104 QAF262104 QKB262104 QTX262104 RDT262104 RNP262104 RXL262104 SHH262104 SRD262104 TAZ262104 TKV262104 TUR262104 UEN262104 UOJ262104 UYF262104 VIB262104 VRX262104 WBT262104 WLP262104 WVL262104 D327640 IZ327640 SV327640 ACR327640 AMN327640 AWJ327640 BGF327640 BQB327640 BZX327640 CJT327640 CTP327640 DDL327640 DNH327640 DXD327640 EGZ327640 EQV327640 FAR327640 FKN327640 FUJ327640 GEF327640 GOB327640 GXX327640 HHT327640 HRP327640 IBL327640 ILH327640 IVD327640 JEZ327640 JOV327640 JYR327640 KIN327640 KSJ327640 LCF327640 LMB327640 LVX327640 MFT327640 MPP327640 MZL327640 NJH327640 NTD327640 OCZ327640 OMV327640 OWR327640 PGN327640 PQJ327640 QAF327640 QKB327640 QTX327640 RDT327640 RNP327640 RXL327640 SHH327640 SRD327640 TAZ327640 TKV327640 TUR327640 UEN327640 UOJ327640 UYF327640 VIB327640 VRX327640 WBT327640 WLP327640 WVL327640 D393176 IZ393176 SV393176 ACR393176 AMN393176 AWJ393176 BGF393176 BQB393176 BZX393176 CJT393176 CTP393176 DDL393176 DNH393176 DXD393176 EGZ393176 EQV393176 FAR393176 FKN393176 FUJ393176 GEF393176 GOB393176 GXX393176 HHT393176 HRP393176 IBL393176 ILH393176 IVD393176 JEZ393176 JOV393176 JYR393176 KIN393176 KSJ393176 LCF393176 LMB393176 LVX393176 MFT393176 MPP393176 MZL393176 NJH393176 NTD393176 OCZ393176 OMV393176 OWR393176 PGN393176 PQJ393176 QAF393176 QKB393176 QTX393176 RDT393176 RNP393176 RXL393176 SHH393176 SRD393176 TAZ393176 TKV393176 TUR393176 UEN393176 UOJ393176 UYF393176 VIB393176 VRX393176 WBT393176 WLP393176 WVL393176 D458712 IZ458712 SV458712 ACR458712 AMN458712 AWJ458712 BGF458712 BQB458712 BZX458712 CJT458712 CTP458712 DDL458712 DNH458712 DXD458712 EGZ458712 EQV458712 FAR458712 FKN458712 FUJ458712 GEF458712 GOB458712 GXX458712 HHT458712 HRP458712 IBL458712 ILH458712 IVD458712 JEZ458712 JOV458712 JYR458712 KIN458712 KSJ458712 LCF458712 LMB458712 LVX458712 MFT458712 MPP458712 MZL458712 NJH458712 NTD458712 OCZ458712 OMV458712 OWR458712 PGN458712 PQJ458712 QAF458712 QKB458712 QTX458712 RDT458712 RNP458712 RXL458712 SHH458712 SRD458712 TAZ458712 TKV458712 TUR458712 UEN458712 UOJ458712 UYF458712 VIB458712 VRX458712 WBT458712 WLP458712 WVL458712 D524248 IZ524248 SV524248 ACR524248 AMN524248 AWJ524248 BGF524248 BQB524248 BZX524248 CJT524248 CTP524248 DDL524248 DNH524248 DXD524248 EGZ524248 EQV524248 FAR524248 FKN524248 FUJ524248 GEF524248 GOB524248 GXX524248 HHT524248 HRP524248 IBL524248 ILH524248 IVD524248 JEZ524248 JOV524248 JYR524248 KIN524248 KSJ524248 LCF524248 LMB524248 LVX524248 MFT524248 MPP524248 MZL524248 NJH524248 NTD524248 OCZ524248 OMV524248 OWR524248 PGN524248 PQJ524248 QAF524248 QKB524248 QTX524248 RDT524248 RNP524248 RXL524248 SHH524248 SRD524248 TAZ524248 TKV524248 TUR524248 UEN524248 UOJ524248 UYF524248 VIB524248 VRX524248 WBT524248 WLP524248 WVL524248 D589784 IZ589784 SV589784 ACR589784 AMN589784 AWJ589784 BGF589784 BQB589784 BZX589784 CJT589784 CTP589784 DDL589784 DNH589784 DXD589784 EGZ589784 EQV589784 FAR589784 FKN589784 FUJ589784 GEF589784 GOB589784 GXX589784 HHT589784 HRP589784 IBL589784 ILH589784 IVD589784 JEZ589784 JOV589784 JYR589784 KIN589784 KSJ589784 LCF589784 LMB589784 LVX589784 MFT589784 MPP589784 MZL589784 NJH589784 NTD589784 OCZ589784 OMV589784 OWR589784 PGN589784 PQJ589784 QAF589784 QKB589784 QTX589784 RDT589784 RNP589784 RXL589784 SHH589784 SRD589784 TAZ589784 TKV589784 TUR589784 UEN589784 UOJ589784 UYF589784 VIB589784 VRX589784 WBT589784 WLP589784 WVL589784 D655320 IZ655320 SV655320 ACR655320 AMN655320 AWJ655320 BGF655320 BQB655320 BZX655320 CJT655320 CTP655320 DDL655320 DNH655320 DXD655320 EGZ655320 EQV655320 FAR655320 FKN655320 FUJ655320 GEF655320 GOB655320 GXX655320 HHT655320 HRP655320 IBL655320 ILH655320 IVD655320 JEZ655320 JOV655320 JYR655320 KIN655320 KSJ655320 LCF655320 LMB655320 LVX655320 MFT655320 MPP655320 MZL655320 NJH655320 NTD655320 OCZ655320 OMV655320 OWR655320 PGN655320 PQJ655320 QAF655320 QKB655320 QTX655320 RDT655320 RNP655320 RXL655320 SHH655320 SRD655320 TAZ655320 TKV655320 TUR655320 UEN655320 UOJ655320 UYF655320 VIB655320 VRX655320 WBT655320 WLP655320 WVL655320 D720856 IZ720856 SV720856 ACR720856 AMN720856 AWJ720856 BGF720856 BQB720856 BZX720856 CJT720856 CTP720856 DDL720856 DNH720856 DXD720856 EGZ720856 EQV720856 FAR720856 FKN720856 FUJ720856 GEF720856 GOB720856 GXX720856 HHT720856 HRP720856 IBL720856 ILH720856 IVD720856 JEZ720856 JOV720856 JYR720856 KIN720856 KSJ720856 LCF720856 LMB720856 LVX720856 MFT720856 MPP720856 MZL720856 NJH720856 NTD720856 OCZ720856 OMV720856 OWR720856 PGN720856 PQJ720856 QAF720856 QKB720856 QTX720856 RDT720856 RNP720856 RXL720856 SHH720856 SRD720856 TAZ720856 TKV720856 TUR720856 UEN720856 UOJ720856 UYF720856 VIB720856 VRX720856 WBT720856 WLP720856 WVL720856 D786392 IZ786392 SV786392 ACR786392 AMN786392 AWJ786392 BGF786392 BQB786392 BZX786392 CJT786392 CTP786392 DDL786392 DNH786392 DXD786392 EGZ786392 EQV786392 FAR786392 FKN786392 FUJ786392 GEF786392 GOB786392 GXX786392 HHT786392 HRP786392 IBL786392 ILH786392 IVD786392 JEZ786392 JOV786392 JYR786392 KIN786392 KSJ786392 LCF786392 LMB786392 LVX786392 MFT786392 MPP786392 MZL786392 NJH786392 NTD786392 OCZ786392 OMV786392 OWR786392 PGN786392 PQJ786392 QAF786392 QKB786392 QTX786392 RDT786392 RNP786392 RXL786392 SHH786392 SRD786392 TAZ786392 TKV786392 TUR786392 UEN786392 UOJ786392 UYF786392 VIB786392 VRX786392 WBT786392 WLP786392 WVL786392 D851928 IZ851928 SV851928 ACR851928 AMN851928 AWJ851928 BGF851928 BQB851928 BZX851928 CJT851928 CTP851928 DDL851928 DNH851928 DXD851928 EGZ851928 EQV851928 FAR851928 FKN851928 FUJ851928 GEF851928 GOB851928 GXX851928 HHT851928 HRP851928 IBL851928 ILH851928 IVD851928 JEZ851928 JOV851928 JYR851928 KIN851928 KSJ851928 LCF851928 LMB851928 LVX851928 MFT851928 MPP851928 MZL851928 NJH851928 NTD851928 OCZ851928 OMV851928 OWR851928 PGN851928 PQJ851928 QAF851928 QKB851928 QTX851928 RDT851928 RNP851928 RXL851928 SHH851928 SRD851928 TAZ851928 TKV851928 TUR851928 UEN851928 UOJ851928 UYF851928 VIB851928 VRX851928 WBT851928 WLP851928 WVL851928 D917464 IZ917464 SV917464 ACR917464 AMN917464 AWJ917464 BGF917464 BQB917464 BZX917464 CJT917464 CTP917464 DDL917464 DNH917464 DXD917464 EGZ917464 EQV917464 FAR917464 FKN917464 FUJ917464 GEF917464 GOB917464 GXX917464 HHT917464 HRP917464 IBL917464 ILH917464 IVD917464 JEZ917464 JOV917464 JYR917464 KIN917464 KSJ917464 LCF917464 LMB917464 LVX917464 MFT917464 MPP917464 MZL917464 NJH917464 NTD917464 OCZ917464 OMV917464 OWR917464 PGN917464 PQJ917464 QAF917464 QKB917464 QTX917464 RDT917464 RNP917464 RXL917464 SHH917464 SRD917464 TAZ917464 TKV917464 TUR917464 UEN917464 UOJ917464 UYF917464 VIB917464 VRX917464 WBT917464 WLP917464 WVL917464 D983000 IZ983000 SV983000 ACR983000 AMN983000 AWJ983000 BGF983000 BQB983000 BZX983000 CJT983000 CTP983000 DDL983000 DNH983000 DXD983000 EGZ983000 EQV983000 FAR983000 FKN983000 FUJ983000 GEF983000 GOB983000 GXX983000 HHT983000 HRP983000 IBL983000 ILH983000 IVD983000 JEZ983000 JOV983000 JYR983000 KIN983000 KSJ983000 LCF983000 LMB983000 LVX983000 MFT983000 MPP983000 MZL983000 NJH983000 NTD983000 OCZ983000 OMV983000 OWR983000 PGN983000 PQJ983000 QAF983000 QKB983000 QTX983000 RDT983000 RNP983000 RXL983000 SHH983000 SRD983000 TAZ983000 TKV983000 TUR983000 UEN983000 UOJ983000 UYF983000 VIB983000 VRX983000 WBT983000 WLP983000 WVL983000" xr:uid="{B9C2A402-8BC1-4F38-B2E3-3A89A9F93859}">
      <formula1>"Core1,Core2,Core3"</formula1>
    </dataValidation>
  </dataValidations>
  <printOptions horizontalCentered="1" verticalCentered="1"/>
  <pageMargins left="0.5" right="0.5" top="0.5" bottom="0.5" header="0" footer="0"/>
  <pageSetup paperSize="9" scale="90" orientation="portrait" r:id="rId1"/>
  <headerFooter alignWithMargins="0"/>
  <rowBreaks count="6" manualBreakCount="6">
    <brk id="45" max="21" man="1"/>
    <brk id="85" max="21" man="1"/>
    <brk id="124" max="21" man="1"/>
    <brk id="164" max="21" man="1"/>
    <brk id="204" max="21" man="1"/>
    <brk id="244" max="21"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F4E9-35EA-4675-8A2F-132F746B82C1}">
  <sheetPr codeName="Sheet224">
    <tabColor indexed="45"/>
  </sheetPr>
  <dimension ref="A1:AD172"/>
  <sheetViews>
    <sheetView showZeros="0" tabSelected="1" view="pageBreakPreview" topLeftCell="A216" zoomScale="115" zoomScaleNormal="100" zoomScaleSheetLayoutView="115" workbookViewId="0">
      <selection activeCell="J52" sqref="J52"/>
    </sheetView>
  </sheetViews>
  <sheetFormatPr defaultColWidth="4.33203125" defaultRowHeight="18" customHeight="1"/>
  <cols>
    <col min="1" max="16384" width="4.33203125" style="30"/>
  </cols>
  <sheetData>
    <row r="1" spans="1:29" ht="18" customHeight="1">
      <c r="A1" s="717"/>
      <c r="B1" s="718"/>
      <c r="C1" s="718"/>
      <c r="D1" s="718"/>
      <c r="E1" s="718"/>
      <c r="F1" s="718"/>
      <c r="G1" s="719"/>
      <c r="H1" s="726"/>
      <c r="I1" s="727"/>
      <c r="J1" s="727"/>
      <c r="K1" s="727"/>
      <c r="L1" s="727"/>
      <c r="M1" s="727"/>
      <c r="N1" s="728"/>
      <c r="O1" s="702"/>
      <c r="P1" s="703"/>
      <c r="Q1" s="704"/>
      <c r="R1" s="705"/>
      <c r="S1" s="706"/>
      <c r="T1" s="706"/>
      <c r="U1" s="706"/>
      <c r="V1" s="707"/>
      <c r="W1" s="14"/>
      <c r="X1" s="14"/>
    </row>
    <row r="2" spans="1:29" ht="18" customHeight="1">
      <c r="A2" s="720"/>
      <c r="B2" s="721"/>
      <c r="C2" s="721"/>
      <c r="D2" s="721"/>
      <c r="E2" s="721"/>
      <c r="F2" s="721"/>
      <c r="G2" s="722"/>
      <c r="H2" s="729"/>
      <c r="I2" s="730"/>
      <c r="J2" s="730"/>
      <c r="K2" s="730"/>
      <c r="L2" s="730"/>
      <c r="M2" s="730"/>
      <c r="N2" s="731"/>
      <c r="O2" s="702"/>
      <c r="P2" s="703"/>
      <c r="Q2" s="704"/>
      <c r="R2" s="732"/>
      <c r="S2" s="733"/>
      <c r="T2" s="733"/>
      <c r="U2" s="733"/>
      <c r="V2" s="734"/>
      <c r="W2" s="14"/>
      <c r="X2" s="14"/>
    </row>
    <row r="3" spans="1:29" ht="18" customHeight="1">
      <c r="A3" s="720"/>
      <c r="B3" s="721"/>
      <c r="C3" s="721"/>
      <c r="D3" s="721"/>
      <c r="E3" s="721"/>
      <c r="F3" s="721"/>
      <c r="G3" s="722"/>
      <c r="H3" s="735" t="s">
        <v>990</v>
      </c>
      <c r="I3" s="736"/>
      <c r="J3" s="736"/>
      <c r="K3" s="736"/>
      <c r="L3" s="736"/>
      <c r="M3" s="736"/>
      <c r="N3" s="737"/>
      <c r="O3" s="702"/>
      <c r="P3" s="703"/>
      <c r="Q3" s="704"/>
      <c r="R3" s="705"/>
      <c r="S3" s="706"/>
      <c r="T3" s="706"/>
      <c r="U3" s="706"/>
      <c r="V3" s="707"/>
      <c r="W3" s="14"/>
      <c r="X3" s="14"/>
    </row>
    <row r="4" spans="1:29" ht="18" customHeight="1">
      <c r="A4" s="723"/>
      <c r="B4" s="724"/>
      <c r="C4" s="724"/>
      <c r="D4" s="724"/>
      <c r="E4" s="724"/>
      <c r="F4" s="724"/>
      <c r="G4" s="725"/>
      <c r="H4" s="738"/>
      <c r="I4" s="739"/>
      <c r="J4" s="739"/>
      <c r="K4" s="739"/>
      <c r="L4" s="739"/>
      <c r="M4" s="739"/>
      <c r="N4" s="740"/>
      <c r="O4" s="702"/>
      <c r="P4" s="703"/>
      <c r="Q4" s="704"/>
      <c r="R4" s="705"/>
      <c r="S4" s="706"/>
      <c r="T4" s="706"/>
      <c r="U4" s="706"/>
      <c r="V4" s="707"/>
      <c r="W4" s="14"/>
      <c r="X4" s="14"/>
    </row>
    <row r="5" spans="1:29" ht="18" customHeight="1">
      <c r="A5" s="708"/>
      <c r="B5" s="709"/>
      <c r="C5" s="25"/>
      <c r="D5" s="708"/>
      <c r="E5" s="710"/>
      <c r="F5" s="709"/>
      <c r="G5" s="25"/>
      <c r="H5" s="711"/>
      <c r="I5" s="712"/>
      <c r="J5" s="712"/>
      <c r="K5" s="712"/>
      <c r="L5" s="712"/>
      <c r="M5" s="712"/>
      <c r="N5" s="713"/>
      <c r="O5" s="714"/>
      <c r="P5" s="715"/>
      <c r="Q5" s="716"/>
      <c r="R5" s="705"/>
      <c r="S5" s="706"/>
      <c r="T5" s="706"/>
      <c r="U5" s="706"/>
      <c r="V5" s="707"/>
      <c r="W5" s="14"/>
      <c r="X5" s="14"/>
    </row>
    <row r="6" spans="1:29" ht="18" customHeight="1">
      <c r="A6" s="196"/>
      <c r="V6" s="197"/>
    </row>
    <row r="7" spans="1:29" ht="18" customHeight="1">
      <c r="A7" s="196"/>
      <c r="B7" s="696" t="s">
        <v>120</v>
      </c>
      <c r="C7" s="697"/>
      <c r="D7" s="696" t="s">
        <v>517</v>
      </c>
      <c r="E7" s="698"/>
      <c r="F7" s="267"/>
      <c r="H7" s="638" t="s">
        <v>570</v>
      </c>
      <c r="I7" s="639"/>
      <c r="J7" s="639"/>
      <c r="K7" s="639"/>
      <c r="L7" s="639"/>
      <c r="M7" s="639"/>
      <c r="P7" s="198"/>
      <c r="S7" s="199" t="s">
        <v>398</v>
      </c>
      <c r="T7" s="694" t="s">
        <v>571</v>
      </c>
      <c r="U7" s="695"/>
      <c r="V7" s="197"/>
    </row>
    <row r="8" spans="1:29" ht="18" customHeight="1">
      <c r="A8" s="196"/>
      <c r="B8" s="654"/>
      <c r="C8" s="655"/>
      <c r="D8" s="699"/>
      <c r="E8" s="700"/>
      <c r="F8" s="267"/>
      <c r="T8" s="694"/>
      <c r="U8" s="695"/>
      <c r="V8" s="197"/>
    </row>
    <row r="9" spans="1:29" ht="18" customHeight="1">
      <c r="A9" s="196"/>
      <c r="H9" s="662" t="s">
        <v>401</v>
      </c>
      <c r="I9" s="662"/>
      <c r="J9" s="701" t="s">
        <v>402</v>
      </c>
      <c r="K9" s="701"/>
      <c r="L9" s="701" t="s">
        <v>403</v>
      </c>
      <c r="M9" s="701"/>
      <c r="T9" s="694"/>
      <c r="U9" s="695"/>
      <c r="V9" s="197"/>
    </row>
    <row r="10" spans="1:29" ht="18" customHeight="1">
      <c r="A10" s="196"/>
      <c r="B10" s="47" t="s">
        <v>404</v>
      </c>
      <c r="H10" s="692">
        <v>1200</v>
      </c>
      <c r="I10" s="693"/>
      <c r="J10" s="656">
        <v>1200</v>
      </c>
      <c r="K10" s="657"/>
      <c r="L10" s="656" t="s">
        <v>7</v>
      </c>
      <c r="M10" s="657"/>
      <c r="N10" s="203" t="s">
        <v>353</v>
      </c>
      <c r="O10" s="125">
        <v>1</v>
      </c>
      <c r="P10" s="27" t="s">
        <v>9</v>
      </c>
      <c r="R10" s="267"/>
      <c r="S10" s="267"/>
      <c r="T10" s="694"/>
      <c r="U10" s="695"/>
      <c r="V10" s="197"/>
    </row>
    <row r="11" spans="1:29" ht="18" customHeight="1">
      <c r="A11" s="196"/>
      <c r="B11" s="47" t="s">
        <v>405</v>
      </c>
      <c r="H11" s="305" t="s">
        <v>572</v>
      </c>
      <c r="I11" s="306">
        <v>20</v>
      </c>
      <c r="V11" s="197"/>
    </row>
    <row r="12" spans="1:29" ht="18" customHeight="1">
      <c r="A12" s="196"/>
      <c r="B12" s="47" t="s">
        <v>407</v>
      </c>
      <c r="G12" s="120" t="s">
        <v>508</v>
      </c>
      <c r="H12" s="654">
        <v>15</v>
      </c>
      <c r="I12" s="655"/>
      <c r="J12" s="204" t="s">
        <v>344</v>
      </c>
      <c r="L12" s="464"/>
      <c r="M12" s="464"/>
      <c r="N12" s="464"/>
      <c r="O12" s="464"/>
      <c r="P12" s="464"/>
      <c r="Q12" s="464"/>
      <c r="R12" s="464"/>
      <c r="S12" s="464"/>
      <c r="T12" s="464"/>
      <c r="U12" s="464"/>
      <c r="V12" s="197"/>
    </row>
    <row r="13" spans="1:29" ht="18" customHeight="1">
      <c r="A13" s="196"/>
      <c r="B13" s="47" t="s">
        <v>573</v>
      </c>
      <c r="G13" s="120" t="s">
        <v>504</v>
      </c>
      <c r="H13" s="654">
        <v>16</v>
      </c>
      <c r="I13" s="655"/>
      <c r="J13" s="14" t="s">
        <v>168</v>
      </c>
      <c r="L13" s="464"/>
      <c r="M13" s="464"/>
      <c r="N13" s="464"/>
      <c r="O13" s="464"/>
      <c r="P13" s="464"/>
      <c r="Q13" s="464"/>
      <c r="R13" s="464"/>
      <c r="S13" s="464"/>
      <c r="T13" s="464"/>
      <c r="U13" s="464"/>
      <c r="V13" s="197"/>
      <c r="W13" s="30" t="str">
        <f>G42</f>
        <v>Suitably Dimensioned</v>
      </c>
      <c r="AC13" s="30">
        <v>5</v>
      </c>
    </row>
    <row r="14" spans="1:29" ht="18" customHeight="1">
      <c r="A14" s="196"/>
      <c r="H14" s="14"/>
      <c r="L14" s="464"/>
      <c r="M14" s="464"/>
      <c r="N14" s="464"/>
      <c r="O14" s="464"/>
      <c r="P14" s="464"/>
      <c r="Q14" s="464"/>
      <c r="R14" s="464"/>
      <c r="S14" s="464"/>
      <c r="T14" s="464"/>
      <c r="U14" s="464"/>
      <c r="V14" s="197"/>
    </row>
    <row r="15" spans="1:29" ht="18" customHeight="1">
      <c r="A15" s="205" t="s">
        <v>415</v>
      </c>
      <c r="L15" s="464"/>
      <c r="M15" s="464"/>
      <c r="N15" s="464"/>
      <c r="O15" s="464"/>
      <c r="P15" s="464"/>
      <c r="Q15" s="464"/>
      <c r="R15" s="464"/>
      <c r="S15" s="464"/>
      <c r="T15" s="464"/>
      <c r="U15" s="464"/>
      <c r="V15" s="197"/>
    </row>
    <row r="16" spans="1:29" ht="18" customHeight="1">
      <c r="A16" s="196"/>
      <c r="V16" s="197"/>
    </row>
    <row r="17" spans="1:25" ht="18" customHeight="1">
      <c r="A17" s="196"/>
      <c r="B17" s="141" t="s">
        <v>416</v>
      </c>
      <c r="C17" s="285"/>
      <c r="D17" s="146" t="str">
        <f>T7</f>
        <v>7SJ85</v>
      </c>
      <c r="E17" s="239"/>
      <c r="F17" s="239"/>
      <c r="G17" s="239"/>
      <c r="H17" s="145"/>
      <c r="I17" s="272" t="s">
        <v>138</v>
      </c>
      <c r="J17" s="684">
        <f>'CT-VT Burdens'!Q54</f>
        <v>0.02</v>
      </c>
      <c r="K17" s="685"/>
      <c r="L17" s="3" t="s">
        <v>168</v>
      </c>
      <c r="N17" s="209" t="s">
        <v>521</v>
      </c>
      <c r="V17" s="197"/>
    </row>
    <row r="18" spans="1:25" ht="18" customHeight="1">
      <c r="A18" s="196"/>
      <c r="B18" s="96" t="s">
        <v>416</v>
      </c>
      <c r="D18" s="308">
        <f>T8</f>
        <v>0</v>
      </c>
      <c r="I18" s="189" t="s">
        <v>138</v>
      </c>
      <c r="J18" s="686"/>
      <c r="K18" s="687"/>
      <c r="L18" s="210" t="s">
        <v>168</v>
      </c>
      <c r="P18" s="256"/>
      <c r="V18" s="197"/>
    </row>
    <row r="19" spans="1:25" ht="18" customHeight="1">
      <c r="A19" s="196"/>
      <c r="B19" s="96" t="s">
        <v>416</v>
      </c>
      <c r="C19" s="14"/>
      <c r="D19" s="47">
        <f>T9</f>
        <v>0</v>
      </c>
      <c r="E19" s="14"/>
      <c r="G19" s="211"/>
      <c r="H19" s="27"/>
      <c r="I19" s="101" t="s">
        <v>138</v>
      </c>
      <c r="J19" s="688"/>
      <c r="K19" s="689"/>
      <c r="L19" s="214" t="s">
        <v>168</v>
      </c>
      <c r="V19" s="197"/>
    </row>
    <row r="20" spans="1:25" ht="18" customHeight="1">
      <c r="A20" s="196"/>
      <c r="B20" s="96" t="s">
        <v>416</v>
      </c>
      <c r="C20" s="14"/>
      <c r="D20" s="47"/>
      <c r="E20" s="14"/>
      <c r="G20" s="211"/>
      <c r="H20" s="27"/>
      <c r="I20" s="101"/>
      <c r="J20" s="688"/>
      <c r="K20" s="684"/>
      <c r="L20" s="214" t="s">
        <v>168</v>
      </c>
      <c r="N20" s="120" t="s">
        <v>502</v>
      </c>
      <c r="O20" s="27" t="s">
        <v>138</v>
      </c>
      <c r="P20" s="27" t="s">
        <v>522</v>
      </c>
      <c r="Q20" s="27" t="s">
        <v>326</v>
      </c>
      <c r="R20" s="27" t="s">
        <v>522</v>
      </c>
      <c r="S20" s="27" t="s">
        <v>326</v>
      </c>
      <c r="T20" s="27" t="s">
        <v>431</v>
      </c>
      <c r="V20" s="197"/>
    </row>
    <row r="21" spans="1:25" ht="18" customHeight="1">
      <c r="A21" s="196"/>
      <c r="B21" s="196" t="s">
        <v>423</v>
      </c>
      <c r="C21" s="14"/>
      <c r="D21" s="14"/>
      <c r="E21" s="14"/>
      <c r="H21" s="27"/>
      <c r="I21" s="101" t="s">
        <v>138</v>
      </c>
      <c r="J21" s="690">
        <f>'CT-VT Burdens'!S22</f>
        <v>1.44186744</v>
      </c>
      <c r="K21" s="691"/>
      <c r="L21" s="309" t="s">
        <v>168</v>
      </c>
      <c r="O21" s="27" t="s">
        <v>138</v>
      </c>
      <c r="P21" s="27">
        <f>O10</f>
        <v>1</v>
      </c>
      <c r="Q21" s="27" t="s">
        <v>326</v>
      </c>
      <c r="R21" s="27">
        <f>O10</f>
        <v>1</v>
      </c>
      <c r="S21" s="27" t="s">
        <v>326</v>
      </c>
      <c r="T21" s="27">
        <f>H12</f>
        <v>15</v>
      </c>
      <c r="V21" s="197"/>
    </row>
    <row r="22" spans="1:25" ht="18" customHeight="1">
      <c r="A22" s="196"/>
      <c r="B22" s="1" t="s">
        <v>424</v>
      </c>
      <c r="C22" s="2"/>
      <c r="D22" s="2"/>
      <c r="E22" s="2"/>
      <c r="F22" s="208"/>
      <c r="G22" s="208"/>
      <c r="H22" s="236" t="s">
        <v>523</v>
      </c>
      <c r="I22" s="195" t="s">
        <v>138</v>
      </c>
      <c r="J22" s="648">
        <f>SUM(J17:J21)</f>
        <v>1.46186744</v>
      </c>
      <c r="K22" s="649"/>
      <c r="L22" s="3" t="s">
        <v>168</v>
      </c>
      <c r="O22" s="27" t="s">
        <v>138</v>
      </c>
      <c r="P22" s="637">
        <f>P21*R21*T21</f>
        <v>15</v>
      </c>
      <c r="Q22" s="639"/>
      <c r="R22" s="27" t="s">
        <v>168</v>
      </c>
      <c r="S22" s="27"/>
      <c r="T22" s="27"/>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554</v>
      </c>
      <c r="D24" s="14"/>
      <c r="E24" s="14"/>
      <c r="F24" s="14"/>
      <c r="G24" s="14"/>
      <c r="H24" s="291"/>
      <c r="I24" s="120"/>
      <c r="J24" s="291"/>
      <c r="K24" s="291"/>
      <c r="L24" s="14"/>
      <c r="M24" s="14"/>
      <c r="N24" s="14"/>
      <c r="O24" s="14"/>
      <c r="P24" s="14"/>
      <c r="Q24" s="120" t="s">
        <v>555</v>
      </c>
      <c r="R24" s="102" t="s">
        <v>138</v>
      </c>
      <c r="S24" s="638">
        <f>'Parameters &amp; Fault Cal. (4)'!Q10*1000</f>
        <v>40000</v>
      </c>
      <c r="T24" s="638"/>
      <c r="U24" s="47" t="s">
        <v>9</v>
      </c>
      <c r="V24" s="97" t="s">
        <v>140</v>
      </c>
      <c r="X24" s="310" t="s">
        <v>574</v>
      </c>
    </row>
    <row r="25" spans="1:25" ht="18" customHeight="1">
      <c r="A25" s="180"/>
      <c r="B25" s="5"/>
      <c r="C25" s="47" t="s">
        <v>556</v>
      </c>
      <c r="D25" s="14"/>
      <c r="E25" s="14"/>
      <c r="F25" s="18"/>
      <c r="G25" s="18"/>
      <c r="H25" s="291"/>
      <c r="I25" s="120"/>
      <c r="J25" s="291"/>
      <c r="K25" s="291"/>
      <c r="L25" s="14"/>
      <c r="M25" s="14"/>
      <c r="N25" s="14"/>
      <c r="O25" s="14"/>
      <c r="P25" s="14"/>
      <c r="Q25" s="120" t="s">
        <v>434</v>
      </c>
      <c r="R25" s="102" t="s">
        <v>138</v>
      </c>
      <c r="S25" s="638">
        <f>H10</f>
        <v>1200</v>
      </c>
      <c r="T25" s="638"/>
      <c r="U25" s="14" t="s">
        <v>9</v>
      </c>
      <c r="V25" s="197"/>
    </row>
    <row r="26" spans="1:25" ht="18" customHeight="1">
      <c r="A26" s="180"/>
      <c r="B26" s="5"/>
      <c r="C26" s="47" t="s">
        <v>558</v>
      </c>
      <c r="D26" s="14"/>
      <c r="E26" s="14"/>
      <c r="F26" s="18"/>
      <c r="G26" s="18"/>
      <c r="H26" s="291"/>
      <c r="I26" s="120"/>
      <c r="J26" s="291"/>
      <c r="K26" s="291"/>
      <c r="L26" s="14"/>
      <c r="M26" s="14"/>
      <c r="N26" s="14"/>
      <c r="O26" s="14"/>
      <c r="P26" s="14"/>
      <c r="Q26" s="120" t="s">
        <v>502</v>
      </c>
      <c r="R26" s="102" t="s">
        <v>138</v>
      </c>
      <c r="S26" s="641">
        <f>P22</f>
        <v>15</v>
      </c>
      <c r="T26" s="638"/>
      <c r="U26" s="14" t="s">
        <v>168</v>
      </c>
      <c r="V26" s="197"/>
      <c r="W26" s="291"/>
      <c r="X26" s="291"/>
      <c r="Y26" s="291"/>
    </row>
    <row r="27" spans="1:25" ht="18" customHeight="1">
      <c r="A27" s="180"/>
      <c r="B27" s="5"/>
      <c r="C27" s="47" t="s">
        <v>559</v>
      </c>
      <c r="D27" s="14"/>
      <c r="E27" s="14"/>
      <c r="F27" s="18"/>
      <c r="G27" s="18"/>
      <c r="H27" s="291"/>
      <c r="I27" s="120"/>
      <c r="J27" s="291"/>
      <c r="K27" s="291"/>
      <c r="L27" s="14"/>
      <c r="M27" s="14"/>
      <c r="N27" s="14"/>
      <c r="O27" s="14"/>
      <c r="P27" s="14"/>
      <c r="Q27" s="120" t="s">
        <v>523</v>
      </c>
      <c r="R27" s="102" t="s">
        <v>138</v>
      </c>
      <c r="S27" s="641">
        <f>J22</f>
        <v>1.46186744</v>
      </c>
      <c r="T27" s="638"/>
      <c r="U27" s="14" t="s">
        <v>168</v>
      </c>
      <c r="V27" s="197"/>
      <c r="X27" s="291"/>
      <c r="Y27" s="291"/>
    </row>
    <row r="28" spans="1:25" ht="18" customHeight="1">
      <c r="A28" s="180"/>
      <c r="B28" s="5"/>
      <c r="C28" s="47" t="s">
        <v>560</v>
      </c>
      <c r="D28" s="14"/>
      <c r="E28" s="14"/>
      <c r="F28" s="14"/>
      <c r="G28" s="14"/>
      <c r="H28" s="291"/>
      <c r="I28" s="120"/>
      <c r="J28" s="291"/>
      <c r="K28" s="291"/>
      <c r="L28" s="14"/>
      <c r="M28" s="14"/>
      <c r="N28" s="14"/>
      <c r="O28" s="14"/>
      <c r="P28" s="14"/>
      <c r="Q28" s="120" t="s">
        <v>522</v>
      </c>
      <c r="R28" s="102" t="s">
        <v>138</v>
      </c>
      <c r="S28" s="638">
        <f>O10</f>
        <v>1</v>
      </c>
      <c r="T28" s="638"/>
      <c r="U28" s="14" t="s">
        <v>9</v>
      </c>
      <c r="V28" s="197"/>
      <c r="X28" s="291"/>
      <c r="Y28" s="291"/>
    </row>
    <row r="29" spans="1:25" ht="18" customHeight="1">
      <c r="A29" s="180"/>
      <c r="B29" s="5"/>
      <c r="C29" s="47" t="s">
        <v>561</v>
      </c>
      <c r="D29" s="14"/>
      <c r="E29" s="14"/>
      <c r="F29" s="14"/>
      <c r="G29" s="14"/>
      <c r="H29" s="291"/>
      <c r="I29" s="120"/>
      <c r="J29" s="291"/>
      <c r="K29" s="291"/>
      <c r="L29" s="14"/>
      <c r="M29" s="14"/>
      <c r="N29" s="14"/>
      <c r="O29" s="14"/>
      <c r="P29" s="14"/>
      <c r="Q29" s="120" t="s">
        <v>506</v>
      </c>
      <c r="R29" s="102" t="s">
        <v>138</v>
      </c>
      <c r="S29" s="638">
        <f>I11</f>
        <v>20</v>
      </c>
      <c r="T29" s="638"/>
      <c r="U29" s="47"/>
      <c r="V29" s="197"/>
    </row>
    <row r="30" spans="1:25" ht="18" customHeight="1">
      <c r="A30" s="311"/>
      <c r="B30" s="291"/>
      <c r="C30" s="47" t="s">
        <v>562</v>
      </c>
      <c r="D30" s="14"/>
      <c r="E30" s="14"/>
      <c r="F30" s="14"/>
      <c r="G30" s="14"/>
      <c r="H30" s="291"/>
      <c r="I30" s="120"/>
      <c r="J30" s="291"/>
      <c r="K30" s="291"/>
      <c r="L30" s="14"/>
      <c r="M30" s="14"/>
      <c r="N30" s="291"/>
      <c r="O30" s="291"/>
      <c r="P30" s="14"/>
      <c r="Q30" s="120" t="s">
        <v>504</v>
      </c>
      <c r="R30" s="102" t="s">
        <v>138</v>
      </c>
      <c r="S30" s="638">
        <f>H13</f>
        <v>16</v>
      </c>
      <c r="T30" s="638"/>
      <c r="U30" s="14" t="s">
        <v>168</v>
      </c>
      <c r="V30" s="312"/>
      <c r="W30" s="291"/>
      <c r="X30" s="291"/>
      <c r="Y30" s="291"/>
    </row>
    <row r="31" spans="1:25" ht="18" customHeight="1">
      <c r="A31" s="196"/>
      <c r="V31" s="197"/>
    </row>
    <row r="32" spans="1:25" ht="18" customHeight="1">
      <c r="A32" s="196"/>
      <c r="E32" s="256" t="s">
        <v>123</v>
      </c>
      <c r="F32" s="27" t="s">
        <v>138</v>
      </c>
      <c r="G32" s="638" t="s">
        <v>555</v>
      </c>
      <c r="H32" s="638"/>
      <c r="I32" s="203" t="s">
        <v>353</v>
      </c>
      <c r="J32" s="639" t="s">
        <v>434</v>
      </c>
      <c r="K32" s="639"/>
      <c r="V32" s="197"/>
    </row>
    <row r="33" spans="1:22" ht="18" customHeight="1">
      <c r="A33" s="196"/>
      <c r="F33" s="27" t="s">
        <v>138</v>
      </c>
      <c r="G33" s="639">
        <f>S24</f>
        <v>40000</v>
      </c>
      <c r="H33" s="639"/>
      <c r="I33" s="203" t="s">
        <v>353</v>
      </c>
      <c r="J33" s="639">
        <f>S25</f>
        <v>1200</v>
      </c>
      <c r="K33" s="639"/>
      <c r="V33" s="197"/>
    </row>
    <row r="34" spans="1:22" ht="18" customHeight="1">
      <c r="A34" s="196"/>
      <c r="F34" s="27" t="s">
        <v>138</v>
      </c>
      <c r="G34" s="637">
        <f>G33/J33</f>
        <v>33.333333333333336</v>
      </c>
      <c r="H34" s="637"/>
      <c r="I34" s="27"/>
      <c r="J34" s="27"/>
      <c r="K34" s="27"/>
      <c r="V34" s="197"/>
    </row>
    <row r="35" spans="1:22" ht="18" customHeight="1">
      <c r="A35" s="196"/>
      <c r="V35" s="197"/>
    </row>
    <row r="36" spans="1:22" ht="18" customHeight="1">
      <c r="A36" s="196"/>
      <c r="E36" s="256" t="s">
        <v>564</v>
      </c>
      <c r="F36" s="27" t="s">
        <v>138</v>
      </c>
      <c r="G36" s="27" t="s">
        <v>506</v>
      </c>
      <c r="H36" s="27" t="s">
        <v>565</v>
      </c>
      <c r="I36" s="120" t="s">
        <v>502</v>
      </c>
      <c r="J36" s="28" t="s">
        <v>358</v>
      </c>
      <c r="K36" s="120" t="s">
        <v>504</v>
      </c>
      <c r="L36" s="28" t="s">
        <v>550</v>
      </c>
      <c r="M36" s="120" t="s">
        <v>502</v>
      </c>
      <c r="N36" s="28" t="s">
        <v>358</v>
      </c>
      <c r="O36" s="120" t="s">
        <v>523</v>
      </c>
      <c r="P36" s="308" t="s">
        <v>361</v>
      </c>
      <c r="Q36" s="14"/>
      <c r="V36" s="197"/>
    </row>
    <row r="37" spans="1:22" ht="18" customHeight="1">
      <c r="A37" s="196"/>
      <c r="F37" s="27" t="s">
        <v>138</v>
      </c>
      <c r="G37" s="254">
        <f>S29</f>
        <v>20</v>
      </c>
      <c r="H37" s="257" t="s">
        <v>565</v>
      </c>
      <c r="I37" s="313">
        <f>S26</f>
        <v>15</v>
      </c>
      <c r="J37" s="257" t="s">
        <v>358</v>
      </c>
      <c r="K37" s="254">
        <f>S30</f>
        <v>16</v>
      </c>
      <c r="L37" s="257" t="s">
        <v>550</v>
      </c>
      <c r="M37" s="313">
        <f>S26</f>
        <v>15</v>
      </c>
      <c r="N37" s="257" t="s">
        <v>358</v>
      </c>
      <c r="O37" s="313">
        <f>S27</f>
        <v>1.46186744</v>
      </c>
      <c r="P37" s="308" t="s">
        <v>361</v>
      </c>
      <c r="V37" s="197"/>
    </row>
    <row r="38" spans="1:22" ht="18" customHeight="1">
      <c r="A38" s="196"/>
      <c r="F38" s="27" t="s">
        <v>138</v>
      </c>
      <c r="G38" s="640">
        <f>G37*((I37+K37)/(M37+O37))</f>
        <v>37.662798723156286</v>
      </c>
      <c r="H38" s="640"/>
      <c r="I38" s="254"/>
      <c r="J38" s="254"/>
      <c r="K38" s="254"/>
      <c r="L38" s="254"/>
      <c r="M38" s="254"/>
      <c r="N38" s="254"/>
      <c r="O38" s="254"/>
      <c r="V38" s="197"/>
    </row>
    <row r="39" spans="1:22" ht="18" customHeight="1">
      <c r="A39" s="196"/>
      <c r="V39" s="197"/>
    </row>
    <row r="40" spans="1:22" ht="18" customHeight="1">
      <c r="A40" s="196"/>
      <c r="E40" s="256" t="s">
        <v>566</v>
      </c>
      <c r="F40" s="27" t="str">
        <f>IF(D41&gt;G41,"&gt;","&lt;")</f>
        <v>&gt;</v>
      </c>
      <c r="G40" s="308" t="s">
        <v>123</v>
      </c>
      <c r="V40" s="197"/>
    </row>
    <row r="41" spans="1:22" ht="18" customHeight="1">
      <c r="A41" s="196"/>
      <c r="D41" s="637">
        <f>G38</f>
        <v>37.662798723156286</v>
      </c>
      <c r="E41" s="637"/>
      <c r="F41" s="27" t="str">
        <f>F40</f>
        <v>&gt;</v>
      </c>
      <c r="G41" s="637">
        <f>G34</f>
        <v>33.333333333333336</v>
      </c>
      <c r="H41" s="637"/>
      <c r="V41" s="197"/>
    </row>
    <row r="42" spans="1:22" ht="18" customHeight="1">
      <c r="A42" s="196"/>
      <c r="E42" s="256" t="s">
        <v>489</v>
      </c>
      <c r="G42" s="18" t="str">
        <f>IF(F40="&gt;","Suitably Dimensioned","Under Dimensioned")</f>
        <v>Suitably Dimensioned</v>
      </c>
      <c r="V42" s="197"/>
    </row>
    <row r="43" spans="1:22" ht="18" customHeight="1">
      <c r="A43" s="196"/>
      <c r="V43" s="197"/>
    </row>
    <row r="44" spans="1:22" ht="18" customHeight="1">
      <c r="A44" s="196"/>
      <c r="B44" s="464"/>
      <c r="C44" s="464"/>
      <c r="D44" s="464"/>
      <c r="E44" s="464"/>
      <c r="F44" s="464"/>
      <c r="G44" s="464"/>
      <c r="H44" s="464"/>
      <c r="I44" s="464"/>
      <c r="J44" s="464"/>
      <c r="K44" s="464"/>
      <c r="L44" s="464"/>
      <c r="M44" s="464"/>
      <c r="N44" s="464"/>
      <c r="O44" s="464"/>
      <c r="P44" s="464"/>
      <c r="Q44" s="464"/>
      <c r="R44" s="464"/>
      <c r="S44" s="464"/>
      <c r="T44" s="464"/>
      <c r="U44" s="464"/>
      <c r="V44" s="197"/>
    </row>
    <row r="45" spans="1:22" ht="18" customHeight="1">
      <c r="A45" s="196"/>
      <c r="J45" s="14" t="s">
        <v>270</v>
      </c>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2"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2" ht="18" customHeight="1">
      <c r="A48" s="196"/>
      <c r="B48" s="667" t="str">
        <f>B7</f>
        <v>T1</v>
      </c>
      <c r="C48" s="668"/>
      <c r="D48" s="680" t="str">
        <f>D7</f>
        <v>Core2</v>
      </c>
      <c r="E48" s="681"/>
      <c r="F48" s="267"/>
      <c r="H48" s="639" t="str">
        <f>H7</f>
        <v>(OC +BCU)</v>
      </c>
      <c r="I48" s="639"/>
      <c r="J48" s="639"/>
      <c r="K48" s="639"/>
      <c r="L48" s="639"/>
      <c r="M48" s="639"/>
      <c r="P48" s="198"/>
      <c r="S48" s="199" t="s">
        <v>398</v>
      </c>
      <c r="T48" s="677" t="str">
        <f>T7</f>
        <v>7SJ85</v>
      </c>
      <c r="U48" s="678"/>
      <c r="V48" s="197"/>
    </row>
    <row r="49" spans="1:30" ht="18" customHeight="1">
      <c r="A49" s="196"/>
      <c r="B49" s="679">
        <f>B8</f>
        <v>0</v>
      </c>
      <c r="C49" s="679"/>
      <c r="D49" s="682"/>
      <c r="E49" s="683"/>
      <c r="F49" s="267"/>
      <c r="T49" s="677">
        <f>T8</f>
        <v>0</v>
      </c>
      <c r="U49" s="678"/>
      <c r="V49" s="197"/>
    </row>
    <row r="50" spans="1:30" ht="18" customHeight="1">
      <c r="A50" s="196"/>
      <c r="H50" s="661" t="s">
        <v>401</v>
      </c>
      <c r="I50" s="661"/>
      <c r="J50" s="662" t="s">
        <v>402</v>
      </c>
      <c r="K50" s="662"/>
      <c r="L50" s="661" t="s">
        <v>403</v>
      </c>
      <c r="M50" s="661"/>
      <c r="T50" s="671">
        <f>T9</f>
        <v>0</v>
      </c>
      <c r="U50" s="672"/>
      <c r="V50" s="197"/>
    </row>
    <row r="51" spans="1:30" ht="18" customHeight="1">
      <c r="A51" s="196"/>
      <c r="B51" s="47" t="s">
        <v>404</v>
      </c>
      <c r="H51" s="667">
        <f>H10</f>
        <v>1200</v>
      </c>
      <c r="I51" s="668"/>
      <c r="J51" s="669">
        <v>1400</v>
      </c>
      <c r="K51" s="670"/>
      <c r="L51" s="667" t="str">
        <f>L10</f>
        <v>-</v>
      </c>
      <c r="M51" s="668"/>
      <c r="N51" s="203" t="s">
        <v>353</v>
      </c>
      <c r="O51" s="501">
        <f>O10</f>
        <v>1</v>
      </c>
      <c r="P51" s="27" t="s">
        <v>9</v>
      </c>
      <c r="R51" s="267"/>
      <c r="S51" s="267"/>
      <c r="T51" s="671">
        <f>T10</f>
        <v>0</v>
      </c>
      <c r="U51" s="672"/>
      <c r="V51" s="197"/>
    </row>
    <row r="52" spans="1:30" ht="18" customHeight="1">
      <c r="A52" s="196"/>
      <c r="B52" s="47" t="s">
        <v>405</v>
      </c>
      <c r="J52" s="503" t="str">
        <f>H11</f>
        <v>5P</v>
      </c>
      <c r="K52" s="502">
        <f>I11</f>
        <v>20</v>
      </c>
      <c r="V52" s="197"/>
    </row>
    <row r="53" spans="1:30" ht="18" customHeight="1">
      <c r="A53" s="196"/>
      <c r="B53" s="47" t="s">
        <v>407</v>
      </c>
      <c r="I53" s="120" t="s">
        <v>508</v>
      </c>
      <c r="J53" s="673">
        <v>16</v>
      </c>
      <c r="K53" s="674"/>
      <c r="L53" s="204" t="s">
        <v>344</v>
      </c>
      <c r="V53" s="197"/>
    </row>
    <row r="54" spans="1:30" ht="18" customHeight="1">
      <c r="A54" s="196"/>
      <c r="B54" s="47" t="s">
        <v>573</v>
      </c>
      <c r="I54" s="120" t="s">
        <v>504</v>
      </c>
      <c r="J54" s="675">
        <v>15</v>
      </c>
      <c r="K54" s="676"/>
      <c r="L54" s="14" t="s">
        <v>168</v>
      </c>
      <c r="T54" s="307"/>
      <c r="U54" s="18"/>
      <c r="V54" s="197"/>
      <c r="W54" s="30" t="str">
        <f>G83</f>
        <v>Suitably Dimentioned</v>
      </c>
      <c r="AD54" s="30">
        <v>5</v>
      </c>
    </row>
    <row r="55" spans="1:30" ht="18" customHeight="1">
      <c r="A55" s="196"/>
      <c r="V55" s="197"/>
    </row>
    <row r="56" spans="1:30" ht="18" customHeight="1">
      <c r="A56" s="205" t="s">
        <v>415</v>
      </c>
      <c r="V56" s="197"/>
    </row>
    <row r="57" spans="1:30" ht="18" customHeight="1">
      <c r="A57" s="196"/>
      <c r="V57" s="197"/>
    </row>
    <row r="58" spans="1:30" ht="18" customHeight="1">
      <c r="A58" s="196"/>
      <c r="B58" s="141" t="s">
        <v>416</v>
      </c>
      <c r="C58" s="285"/>
      <c r="D58" s="146" t="str">
        <f>T48</f>
        <v>7SJ85</v>
      </c>
      <c r="E58" s="239"/>
      <c r="F58" s="239"/>
      <c r="G58" s="239"/>
      <c r="H58" s="145"/>
      <c r="I58" s="272" t="s">
        <v>138</v>
      </c>
      <c r="J58" s="648">
        <f>J17</f>
        <v>0.02</v>
      </c>
      <c r="K58" s="649"/>
      <c r="L58" s="3" t="s">
        <v>168</v>
      </c>
      <c r="N58" s="209" t="s">
        <v>521</v>
      </c>
      <c r="V58" s="197"/>
    </row>
    <row r="59" spans="1:30" ht="18" customHeight="1">
      <c r="A59" s="196"/>
      <c r="B59" s="96" t="s">
        <v>416</v>
      </c>
      <c r="D59" s="308">
        <f>T49</f>
        <v>0</v>
      </c>
      <c r="I59" s="189" t="s">
        <v>138</v>
      </c>
      <c r="J59" s="642">
        <f>J18</f>
        <v>0</v>
      </c>
      <c r="K59" s="643"/>
      <c r="L59" s="210" t="s">
        <v>168</v>
      </c>
      <c r="P59" s="256"/>
      <c r="V59" s="197"/>
    </row>
    <row r="60" spans="1:30" ht="18" customHeight="1">
      <c r="A60" s="196"/>
      <c r="B60" s="96" t="s">
        <v>416</v>
      </c>
      <c r="C60" s="14"/>
      <c r="D60" s="47">
        <f>T50</f>
        <v>0</v>
      </c>
      <c r="E60" s="14"/>
      <c r="G60" s="211"/>
      <c r="H60" s="27"/>
      <c r="I60" s="101" t="s">
        <v>138</v>
      </c>
      <c r="J60" s="644">
        <f>J19</f>
        <v>0</v>
      </c>
      <c r="K60" s="645"/>
      <c r="L60" s="214" t="s">
        <v>168</v>
      </c>
      <c r="V60" s="197"/>
    </row>
    <row r="61" spans="1:30" ht="18" customHeight="1">
      <c r="A61" s="196"/>
      <c r="B61" s="96" t="s">
        <v>416</v>
      </c>
      <c r="C61" s="14"/>
      <c r="D61" s="47">
        <f>T51</f>
        <v>0</v>
      </c>
      <c r="E61" s="14"/>
      <c r="G61" s="211"/>
      <c r="H61" s="27"/>
      <c r="I61" s="101"/>
      <c r="J61" s="644">
        <f>J20</f>
        <v>0</v>
      </c>
      <c r="K61" s="645"/>
      <c r="L61" s="214" t="s">
        <v>168</v>
      </c>
      <c r="N61" s="120" t="s">
        <v>502</v>
      </c>
      <c r="O61" s="27" t="s">
        <v>138</v>
      </c>
      <c r="P61" s="27" t="s">
        <v>522</v>
      </c>
      <c r="Q61" s="27" t="s">
        <v>326</v>
      </c>
      <c r="R61" s="27" t="s">
        <v>522</v>
      </c>
      <c r="S61" s="27" t="s">
        <v>326</v>
      </c>
      <c r="T61" s="27" t="s">
        <v>431</v>
      </c>
      <c r="V61" s="197"/>
    </row>
    <row r="62" spans="1:30" ht="18" customHeight="1">
      <c r="A62" s="196"/>
      <c r="B62" s="196" t="s">
        <v>423</v>
      </c>
      <c r="C62" s="14"/>
      <c r="D62" s="14"/>
      <c r="E62" s="14"/>
      <c r="H62" s="27"/>
      <c r="I62" s="101" t="s">
        <v>138</v>
      </c>
      <c r="J62" s="646">
        <f>J21</f>
        <v>1.44186744</v>
      </c>
      <c r="K62" s="647"/>
      <c r="L62" s="309" t="s">
        <v>168</v>
      </c>
      <c r="O62" s="27" t="s">
        <v>138</v>
      </c>
      <c r="P62" s="27">
        <f>O51</f>
        <v>1</v>
      </c>
      <c r="Q62" s="27" t="s">
        <v>326</v>
      </c>
      <c r="R62" s="27">
        <f>O51</f>
        <v>1</v>
      </c>
      <c r="S62" s="27" t="s">
        <v>326</v>
      </c>
      <c r="T62" s="27">
        <f>J53</f>
        <v>16</v>
      </c>
      <c r="V62" s="197"/>
    </row>
    <row r="63" spans="1:30" ht="18" customHeight="1">
      <c r="A63" s="196"/>
      <c r="B63" s="1" t="s">
        <v>424</v>
      </c>
      <c r="C63" s="2"/>
      <c r="D63" s="2"/>
      <c r="E63" s="2"/>
      <c r="F63" s="208"/>
      <c r="G63" s="208"/>
      <c r="H63" s="236" t="s">
        <v>523</v>
      </c>
      <c r="I63" s="195" t="s">
        <v>138</v>
      </c>
      <c r="J63" s="648">
        <f>SUM(J58:J62)</f>
        <v>1.46186744</v>
      </c>
      <c r="K63" s="649"/>
      <c r="L63" s="3" t="s">
        <v>168</v>
      </c>
      <c r="O63" s="27" t="s">
        <v>138</v>
      </c>
      <c r="P63" s="637">
        <f>P62*R62*T62</f>
        <v>16</v>
      </c>
      <c r="Q63" s="639"/>
      <c r="R63" s="27" t="s">
        <v>168</v>
      </c>
      <c r="S63" s="27"/>
      <c r="T63" s="27"/>
      <c r="V63" s="197"/>
    </row>
    <row r="64" spans="1:30" ht="18" customHeight="1">
      <c r="A64" s="196"/>
      <c r="B64" s="47"/>
      <c r="C64" s="47"/>
      <c r="D64" s="47"/>
      <c r="E64" s="47"/>
      <c r="H64" s="27"/>
      <c r="I64" s="28"/>
      <c r="J64" s="211"/>
      <c r="L64" s="47"/>
      <c r="O64" s="27"/>
      <c r="P64" s="223"/>
      <c r="Q64" s="27"/>
      <c r="R64" s="216"/>
      <c r="S64" s="27"/>
      <c r="V64" s="197"/>
    </row>
    <row r="65" spans="1:25" ht="18" customHeight="1">
      <c r="A65" s="180"/>
      <c r="B65" s="5"/>
      <c r="C65" s="47" t="s">
        <v>554</v>
      </c>
      <c r="D65" s="14"/>
      <c r="E65" s="14"/>
      <c r="F65" s="14"/>
      <c r="G65" s="14"/>
      <c r="H65" s="291"/>
      <c r="I65" s="120"/>
      <c r="J65" s="291"/>
      <c r="K65" s="291"/>
      <c r="L65" s="14"/>
      <c r="M65" s="14"/>
      <c r="N65" s="14"/>
      <c r="O65" s="14"/>
      <c r="P65" s="14"/>
      <c r="Q65" s="120" t="s">
        <v>555</v>
      </c>
      <c r="R65" s="102" t="s">
        <v>138</v>
      </c>
      <c r="S65" s="638">
        <f>S24</f>
        <v>40000</v>
      </c>
      <c r="T65" s="638"/>
      <c r="U65" s="47" t="s">
        <v>9</v>
      </c>
      <c r="V65" s="197"/>
    </row>
    <row r="66" spans="1:25" ht="18" customHeight="1">
      <c r="A66" s="180"/>
      <c r="B66" s="5"/>
      <c r="C66" s="47" t="s">
        <v>556</v>
      </c>
      <c r="D66" s="14"/>
      <c r="E66" s="14"/>
      <c r="F66" s="18"/>
      <c r="G66" s="18"/>
      <c r="H66" s="291"/>
      <c r="I66" s="120"/>
      <c r="J66" s="291"/>
      <c r="K66" s="291"/>
      <c r="L66" s="14"/>
      <c r="M66" s="14"/>
      <c r="N66" s="14"/>
      <c r="O66" s="14"/>
      <c r="P66" s="14"/>
      <c r="Q66" s="120" t="s">
        <v>434</v>
      </c>
      <c r="R66" s="102" t="s">
        <v>138</v>
      </c>
      <c r="S66" s="638">
        <f>J51</f>
        <v>1400</v>
      </c>
      <c r="T66" s="638"/>
      <c r="U66" s="14" t="s">
        <v>9</v>
      </c>
      <c r="V66" s="197"/>
    </row>
    <row r="67" spans="1:25" ht="18" customHeight="1">
      <c r="A67" s="180"/>
      <c r="B67" s="5"/>
      <c r="C67" s="47" t="s">
        <v>558</v>
      </c>
      <c r="D67" s="14"/>
      <c r="E67" s="14"/>
      <c r="F67" s="18"/>
      <c r="G67" s="18"/>
      <c r="H67" s="291"/>
      <c r="I67" s="120"/>
      <c r="J67" s="291"/>
      <c r="K67" s="291"/>
      <c r="L67" s="14"/>
      <c r="M67" s="14"/>
      <c r="N67" s="14"/>
      <c r="O67" s="14"/>
      <c r="P67" s="14"/>
      <c r="Q67" s="120" t="s">
        <v>502</v>
      </c>
      <c r="R67" s="102" t="s">
        <v>138</v>
      </c>
      <c r="S67" s="641">
        <f>P63</f>
        <v>16</v>
      </c>
      <c r="T67" s="638"/>
      <c r="U67" s="14" t="s">
        <v>168</v>
      </c>
      <c r="V67" s="197"/>
      <c r="W67" s="291"/>
      <c r="X67" s="291"/>
      <c r="Y67" s="291"/>
    </row>
    <row r="68" spans="1:25" ht="18" customHeight="1">
      <c r="A68" s="180"/>
      <c r="B68" s="5"/>
      <c r="C68" s="47" t="s">
        <v>559</v>
      </c>
      <c r="D68" s="14"/>
      <c r="E68" s="14"/>
      <c r="F68" s="18"/>
      <c r="G68" s="18"/>
      <c r="H68" s="291"/>
      <c r="I68" s="120"/>
      <c r="J68" s="291"/>
      <c r="K68" s="291"/>
      <c r="L68" s="14"/>
      <c r="M68" s="14"/>
      <c r="N68" s="14"/>
      <c r="O68" s="14"/>
      <c r="P68" s="14"/>
      <c r="Q68" s="120" t="s">
        <v>523</v>
      </c>
      <c r="R68" s="102" t="s">
        <v>138</v>
      </c>
      <c r="S68" s="641">
        <f>J63</f>
        <v>1.46186744</v>
      </c>
      <c r="T68" s="638"/>
      <c r="U68" s="14" t="s">
        <v>168</v>
      </c>
      <c r="V68" s="197"/>
      <c r="X68" s="291"/>
      <c r="Y68" s="291"/>
    </row>
    <row r="69" spans="1:25" ht="18" customHeight="1">
      <c r="A69" s="180"/>
      <c r="B69" s="5"/>
      <c r="C69" s="47" t="s">
        <v>560</v>
      </c>
      <c r="D69" s="14"/>
      <c r="E69" s="14"/>
      <c r="F69" s="14"/>
      <c r="G69" s="14"/>
      <c r="H69" s="291"/>
      <c r="I69" s="120"/>
      <c r="J69" s="291"/>
      <c r="K69" s="291"/>
      <c r="L69" s="14"/>
      <c r="M69" s="14"/>
      <c r="N69" s="14"/>
      <c r="O69" s="14"/>
      <c r="P69" s="14"/>
      <c r="Q69" s="120" t="s">
        <v>522</v>
      </c>
      <c r="R69" s="102" t="s">
        <v>138</v>
      </c>
      <c r="S69" s="638">
        <f>O51</f>
        <v>1</v>
      </c>
      <c r="T69" s="638"/>
      <c r="U69" s="14" t="s">
        <v>9</v>
      </c>
      <c r="V69" s="197"/>
      <c r="X69" s="291"/>
      <c r="Y69" s="291"/>
    </row>
    <row r="70" spans="1:25" ht="18" customHeight="1">
      <c r="A70" s="180"/>
      <c r="B70" s="5"/>
      <c r="C70" s="47" t="s">
        <v>561</v>
      </c>
      <c r="D70" s="14"/>
      <c r="E70" s="14"/>
      <c r="F70" s="14"/>
      <c r="G70" s="14"/>
      <c r="H70" s="291"/>
      <c r="I70" s="120"/>
      <c r="J70" s="291"/>
      <c r="K70" s="291"/>
      <c r="L70" s="14"/>
      <c r="M70" s="14"/>
      <c r="N70" s="14"/>
      <c r="O70" s="14"/>
      <c r="P70" s="14"/>
      <c r="Q70" s="120" t="s">
        <v>506</v>
      </c>
      <c r="R70" s="102" t="s">
        <v>138</v>
      </c>
      <c r="S70" s="638">
        <f>K52</f>
        <v>20</v>
      </c>
      <c r="T70" s="638"/>
      <c r="U70" s="47"/>
      <c r="V70" s="197"/>
    </row>
    <row r="71" spans="1:25" ht="18" customHeight="1">
      <c r="A71" s="311"/>
      <c r="B71" s="291"/>
      <c r="C71" s="47" t="s">
        <v>562</v>
      </c>
      <c r="D71" s="14"/>
      <c r="E71" s="14"/>
      <c r="F71" s="14"/>
      <c r="G71" s="14"/>
      <c r="H71" s="291"/>
      <c r="I71" s="120"/>
      <c r="J71" s="291"/>
      <c r="K71" s="291"/>
      <c r="L71" s="14"/>
      <c r="M71" s="14"/>
      <c r="N71" s="291"/>
      <c r="O71" s="291"/>
      <c r="P71" s="14"/>
      <c r="Q71" s="120" t="s">
        <v>504</v>
      </c>
      <c r="R71" s="102" t="s">
        <v>138</v>
      </c>
      <c r="S71" s="638">
        <f>J54</f>
        <v>15</v>
      </c>
      <c r="T71" s="638"/>
      <c r="U71" s="14" t="s">
        <v>168</v>
      </c>
      <c r="V71" s="312"/>
      <c r="W71" s="291"/>
      <c r="X71" s="291"/>
      <c r="Y71" s="291"/>
    </row>
    <row r="72" spans="1:25" ht="18" customHeight="1">
      <c r="A72" s="196"/>
      <c r="V72" s="197"/>
    </row>
    <row r="73" spans="1:25" ht="18" customHeight="1">
      <c r="A73" s="196"/>
      <c r="E73" s="256" t="s">
        <v>123</v>
      </c>
      <c r="F73" s="27" t="s">
        <v>138</v>
      </c>
      <c r="G73" s="638" t="s">
        <v>555</v>
      </c>
      <c r="H73" s="638"/>
      <c r="I73" s="203" t="s">
        <v>353</v>
      </c>
      <c r="J73" s="639" t="s">
        <v>434</v>
      </c>
      <c r="K73" s="639"/>
      <c r="V73" s="197"/>
    </row>
    <row r="74" spans="1:25" ht="18" customHeight="1">
      <c r="A74" s="196"/>
      <c r="F74" s="27" t="s">
        <v>138</v>
      </c>
      <c r="G74" s="639">
        <f>S65</f>
        <v>40000</v>
      </c>
      <c r="H74" s="639"/>
      <c r="I74" s="203" t="s">
        <v>353</v>
      </c>
      <c r="J74" s="639">
        <f>S66</f>
        <v>1400</v>
      </c>
      <c r="K74" s="639"/>
      <c r="V74" s="197"/>
    </row>
    <row r="75" spans="1:25" ht="18" customHeight="1">
      <c r="A75" s="196"/>
      <c r="F75" s="27" t="s">
        <v>138</v>
      </c>
      <c r="G75" s="637">
        <f>G74/J74</f>
        <v>28.571428571428573</v>
      </c>
      <c r="H75" s="637"/>
      <c r="I75" s="27"/>
      <c r="J75" s="27"/>
      <c r="K75" s="27"/>
      <c r="V75" s="197"/>
    </row>
    <row r="76" spans="1:25" ht="18" customHeight="1">
      <c r="A76" s="196"/>
      <c r="V76" s="197"/>
    </row>
    <row r="77" spans="1:25" ht="18" customHeight="1">
      <c r="A77" s="196"/>
      <c r="E77" s="256" t="s">
        <v>564</v>
      </c>
      <c r="F77" s="27" t="s">
        <v>138</v>
      </c>
      <c r="G77" s="27" t="s">
        <v>506</v>
      </c>
      <c r="H77" s="27" t="s">
        <v>565</v>
      </c>
      <c r="I77" s="120" t="s">
        <v>502</v>
      </c>
      <c r="J77" s="28" t="s">
        <v>358</v>
      </c>
      <c r="K77" s="120" t="s">
        <v>504</v>
      </c>
      <c r="L77" s="28" t="s">
        <v>550</v>
      </c>
      <c r="M77" s="120" t="s">
        <v>502</v>
      </c>
      <c r="N77" s="28" t="s">
        <v>358</v>
      </c>
      <c r="O77" s="120" t="s">
        <v>523</v>
      </c>
      <c r="P77" s="308" t="s">
        <v>361</v>
      </c>
      <c r="V77" s="197"/>
    </row>
    <row r="78" spans="1:25" ht="18" customHeight="1">
      <c r="A78" s="196"/>
      <c r="F78" s="27" t="s">
        <v>138</v>
      </c>
      <c r="G78" s="254">
        <f>S70</f>
        <v>20</v>
      </c>
      <c r="H78" s="257" t="s">
        <v>565</v>
      </c>
      <c r="I78" s="313">
        <f>S67</f>
        <v>16</v>
      </c>
      <c r="J78" s="257" t="s">
        <v>358</v>
      </c>
      <c r="K78" s="254">
        <f>S71</f>
        <v>15</v>
      </c>
      <c r="L78" s="257" t="s">
        <v>550</v>
      </c>
      <c r="M78" s="313">
        <f>S67</f>
        <v>16</v>
      </c>
      <c r="N78" s="257" t="s">
        <v>358</v>
      </c>
      <c r="O78" s="313">
        <f>S68</f>
        <v>1.46186744</v>
      </c>
      <c r="P78" s="308" t="s">
        <v>361</v>
      </c>
      <c r="V78" s="197"/>
    </row>
    <row r="79" spans="1:25" ht="18" customHeight="1">
      <c r="A79" s="196"/>
      <c r="F79" s="27" t="s">
        <v>138</v>
      </c>
      <c r="G79" s="640">
        <f>G78*((I78+K78)/(M78+O78))</f>
        <v>35.505938991368268</v>
      </c>
      <c r="H79" s="640"/>
      <c r="I79" s="254"/>
      <c r="J79" s="254"/>
      <c r="K79" s="254"/>
      <c r="L79" s="254"/>
      <c r="M79" s="254"/>
      <c r="N79" s="254"/>
      <c r="O79" s="254"/>
      <c r="V79" s="197"/>
    </row>
    <row r="80" spans="1:25" ht="18" customHeight="1">
      <c r="A80" s="196"/>
      <c r="V80" s="197"/>
    </row>
    <row r="81" spans="1:23" ht="18" customHeight="1">
      <c r="A81" s="196"/>
      <c r="E81" s="256" t="s">
        <v>566</v>
      </c>
      <c r="F81" s="27" t="str">
        <f>IF(D82&gt;G82,"&gt;","&lt;")</f>
        <v>&gt;</v>
      </c>
      <c r="G81" s="308" t="s">
        <v>123</v>
      </c>
      <c r="V81" s="197"/>
    </row>
    <row r="82" spans="1:23" ht="18" customHeight="1">
      <c r="A82" s="196"/>
      <c r="D82" s="637">
        <f>G79</f>
        <v>35.505938991368268</v>
      </c>
      <c r="E82" s="637"/>
      <c r="F82" s="27" t="str">
        <f>F81</f>
        <v>&gt;</v>
      </c>
      <c r="G82" s="637">
        <f>G75</f>
        <v>28.571428571428573</v>
      </c>
      <c r="H82" s="637"/>
      <c r="V82" s="197"/>
    </row>
    <row r="83" spans="1:23" ht="18" customHeight="1">
      <c r="A83" s="196"/>
      <c r="E83" s="256" t="s">
        <v>489</v>
      </c>
      <c r="G83" s="18" t="str">
        <f>IF(F81="&gt;","Suitably Dimentioned","Under Dimentioned")</f>
        <v>Suitably Dimentioned</v>
      </c>
      <c r="V83" s="197"/>
    </row>
    <row r="84" spans="1:23" ht="18" customHeight="1">
      <c r="A84" s="196"/>
      <c r="E84" s="256"/>
      <c r="G84" s="18"/>
      <c r="V84" s="197"/>
    </row>
    <row r="85" spans="1:23" ht="18" customHeight="1">
      <c r="A85" s="196"/>
      <c r="E85" s="256"/>
      <c r="G85" s="18"/>
      <c r="V85" s="197"/>
    </row>
    <row r="86" spans="1:23" ht="18" customHeight="1">
      <c r="A86" s="196"/>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650" t="str">
        <f>B48</f>
        <v>T1</v>
      </c>
      <c r="C89" s="651"/>
      <c r="D89" s="663" t="str">
        <f>D48</f>
        <v>Core2</v>
      </c>
      <c r="E89" s="664"/>
      <c r="F89" s="267"/>
      <c r="H89" s="639" t="str">
        <f>H48</f>
        <v>(OC +BCU)</v>
      </c>
      <c r="I89" s="639"/>
      <c r="J89" s="639"/>
      <c r="K89" s="639"/>
      <c r="L89" s="639"/>
      <c r="M89" s="639"/>
      <c r="P89" s="198"/>
      <c r="S89" s="199" t="s">
        <v>398</v>
      </c>
      <c r="T89" s="658" t="str">
        <f>T48</f>
        <v>7SJ85</v>
      </c>
      <c r="U89" s="659"/>
      <c r="V89" s="197"/>
    </row>
    <row r="90" spans="1:23" ht="18" hidden="1" customHeight="1">
      <c r="A90" s="196"/>
      <c r="B90" s="660">
        <f>B49</f>
        <v>0</v>
      </c>
      <c r="C90" s="660"/>
      <c r="D90" s="665"/>
      <c r="E90" s="666"/>
      <c r="F90" s="267"/>
      <c r="T90" s="658">
        <f>T49</f>
        <v>0</v>
      </c>
      <c r="U90" s="659"/>
      <c r="V90" s="197"/>
    </row>
    <row r="91" spans="1:23" ht="18" hidden="1" customHeight="1">
      <c r="A91" s="196"/>
      <c r="H91" s="661" t="s">
        <v>401</v>
      </c>
      <c r="I91" s="661"/>
      <c r="J91" s="661" t="s">
        <v>402</v>
      </c>
      <c r="K91" s="661"/>
      <c r="L91" s="662" t="s">
        <v>403</v>
      </c>
      <c r="M91" s="662"/>
      <c r="T91" s="658">
        <f>T50</f>
        <v>0</v>
      </c>
      <c r="U91" s="659"/>
      <c r="V91" s="197"/>
    </row>
    <row r="92" spans="1:23" ht="18" hidden="1" customHeight="1">
      <c r="A92" s="196"/>
      <c r="B92" s="47" t="s">
        <v>404</v>
      </c>
      <c r="H92" s="650">
        <f>H51</f>
        <v>1200</v>
      </c>
      <c r="I92" s="651"/>
      <c r="J92" s="650">
        <f>J51</f>
        <v>1400</v>
      </c>
      <c r="K92" s="651"/>
      <c r="L92" s="652" t="str">
        <f>L51</f>
        <v>-</v>
      </c>
      <c r="M92" s="653"/>
      <c r="N92" s="203" t="s">
        <v>353</v>
      </c>
      <c r="O92" s="268">
        <f>O51</f>
        <v>1</v>
      </c>
      <c r="P92" s="27" t="s">
        <v>9</v>
      </c>
      <c r="R92" s="267"/>
      <c r="S92" s="267"/>
      <c r="V92" s="197"/>
    </row>
    <row r="93" spans="1:23" ht="18" hidden="1" customHeight="1">
      <c r="A93" s="196"/>
      <c r="B93" s="47" t="s">
        <v>405</v>
      </c>
      <c r="L93" s="314" t="str">
        <f>J52</f>
        <v>5P</v>
      </c>
      <c r="M93" s="315">
        <f>K52</f>
        <v>20</v>
      </c>
      <c r="V93" s="197"/>
    </row>
    <row r="94" spans="1:23" ht="18" hidden="1" customHeight="1">
      <c r="A94" s="196"/>
      <c r="B94" s="47" t="s">
        <v>407</v>
      </c>
      <c r="K94" s="120" t="s">
        <v>508</v>
      </c>
      <c r="L94" s="654" t="s">
        <v>7</v>
      </c>
      <c r="M94" s="655"/>
      <c r="N94" s="204" t="s">
        <v>344</v>
      </c>
      <c r="V94" s="197"/>
    </row>
    <row r="95" spans="1:23" ht="18" hidden="1" customHeight="1">
      <c r="A95" s="196"/>
      <c r="B95" s="47" t="s">
        <v>573</v>
      </c>
      <c r="K95" s="120" t="s">
        <v>504</v>
      </c>
      <c r="L95" s="656" t="s">
        <v>7</v>
      </c>
      <c r="M95" s="657"/>
      <c r="N95" s="14" t="s">
        <v>168</v>
      </c>
      <c r="T95" s="307"/>
      <c r="U95" s="18"/>
      <c r="V95" s="197"/>
      <c r="W95" s="30" t="e">
        <f>G123</f>
        <v>#VALUE!</v>
      </c>
    </row>
    <row r="96" spans="1:23" ht="18" hidden="1" customHeight="1">
      <c r="A96" s="196"/>
      <c r="V96" s="197"/>
    </row>
    <row r="97" spans="1:25" ht="18" hidden="1" customHeight="1">
      <c r="A97" s="205" t="s">
        <v>415</v>
      </c>
      <c r="V97" s="197"/>
    </row>
    <row r="98" spans="1:25" ht="18" hidden="1" customHeight="1">
      <c r="A98" s="196"/>
      <c r="V98" s="197"/>
    </row>
    <row r="99" spans="1:25" ht="18" hidden="1" customHeight="1">
      <c r="A99" s="196"/>
      <c r="B99" s="141" t="s">
        <v>416</v>
      </c>
      <c r="C99" s="285"/>
      <c r="D99" s="146" t="str">
        <f>T89</f>
        <v>7SJ85</v>
      </c>
      <c r="E99" s="239"/>
      <c r="F99" s="239"/>
      <c r="G99" s="239"/>
      <c r="H99" s="145"/>
      <c r="I99" s="272" t="s">
        <v>138</v>
      </c>
      <c r="J99" s="648">
        <f>J58</f>
        <v>0.02</v>
      </c>
      <c r="K99" s="649"/>
      <c r="L99" s="3" t="s">
        <v>168</v>
      </c>
      <c r="N99" s="209" t="s">
        <v>521</v>
      </c>
      <c r="V99" s="197"/>
    </row>
    <row r="100" spans="1:25" ht="18" hidden="1" customHeight="1">
      <c r="A100" s="196"/>
      <c r="B100" s="96" t="s">
        <v>416</v>
      </c>
      <c r="D100" s="308">
        <f>T90</f>
        <v>0</v>
      </c>
      <c r="I100" s="189" t="s">
        <v>138</v>
      </c>
      <c r="J100" s="642">
        <f>J59</f>
        <v>0</v>
      </c>
      <c r="K100" s="643"/>
      <c r="L100" s="210" t="s">
        <v>168</v>
      </c>
      <c r="P100" s="256"/>
      <c r="V100" s="197"/>
    </row>
    <row r="101" spans="1:25" ht="18" hidden="1" customHeight="1">
      <c r="A101" s="196"/>
      <c r="B101" s="96" t="s">
        <v>416</v>
      </c>
      <c r="C101" s="14"/>
      <c r="D101" s="47">
        <f>T91</f>
        <v>0</v>
      </c>
      <c r="E101" s="14"/>
      <c r="G101" s="211"/>
      <c r="H101" s="27"/>
      <c r="I101" s="101" t="s">
        <v>138</v>
      </c>
      <c r="J101" s="644">
        <f>J60</f>
        <v>0</v>
      </c>
      <c r="K101" s="645"/>
      <c r="L101" s="214" t="s">
        <v>168</v>
      </c>
      <c r="N101" s="120" t="s">
        <v>502</v>
      </c>
      <c r="O101" s="27" t="s">
        <v>138</v>
      </c>
      <c r="P101" s="27" t="s">
        <v>522</v>
      </c>
      <c r="Q101" s="27" t="s">
        <v>326</v>
      </c>
      <c r="R101" s="27" t="s">
        <v>522</v>
      </c>
      <c r="S101" s="27" t="s">
        <v>326</v>
      </c>
      <c r="T101" s="27" t="s">
        <v>431</v>
      </c>
      <c r="V101" s="197"/>
    </row>
    <row r="102" spans="1:25" ht="18" hidden="1" customHeight="1">
      <c r="A102" s="196"/>
      <c r="B102" s="196" t="s">
        <v>423</v>
      </c>
      <c r="C102" s="14"/>
      <c r="D102" s="14"/>
      <c r="E102" s="14"/>
      <c r="H102" s="27"/>
      <c r="I102" s="101" t="s">
        <v>138</v>
      </c>
      <c r="J102" s="646">
        <f>J62</f>
        <v>1.44186744</v>
      </c>
      <c r="K102" s="647"/>
      <c r="L102" s="309" t="s">
        <v>168</v>
      </c>
      <c r="O102" s="27" t="s">
        <v>138</v>
      </c>
      <c r="P102" s="27">
        <f>O92</f>
        <v>1</v>
      </c>
      <c r="Q102" s="27" t="s">
        <v>326</v>
      </c>
      <c r="R102" s="27">
        <f>O92</f>
        <v>1</v>
      </c>
      <c r="S102" s="27" t="s">
        <v>326</v>
      </c>
      <c r="T102" s="27" t="str">
        <f>L94</f>
        <v>-</v>
      </c>
      <c r="V102" s="197"/>
    </row>
    <row r="103" spans="1:25" ht="18" hidden="1" customHeight="1">
      <c r="A103" s="196"/>
      <c r="B103" s="1" t="s">
        <v>424</v>
      </c>
      <c r="C103" s="2"/>
      <c r="D103" s="2"/>
      <c r="E103" s="2"/>
      <c r="F103" s="208"/>
      <c r="G103" s="208"/>
      <c r="H103" s="236" t="s">
        <v>523</v>
      </c>
      <c r="I103" s="195" t="s">
        <v>138</v>
      </c>
      <c r="J103" s="648">
        <f>SUM(J99:J102)</f>
        <v>1.46186744</v>
      </c>
      <c r="K103" s="649"/>
      <c r="L103" s="3" t="s">
        <v>168</v>
      </c>
      <c r="O103" s="27" t="s">
        <v>138</v>
      </c>
      <c r="P103" s="637" t="e">
        <f>P102*R102*T102</f>
        <v>#VALUE!</v>
      </c>
      <c r="Q103" s="639"/>
      <c r="R103" s="27" t="s">
        <v>168</v>
      </c>
      <c r="S103" s="27"/>
      <c r="T103" s="27"/>
      <c r="V103" s="197"/>
    </row>
    <row r="104" spans="1:25" ht="18" hidden="1" customHeight="1">
      <c r="A104" s="196"/>
      <c r="B104" s="47"/>
      <c r="C104" s="47"/>
      <c r="D104" s="47"/>
      <c r="E104" s="47"/>
      <c r="H104" s="27"/>
      <c r="I104" s="28"/>
      <c r="J104" s="211"/>
      <c r="L104" s="47"/>
      <c r="O104" s="27"/>
      <c r="P104" s="223"/>
      <c r="Q104" s="27"/>
      <c r="R104" s="216"/>
      <c r="S104" s="27"/>
      <c r="V104" s="197"/>
    </row>
    <row r="105" spans="1:25" ht="18" hidden="1" customHeight="1">
      <c r="A105" s="180"/>
      <c r="B105" s="5"/>
      <c r="C105" s="47" t="s">
        <v>554</v>
      </c>
      <c r="D105" s="14"/>
      <c r="E105" s="14"/>
      <c r="F105" s="14"/>
      <c r="G105" s="14"/>
      <c r="H105" s="291"/>
      <c r="I105" s="120"/>
      <c r="J105" s="291"/>
      <c r="K105" s="291"/>
      <c r="L105" s="14"/>
      <c r="M105" s="14"/>
      <c r="N105" s="14"/>
      <c r="O105" s="14"/>
      <c r="P105" s="14"/>
      <c r="Q105" s="120" t="s">
        <v>555</v>
      </c>
      <c r="R105" s="102" t="s">
        <v>138</v>
      </c>
      <c r="S105" s="638">
        <f>S65</f>
        <v>40000</v>
      </c>
      <c r="T105" s="638"/>
      <c r="U105" s="47" t="s">
        <v>9</v>
      </c>
      <c r="V105" s="197"/>
    </row>
    <row r="106" spans="1:25" ht="18" hidden="1" customHeight="1">
      <c r="A106" s="180"/>
      <c r="B106" s="5"/>
      <c r="C106" s="47" t="s">
        <v>556</v>
      </c>
      <c r="D106" s="14"/>
      <c r="E106" s="14"/>
      <c r="F106" s="18"/>
      <c r="G106" s="18"/>
      <c r="H106" s="291"/>
      <c r="I106" s="120"/>
      <c r="J106" s="291"/>
      <c r="K106" s="291"/>
      <c r="L106" s="14"/>
      <c r="M106" s="14"/>
      <c r="N106" s="14"/>
      <c r="O106" s="14"/>
      <c r="P106" s="14"/>
      <c r="Q106" s="120" t="s">
        <v>434</v>
      </c>
      <c r="R106" s="102" t="s">
        <v>138</v>
      </c>
      <c r="S106" s="638">
        <f>J92</f>
        <v>1400</v>
      </c>
      <c r="T106" s="638"/>
      <c r="U106" s="14" t="s">
        <v>9</v>
      </c>
      <c r="V106" s="197"/>
    </row>
    <row r="107" spans="1:25" ht="18" hidden="1" customHeight="1">
      <c r="A107" s="180"/>
      <c r="B107" s="5"/>
      <c r="C107" s="47" t="s">
        <v>558</v>
      </c>
      <c r="D107" s="14"/>
      <c r="E107" s="14"/>
      <c r="F107" s="18"/>
      <c r="G107" s="18"/>
      <c r="H107" s="291"/>
      <c r="I107" s="120"/>
      <c r="J107" s="291"/>
      <c r="K107" s="291"/>
      <c r="L107" s="14"/>
      <c r="M107" s="14"/>
      <c r="N107" s="14"/>
      <c r="O107" s="14"/>
      <c r="P107" s="14"/>
      <c r="Q107" s="120" t="s">
        <v>502</v>
      </c>
      <c r="R107" s="102" t="s">
        <v>138</v>
      </c>
      <c r="S107" s="641" t="e">
        <f>P103</f>
        <v>#VALUE!</v>
      </c>
      <c r="T107" s="638"/>
      <c r="U107" s="14" t="s">
        <v>168</v>
      </c>
      <c r="V107" s="197"/>
      <c r="W107" s="291"/>
      <c r="X107" s="291"/>
      <c r="Y107" s="291"/>
    </row>
    <row r="108" spans="1:25" ht="18" hidden="1" customHeight="1">
      <c r="A108" s="180"/>
      <c r="B108" s="5"/>
      <c r="C108" s="47" t="s">
        <v>559</v>
      </c>
      <c r="D108" s="14"/>
      <c r="E108" s="14"/>
      <c r="F108" s="18"/>
      <c r="G108" s="18"/>
      <c r="H108" s="291"/>
      <c r="I108" s="120"/>
      <c r="J108" s="291"/>
      <c r="K108" s="291"/>
      <c r="L108" s="14"/>
      <c r="M108" s="14"/>
      <c r="N108" s="14"/>
      <c r="O108" s="14"/>
      <c r="P108" s="14"/>
      <c r="Q108" s="120" t="s">
        <v>523</v>
      </c>
      <c r="R108" s="102" t="s">
        <v>138</v>
      </c>
      <c r="S108" s="641">
        <f>J103</f>
        <v>1.46186744</v>
      </c>
      <c r="T108" s="638"/>
      <c r="U108" s="14" t="s">
        <v>168</v>
      </c>
      <c r="V108" s="197"/>
      <c r="X108" s="291"/>
      <c r="Y108" s="291"/>
    </row>
    <row r="109" spans="1:25" ht="18" hidden="1" customHeight="1">
      <c r="A109" s="180"/>
      <c r="B109" s="5"/>
      <c r="C109" s="47" t="s">
        <v>560</v>
      </c>
      <c r="D109" s="14"/>
      <c r="E109" s="14"/>
      <c r="F109" s="14"/>
      <c r="G109" s="14"/>
      <c r="H109" s="291"/>
      <c r="I109" s="120"/>
      <c r="J109" s="291"/>
      <c r="K109" s="291"/>
      <c r="L109" s="14"/>
      <c r="M109" s="14"/>
      <c r="N109" s="14"/>
      <c r="O109" s="14"/>
      <c r="P109" s="14"/>
      <c r="Q109" s="120" t="s">
        <v>522</v>
      </c>
      <c r="R109" s="102" t="s">
        <v>138</v>
      </c>
      <c r="S109" s="638">
        <f>O92</f>
        <v>1</v>
      </c>
      <c r="T109" s="638"/>
      <c r="U109" s="14" t="s">
        <v>9</v>
      </c>
      <c r="V109" s="197"/>
      <c r="X109" s="291"/>
      <c r="Y109" s="291"/>
    </row>
    <row r="110" spans="1:25" ht="18" hidden="1" customHeight="1">
      <c r="A110" s="180"/>
      <c r="B110" s="5"/>
      <c r="C110" s="47" t="s">
        <v>561</v>
      </c>
      <c r="D110" s="14"/>
      <c r="E110" s="14"/>
      <c r="F110" s="14"/>
      <c r="G110" s="14"/>
      <c r="H110" s="291"/>
      <c r="I110" s="120"/>
      <c r="J110" s="291"/>
      <c r="K110" s="291"/>
      <c r="L110" s="14"/>
      <c r="M110" s="14"/>
      <c r="N110" s="14"/>
      <c r="O110" s="14"/>
      <c r="P110" s="14"/>
      <c r="Q110" s="120" t="s">
        <v>506</v>
      </c>
      <c r="R110" s="102" t="s">
        <v>138</v>
      </c>
      <c r="S110" s="638">
        <f>M93</f>
        <v>20</v>
      </c>
      <c r="T110" s="638"/>
      <c r="U110" s="47"/>
      <c r="V110" s="197"/>
    </row>
    <row r="111" spans="1:25" ht="18" hidden="1" customHeight="1">
      <c r="A111" s="311"/>
      <c r="B111" s="291"/>
      <c r="C111" s="47" t="s">
        <v>562</v>
      </c>
      <c r="D111" s="14"/>
      <c r="E111" s="14"/>
      <c r="F111" s="14"/>
      <c r="G111" s="14"/>
      <c r="H111" s="291"/>
      <c r="I111" s="120"/>
      <c r="J111" s="291"/>
      <c r="K111" s="291"/>
      <c r="L111" s="14"/>
      <c r="M111" s="14"/>
      <c r="N111" s="291"/>
      <c r="O111" s="291"/>
      <c r="P111" s="14"/>
      <c r="Q111" s="120" t="s">
        <v>504</v>
      </c>
      <c r="R111" s="102" t="s">
        <v>138</v>
      </c>
      <c r="S111" s="638" t="str">
        <f>L95</f>
        <v>-</v>
      </c>
      <c r="T111" s="638"/>
      <c r="U111" s="14" t="s">
        <v>168</v>
      </c>
      <c r="V111" s="312"/>
      <c r="W111" s="291"/>
      <c r="X111" s="291"/>
      <c r="Y111" s="291"/>
    </row>
    <row r="112" spans="1:25" ht="18" hidden="1" customHeight="1">
      <c r="A112" s="196"/>
      <c r="V112" s="197"/>
    </row>
    <row r="113" spans="1:22" ht="18" hidden="1" customHeight="1">
      <c r="A113" s="196"/>
      <c r="E113" s="256" t="s">
        <v>123</v>
      </c>
      <c r="F113" s="27" t="s">
        <v>138</v>
      </c>
      <c r="G113" s="638" t="s">
        <v>555</v>
      </c>
      <c r="H113" s="638"/>
      <c r="I113" s="203" t="s">
        <v>353</v>
      </c>
      <c r="J113" s="639" t="s">
        <v>434</v>
      </c>
      <c r="K113" s="639"/>
      <c r="V113" s="197"/>
    </row>
    <row r="114" spans="1:22" ht="18" hidden="1" customHeight="1">
      <c r="A114" s="196"/>
      <c r="F114" s="27" t="s">
        <v>138</v>
      </c>
      <c r="G114" s="639">
        <f>S105</f>
        <v>40000</v>
      </c>
      <c r="H114" s="639"/>
      <c r="I114" s="203" t="s">
        <v>353</v>
      </c>
      <c r="J114" s="639">
        <f>S106</f>
        <v>1400</v>
      </c>
      <c r="K114" s="639"/>
      <c r="V114" s="197"/>
    </row>
    <row r="115" spans="1:22" ht="18" hidden="1" customHeight="1">
      <c r="A115" s="196"/>
      <c r="F115" s="27" t="s">
        <v>138</v>
      </c>
      <c r="G115" s="637">
        <f>G114/J114</f>
        <v>28.571428571428573</v>
      </c>
      <c r="H115" s="637"/>
      <c r="I115" s="27"/>
      <c r="J115" s="27"/>
      <c r="K115" s="27"/>
      <c r="V115" s="197"/>
    </row>
    <row r="116" spans="1:22" ht="18" hidden="1" customHeight="1">
      <c r="A116" s="196"/>
      <c r="V116" s="197"/>
    </row>
    <row r="117" spans="1:22" ht="18" hidden="1" customHeight="1">
      <c r="A117" s="196"/>
      <c r="E117" s="256" t="s">
        <v>564</v>
      </c>
      <c r="F117" s="27" t="s">
        <v>138</v>
      </c>
      <c r="G117" s="27" t="s">
        <v>506</v>
      </c>
      <c r="H117" s="27" t="s">
        <v>565</v>
      </c>
      <c r="I117" s="120" t="s">
        <v>502</v>
      </c>
      <c r="J117" s="28" t="s">
        <v>358</v>
      </c>
      <c r="K117" s="120" t="s">
        <v>504</v>
      </c>
      <c r="L117" s="28" t="s">
        <v>550</v>
      </c>
      <c r="M117" s="120" t="s">
        <v>502</v>
      </c>
      <c r="N117" s="28" t="s">
        <v>358</v>
      </c>
      <c r="O117" s="120" t="s">
        <v>523</v>
      </c>
      <c r="P117" s="308" t="s">
        <v>361</v>
      </c>
      <c r="V117" s="197"/>
    </row>
    <row r="118" spans="1:22" ht="18" hidden="1" customHeight="1">
      <c r="A118" s="196"/>
      <c r="F118" s="27" t="s">
        <v>138</v>
      </c>
      <c r="G118" s="254">
        <f>S110</f>
        <v>20</v>
      </c>
      <c r="H118" s="257" t="s">
        <v>565</v>
      </c>
      <c r="I118" s="313" t="e">
        <f>S107</f>
        <v>#VALUE!</v>
      </c>
      <c r="J118" s="257" t="s">
        <v>358</v>
      </c>
      <c r="K118" s="254" t="str">
        <f>S111</f>
        <v>-</v>
      </c>
      <c r="L118" s="257" t="s">
        <v>550</v>
      </c>
      <c r="M118" s="313" t="e">
        <f>S107</f>
        <v>#VALUE!</v>
      </c>
      <c r="N118" s="257" t="s">
        <v>358</v>
      </c>
      <c r="O118" s="313">
        <f>S108</f>
        <v>1.46186744</v>
      </c>
      <c r="P118" s="308" t="s">
        <v>361</v>
      </c>
      <c r="V118" s="197"/>
    </row>
    <row r="119" spans="1:22" ht="18" hidden="1" customHeight="1">
      <c r="A119" s="196"/>
      <c r="F119" s="27" t="s">
        <v>138</v>
      </c>
      <c r="G119" s="640" t="e">
        <f>G118*((I118+K118)/(M118+O118))</f>
        <v>#VALUE!</v>
      </c>
      <c r="H119" s="640"/>
      <c r="I119" s="254"/>
      <c r="J119" s="254"/>
      <c r="K119" s="254"/>
      <c r="L119" s="254"/>
      <c r="M119" s="254"/>
      <c r="N119" s="254"/>
      <c r="O119" s="254"/>
      <c r="V119" s="197"/>
    </row>
    <row r="120" spans="1:22" ht="18" hidden="1" customHeight="1">
      <c r="A120" s="196"/>
      <c r="V120" s="197"/>
    </row>
    <row r="121" spans="1:22" ht="18" hidden="1" customHeight="1">
      <c r="A121" s="196"/>
      <c r="E121" s="256" t="s">
        <v>566</v>
      </c>
      <c r="F121" s="27" t="e">
        <f>IF(D122&gt;G122,"&gt;","&lt;")</f>
        <v>#VALUE!</v>
      </c>
      <c r="G121" s="308" t="s">
        <v>123</v>
      </c>
      <c r="V121" s="197"/>
    </row>
    <row r="122" spans="1:22" ht="18" hidden="1" customHeight="1">
      <c r="A122" s="196"/>
      <c r="D122" s="637" t="e">
        <f>G119</f>
        <v>#VALUE!</v>
      </c>
      <c r="E122" s="637"/>
      <c r="F122" s="27" t="e">
        <f>F121</f>
        <v>#VALUE!</v>
      </c>
      <c r="G122" s="637">
        <f>G115</f>
        <v>28.571428571428573</v>
      </c>
      <c r="H122" s="637"/>
      <c r="V122" s="197"/>
    </row>
    <row r="123" spans="1:22" ht="18" hidden="1" customHeight="1">
      <c r="A123" s="196"/>
      <c r="E123" s="256" t="s">
        <v>489</v>
      </c>
      <c r="G123" s="18" t="e">
        <f>IF(F121="&gt;","Suitably Dimentioned","Under Dimentioned")</f>
        <v>#VALUE!</v>
      </c>
      <c r="V123" s="197"/>
    </row>
    <row r="124" spans="1:22" ht="18" hidden="1" customHeight="1">
      <c r="A124" s="196"/>
      <c r="E124" s="256"/>
      <c r="G124" s="18"/>
      <c r="V124" s="197"/>
    </row>
    <row r="125" spans="1:22" ht="18" hidden="1" customHeight="1">
      <c r="A125" s="196"/>
      <c r="E125" s="256"/>
      <c r="G125" s="18"/>
      <c r="V125" s="197"/>
    </row>
    <row r="126" spans="1:22" ht="18" hidden="1" customHeight="1">
      <c r="A126" s="196"/>
      <c r="E126" s="256"/>
      <c r="G126" s="18"/>
      <c r="V126" s="197"/>
    </row>
    <row r="127" spans="1:22" ht="18" hidden="1" customHeight="1">
      <c r="A127" s="196"/>
      <c r="E127" s="256"/>
      <c r="G127" s="18"/>
      <c r="V127" s="197"/>
    </row>
    <row r="128" spans="1:22" ht="18" hidden="1" customHeight="1">
      <c r="A128" s="196"/>
      <c r="E128" s="256"/>
      <c r="G128" s="18"/>
      <c r="V128" s="197"/>
    </row>
    <row r="129" spans="1:22" ht="18" hidden="1" customHeight="1">
      <c r="A129" s="196"/>
      <c r="V129" s="197"/>
    </row>
    <row r="130" spans="1:22" ht="18" hidden="1" customHeight="1">
      <c r="A130" s="196"/>
      <c r="V130" s="197"/>
    </row>
    <row r="131" spans="1:22" s="14" customFormat="1" ht="18" hidden="1" customHeight="1">
      <c r="A131" s="206"/>
      <c r="B131" s="207"/>
      <c r="C131" s="207"/>
      <c r="D131" s="207"/>
      <c r="E131" s="207"/>
      <c r="F131" s="207"/>
      <c r="G131" s="207"/>
      <c r="H131" s="207"/>
      <c r="I131" s="207"/>
      <c r="J131" s="207"/>
      <c r="K131" s="207"/>
      <c r="L131" s="207"/>
      <c r="M131" s="207"/>
      <c r="N131" s="207"/>
      <c r="O131" s="207"/>
      <c r="P131" s="207"/>
      <c r="Q131" s="236"/>
      <c r="R131" s="194"/>
      <c r="S131" s="237"/>
      <c r="T131" s="207"/>
      <c r="U131" s="207"/>
      <c r="V131" s="140" t="s">
        <v>563</v>
      </c>
    </row>
    <row r="132" spans="1:22" ht="18" customHeight="1">
      <c r="A132" s="238"/>
      <c r="B132" s="239"/>
      <c r="C132" s="239"/>
      <c r="D132" s="239"/>
      <c r="E132" s="239"/>
      <c r="F132" s="239"/>
      <c r="G132" s="239"/>
      <c r="H132" s="239"/>
      <c r="I132" s="239"/>
      <c r="J132" s="239"/>
      <c r="K132" s="239"/>
      <c r="L132" s="239"/>
      <c r="M132" s="239"/>
      <c r="N132" s="239"/>
      <c r="O132" s="239"/>
      <c r="P132" s="239"/>
      <c r="Q132" s="239"/>
      <c r="R132" s="239"/>
      <c r="S132" s="239"/>
      <c r="T132" s="239"/>
      <c r="U132" s="239"/>
      <c r="V132" s="240"/>
    </row>
    <row r="133" spans="1:22" ht="18" customHeight="1">
      <c r="A133" s="274" t="s">
        <v>543</v>
      </c>
      <c r="B133" s="14"/>
      <c r="C133" s="14"/>
      <c r="D133" s="120"/>
      <c r="E133" s="120"/>
      <c r="F133" s="18"/>
      <c r="G133" s="18"/>
      <c r="H133" s="14"/>
      <c r="I133" s="14"/>
      <c r="J133" s="14"/>
      <c r="K133" s="14"/>
      <c r="L133" s="14"/>
      <c r="M133" s="14"/>
      <c r="N133" s="14"/>
      <c r="O133" s="14"/>
      <c r="P133" s="28"/>
      <c r="Q133" s="120"/>
      <c r="R133" s="47"/>
      <c r="S133" s="218"/>
      <c r="T133" s="271"/>
      <c r="U133" s="14"/>
      <c r="V133" s="97"/>
    </row>
    <row r="134" spans="1:22" ht="18" customHeight="1">
      <c r="A134" s="614" t="s">
        <v>97</v>
      </c>
      <c r="B134" s="620"/>
      <c r="C134" s="615"/>
      <c r="D134" s="614" t="s">
        <v>98</v>
      </c>
      <c r="E134" s="620"/>
      <c r="F134" s="615"/>
      <c r="G134" s="614" t="s">
        <v>99</v>
      </c>
      <c r="H134" s="615"/>
      <c r="I134" s="614" t="s">
        <v>100</v>
      </c>
      <c r="J134" s="615"/>
      <c r="K134" s="614" t="s">
        <v>513</v>
      </c>
      <c r="L134" s="615"/>
      <c r="M134" s="614" t="s">
        <v>575</v>
      </c>
      <c r="N134" s="615"/>
      <c r="O134" s="614"/>
      <c r="P134" s="615"/>
      <c r="Q134" s="614" t="s">
        <v>516</v>
      </c>
      <c r="R134" s="615"/>
      <c r="S134" s="614" t="s">
        <v>105</v>
      </c>
      <c r="T134" s="620"/>
      <c r="U134" s="620"/>
      <c r="V134" s="615"/>
    </row>
    <row r="135" spans="1:22" ht="18" customHeight="1">
      <c r="A135" s="616"/>
      <c r="B135" s="621"/>
      <c r="C135" s="617"/>
      <c r="D135" s="616"/>
      <c r="E135" s="621"/>
      <c r="F135" s="617"/>
      <c r="G135" s="616"/>
      <c r="H135" s="617"/>
      <c r="I135" s="616"/>
      <c r="J135" s="617"/>
      <c r="K135" s="616"/>
      <c r="L135" s="617"/>
      <c r="M135" s="616"/>
      <c r="N135" s="617"/>
      <c r="O135" s="616"/>
      <c r="P135" s="617"/>
      <c r="Q135" s="616"/>
      <c r="R135" s="617"/>
      <c r="S135" s="616"/>
      <c r="T135" s="621"/>
      <c r="U135" s="621"/>
      <c r="V135" s="617"/>
    </row>
    <row r="136" spans="1:22" ht="18" customHeight="1">
      <c r="A136" s="616"/>
      <c r="B136" s="621"/>
      <c r="C136" s="617"/>
      <c r="D136" s="616"/>
      <c r="E136" s="621"/>
      <c r="F136" s="617"/>
      <c r="G136" s="616"/>
      <c r="H136" s="617"/>
      <c r="I136" s="616"/>
      <c r="J136" s="617"/>
      <c r="K136" s="616"/>
      <c r="L136" s="617"/>
      <c r="M136" s="616"/>
      <c r="N136" s="617"/>
      <c r="O136" s="616"/>
      <c r="P136" s="617"/>
      <c r="Q136" s="616"/>
      <c r="R136" s="617"/>
      <c r="S136" s="616"/>
      <c r="T136" s="621"/>
      <c r="U136" s="621"/>
      <c r="V136" s="617"/>
    </row>
    <row r="137" spans="1:22" ht="18" customHeight="1">
      <c r="A137" s="618"/>
      <c r="B137" s="622"/>
      <c r="C137" s="619"/>
      <c r="D137" s="618"/>
      <c r="E137" s="622"/>
      <c r="F137" s="619"/>
      <c r="G137" s="618"/>
      <c r="H137" s="619"/>
      <c r="I137" s="618"/>
      <c r="J137" s="619"/>
      <c r="K137" s="618"/>
      <c r="L137" s="619"/>
      <c r="M137" s="618"/>
      <c r="N137" s="619"/>
      <c r="O137" s="618"/>
      <c r="P137" s="619"/>
      <c r="Q137" s="618"/>
      <c r="R137" s="619"/>
      <c r="S137" s="618"/>
      <c r="T137" s="622"/>
      <c r="U137" s="622"/>
      <c r="V137" s="619"/>
    </row>
    <row r="138" spans="1:22" ht="18" customHeight="1">
      <c r="A138" s="623" t="str">
        <f>B89</f>
        <v>T1</v>
      </c>
      <c r="B138" s="623" t="str">
        <f>D89</f>
        <v>Core2</v>
      </c>
      <c r="C138" s="623"/>
      <c r="D138" s="613">
        <f>H92</f>
        <v>1200</v>
      </c>
      <c r="E138" s="613"/>
      <c r="F138" s="624">
        <f>O92</f>
        <v>1</v>
      </c>
      <c r="G138" s="627">
        <f>'CT-VT Burdens'!S19</f>
        <v>80</v>
      </c>
      <c r="H138" s="630">
        <f>'CT-VT Burdens'!S10</f>
        <v>2.5</v>
      </c>
      <c r="I138" s="631" t="str">
        <f>L93</f>
        <v>5P</v>
      </c>
      <c r="J138" s="634">
        <f>M93</f>
        <v>20</v>
      </c>
      <c r="K138" s="612">
        <f>H12</f>
        <v>15</v>
      </c>
      <c r="L138" s="612"/>
      <c r="M138" s="612">
        <f>H13</f>
        <v>16</v>
      </c>
      <c r="N138" s="612"/>
      <c r="O138" s="613" t="s">
        <v>7</v>
      </c>
      <c r="P138" s="613"/>
      <c r="Q138" s="629" t="str">
        <f>CONCATENATE(T7," ",T8," ",T9," ",T10)</f>
        <v xml:space="preserve">7SJ85   </v>
      </c>
      <c r="R138" s="629"/>
      <c r="S138" s="628" t="str">
        <f>G42</f>
        <v>Suitably Dimensioned</v>
      </c>
      <c r="T138" s="628"/>
      <c r="U138" s="628"/>
      <c r="V138" s="628"/>
    </row>
    <row r="139" spans="1:22" ht="18" customHeight="1">
      <c r="A139" s="623"/>
      <c r="B139" s="623"/>
      <c r="C139" s="623"/>
      <c r="D139" s="613">
        <f>J92</f>
        <v>1400</v>
      </c>
      <c r="E139" s="613"/>
      <c r="F139" s="625"/>
      <c r="G139" s="627"/>
      <c r="H139" s="630"/>
      <c r="I139" s="632"/>
      <c r="J139" s="635"/>
      <c r="K139" s="612">
        <f>J53</f>
        <v>16</v>
      </c>
      <c r="L139" s="612"/>
      <c r="M139" s="612">
        <f>J54</f>
        <v>15</v>
      </c>
      <c r="N139" s="612"/>
      <c r="O139" s="613" t="s">
        <v>7</v>
      </c>
      <c r="P139" s="613"/>
      <c r="Q139" s="629"/>
      <c r="R139" s="629"/>
      <c r="S139" s="628" t="str">
        <f>G83</f>
        <v>Suitably Dimentioned</v>
      </c>
      <c r="T139" s="628"/>
      <c r="U139" s="628"/>
      <c r="V139" s="628"/>
    </row>
    <row r="140" spans="1:22" ht="18" customHeight="1">
      <c r="A140" s="623"/>
      <c r="B140" s="623"/>
      <c r="C140" s="623"/>
      <c r="D140" s="613" t="s">
        <v>7</v>
      </c>
      <c r="E140" s="613"/>
      <c r="F140" s="626"/>
      <c r="G140" s="627"/>
      <c r="H140" s="630"/>
      <c r="I140" s="633"/>
      <c r="J140" s="636"/>
      <c r="K140" s="612" t="s">
        <v>7</v>
      </c>
      <c r="L140" s="612"/>
      <c r="M140" s="612" t="s">
        <v>7</v>
      </c>
      <c r="N140" s="612"/>
      <c r="O140" s="613" t="s">
        <v>7</v>
      </c>
      <c r="P140" s="613"/>
      <c r="Q140" s="629"/>
      <c r="R140" s="629"/>
      <c r="S140" s="628" t="s">
        <v>7</v>
      </c>
      <c r="T140" s="628"/>
      <c r="U140" s="628"/>
      <c r="V140" s="628"/>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s="14" customFormat="1" ht="18" customHeight="1">
      <c r="A172" s="206"/>
      <c r="B172" s="207"/>
      <c r="C172" s="207"/>
      <c r="D172" s="207"/>
      <c r="E172" s="207"/>
      <c r="F172" s="207"/>
      <c r="G172" s="207"/>
      <c r="H172" s="207"/>
      <c r="I172" s="207"/>
      <c r="J172" s="207"/>
      <c r="K172" s="207"/>
      <c r="L172" s="207"/>
      <c r="M172" s="207"/>
      <c r="N172" s="207"/>
      <c r="O172" s="207"/>
      <c r="P172" s="207"/>
      <c r="Q172" s="236"/>
      <c r="R172" s="194"/>
      <c r="S172" s="237"/>
      <c r="T172" s="207"/>
      <c r="U172" s="207"/>
      <c r="V172" s="140"/>
    </row>
  </sheetData>
  <mergeCells count="160">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10:I10"/>
    <mergeCell ref="J10:K10"/>
    <mergeCell ref="L10:M10"/>
    <mergeCell ref="T10:U10"/>
    <mergeCell ref="H12:I12"/>
    <mergeCell ref="H13:I13"/>
    <mergeCell ref="B7:C8"/>
    <mergeCell ref="D7:E8"/>
    <mergeCell ref="H7:M7"/>
    <mergeCell ref="T7:U7"/>
    <mergeCell ref="T8:U8"/>
    <mergeCell ref="H9:I9"/>
    <mergeCell ref="J9:K9"/>
    <mergeCell ref="L9:M9"/>
    <mergeCell ref="T9:U9"/>
    <mergeCell ref="P22:Q22"/>
    <mergeCell ref="S24:T24"/>
    <mergeCell ref="S25:T25"/>
    <mergeCell ref="S26:T26"/>
    <mergeCell ref="S27:T27"/>
    <mergeCell ref="S28:T28"/>
    <mergeCell ref="J17:K17"/>
    <mergeCell ref="J18:K18"/>
    <mergeCell ref="J19:K19"/>
    <mergeCell ref="J20:K20"/>
    <mergeCell ref="J21:K21"/>
    <mergeCell ref="J22:K22"/>
    <mergeCell ref="G34:H34"/>
    <mergeCell ref="G38:H38"/>
    <mergeCell ref="D41:E41"/>
    <mergeCell ref="G41:H41"/>
    <mergeCell ref="B48:C48"/>
    <mergeCell ref="D48:E49"/>
    <mergeCell ref="H48:M48"/>
    <mergeCell ref="S29:T29"/>
    <mergeCell ref="S30:T30"/>
    <mergeCell ref="G32:H32"/>
    <mergeCell ref="J32:K32"/>
    <mergeCell ref="G33:H33"/>
    <mergeCell ref="J33:K33"/>
    <mergeCell ref="T51:U51"/>
    <mergeCell ref="J53:K53"/>
    <mergeCell ref="J54:K54"/>
    <mergeCell ref="T48:U48"/>
    <mergeCell ref="B49:C49"/>
    <mergeCell ref="T49:U49"/>
    <mergeCell ref="H50:I50"/>
    <mergeCell ref="J50:K50"/>
    <mergeCell ref="L50:M50"/>
    <mergeCell ref="T50:U50"/>
    <mergeCell ref="J58:K58"/>
    <mergeCell ref="J59:K59"/>
    <mergeCell ref="J60:K60"/>
    <mergeCell ref="J61:K61"/>
    <mergeCell ref="J62:K62"/>
    <mergeCell ref="J63:K63"/>
    <mergeCell ref="H51:I51"/>
    <mergeCell ref="J51:K51"/>
    <mergeCell ref="L51:M51"/>
    <mergeCell ref="S70:T70"/>
    <mergeCell ref="S71:T71"/>
    <mergeCell ref="G73:H73"/>
    <mergeCell ref="J73:K73"/>
    <mergeCell ref="G74:H74"/>
    <mergeCell ref="J74:K74"/>
    <mergeCell ref="P63:Q63"/>
    <mergeCell ref="S65:T65"/>
    <mergeCell ref="S66:T66"/>
    <mergeCell ref="S67:T67"/>
    <mergeCell ref="S68:T68"/>
    <mergeCell ref="S69:T69"/>
    <mergeCell ref="T89:U89"/>
    <mergeCell ref="B90:C90"/>
    <mergeCell ref="T90:U90"/>
    <mergeCell ref="H91:I91"/>
    <mergeCell ref="J91:K91"/>
    <mergeCell ref="L91:M91"/>
    <mergeCell ref="T91:U91"/>
    <mergeCell ref="G75:H75"/>
    <mergeCell ref="G79:H79"/>
    <mergeCell ref="D82:E82"/>
    <mergeCell ref="G82:H82"/>
    <mergeCell ref="B89:C89"/>
    <mergeCell ref="D89:E90"/>
    <mergeCell ref="H89:M89"/>
    <mergeCell ref="J100:K100"/>
    <mergeCell ref="J101:K101"/>
    <mergeCell ref="J102:K102"/>
    <mergeCell ref="J103:K103"/>
    <mergeCell ref="P103:Q103"/>
    <mergeCell ref="S105:T105"/>
    <mergeCell ref="H92:I92"/>
    <mergeCell ref="J92:K92"/>
    <mergeCell ref="L92:M92"/>
    <mergeCell ref="L94:M94"/>
    <mergeCell ref="L95:M95"/>
    <mergeCell ref="J99:K99"/>
    <mergeCell ref="G113:H113"/>
    <mergeCell ref="J113:K113"/>
    <mergeCell ref="G114:H114"/>
    <mergeCell ref="J114:K114"/>
    <mergeCell ref="G115:H115"/>
    <mergeCell ref="G119:H119"/>
    <mergeCell ref="K134:L137"/>
    <mergeCell ref="S106:T106"/>
    <mergeCell ref="S107:T107"/>
    <mergeCell ref="S108:T108"/>
    <mergeCell ref="S109:T109"/>
    <mergeCell ref="S110:T110"/>
    <mergeCell ref="S111:T111"/>
    <mergeCell ref="I138:I140"/>
    <mergeCell ref="J138:J140"/>
    <mergeCell ref="K138:L138"/>
    <mergeCell ref="D122:E122"/>
    <mergeCell ref="G122:H122"/>
    <mergeCell ref="A134:C137"/>
    <mergeCell ref="D134:F137"/>
    <mergeCell ref="G134:H137"/>
    <mergeCell ref="I134:J137"/>
    <mergeCell ref="M138:N138"/>
    <mergeCell ref="O138:P138"/>
    <mergeCell ref="O140:P140"/>
    <mergeCell ref="M134:N137"/>
    <mergeCell ref="O134:P137"/>
    <mergeCell ref="Q134:R137"/>
    <mergeCell ref="S134:V137"/>
    <mergeCell ref="A138:A140"/>
    <mergeCell ref="B138:C140"/>
    <mergeCell ref="D138:E138"/>
    <mergeCell ref="F138:F140"/>
    <mergeCell ref="G138:G140"/>
    <mergeCell ref="S140:V140"/>
    <mergeCell ref="Q138:R140"/>
    <mergeCell ref="S138:V138"/>
    <mergeCell ref="D139:E139"/>
    <mergeCell ref="K139:L139"/>
    <mergeCell ref="M139:N139"/>
    <mergeCell ref="O139:P139"/>
    <mergeCell ref="S139:V139"/>
    <mergeCell ref="D140:E140"/>
    <mergeCell ref="K140:L140"/>
    <mergeCell ref="M140:N140"/>
    <mergeCell ref="H138:H140"/>
  </mergeCells>
  <conditionalFormatting sqref="G42 G83:G85 G123:G128">
    <cfRule type="cellIs" dxfId="89" priority="1" stopIfTrue="1" operator="equal">
      <formula>"Under Dimentioned"</formula>
    </cfRule>
  </conditionalFormatting>
  <dataValidations disablePrompts="1" count="1">
    <dataValidation type="list" allowBlank="1" showInputMessage="1" showErrorMessage="1" sqref="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4 IZ65624 SV65624 ACR65624 AMN65624 AWJ65624 BGF65624 BQB65624 BZX65624 CJT65624 CTP65624 DDL65624 DNH65624 DXD65624 EGZ65624 EQV65624 FAR65624 FKN65624 FUJ65624 GEF65624 GOB65624 GXX65624 HHT65624 HRP65624 IBL65624 ILH65624 IVD65624 JEZ65624 JOV65624 JYR65624 KIN65624 KSJ65624 LCF65624 LMB65624 LVX65624 MFT65624 MPP65624 MZL65624 NJH65624 NTD65624 OCZ65624 OMV65624 OWR65624 PGN65624 PQJ65624 QAF65624 QKB65624 QTX65624 RDT65624 RNP65624 RXL65624 SHH65624 SRD65624 TAZ65624 TKV65624 TUR65624 UEN65624 UOJ65624 UYF65624 VIB65624 VRX65624 WBT65624 WLP65624 WVL65624 D131160 IZ131160 SV131160 ACR131160 AMN131160 AWJ131160 BGF131160 BQB131160 BZX131160 CJT131160 CTP131160 DDL131160 DNH131160 DXD131160 EGZ131160 EQV131160 FAR131160 FKN131160 FUJ131160 GEF131160 GOB131160 GXX131160 HHT131160 HRP131160 IBL131160 ILH131160 IVD131160 JEZ131160 JOV131160 JYR131160 KIN131160 KSJ131160 LCF131160 LMB131160 LVX131160 MFT131160 MPP131160 MZL131160 NJH131160 NTD131160 OCZ131160 OMV131160 OWR131160 PGN131160 PQJ131160 QAF131160 QKB131160 QTX131160 RDT131160 RNP131160 RXL131160 SHH131160 SRD131160 TAZ131160 TKV131160 TUR131160 UEN131160 UOJ131160 UYF131160 VIB131160 VRX131160 WBT131160 WLP131160 WVL131160 D196696 IZ196696 SV196696 ACR196696 AMN196696 AWJ196696 BGF196696 BQB196696 BZX196696 CJT196696 CTP196696 DDL196696 DNH196696 DXD196696 EGZ196696 EQV196696 FAR196696 FKN196696 FUJ196696 GEF196696 GOB196696 GXX196696 HHT196696 HRP196696 IBL196696 ILH196696 IVD196696 JEZ196696 JOV196696 JYR196696 KIN196696 KSJ196696 LCF196696 LMB196696 LVX196696 MFT196696 MPP196696 MZL196696 NJH196696 NTD196696 OCZ196696 OMV196696 OWR196696 PGN196696 PQJ196696 QAF196696 QKB196696 QTX196696 RDT196696 RNP196696 RXL196696 SHH196696 SRD196696 TAZ196696 TKV196696 TUR196696 UEN196696 UOJ196696 UYF196696 VIB196696 VRX196696 WBT196696 WLP196696 WVL196696 D262232 IZ262232 SV262232 ACR262232 AMN262232 AWJ262232 BGF262232 BQB262232 BZX262232 CJT262232 CTP262232 DDL262232 DNH262232 DXD262232 EGZ262232 EQV262232 FAR262232 FKN262232 FUJ262232 GEF262232 GOB262232 GXX262232 HHT262232 HRP262232 IBL262232 ILH262232 IVD262232 JEZ262232 JOV262232 JYR262232 KIN262232 KSJ262232 LCF262232 LMB262232 LVX262232 MFT262232 MPP262232 MZL262232 NJH262232 NTD262232 OCZ262232 OMV262232 OWR262232 PGN262232 PQJ262232 QAF262232 QKB262232 QTX262232 RDT262232 RNP262232 RXL262232 SHH262232 SRD262232 TAZ262232 TKV262232 TUR262232 UEN262232 UOJ262232 UYF262232 VIB262232 VRX262232 WBT262232 WLP262232 WVL262232 D327768 IZ327768 SV327768 ACR327768 AMN327768 AWJ327768 BGF327768 BQB327768 BZX327768 CJT327768 CTP327768 DDL327768 DNH327768 DXD327768 EGZ327768 EQV327768 FAR327768 FKN327768 FUJ327768 GEF327768 GOB327768 GXX327768 HHT327768 HRP327768 IBL327768 ILH327768 IVD327768 JEZ327768 JOV327768 JYR327768 KIN327768 KSJ327768 LCF327768 LMB327768 LVX327768 MFT327768 MPP327768 MZL327768 NJH327768 NTD327768 OCZ327768 OMV327768 OWR327768 PGN327768 PQJ327768 QAF327768 QKB327768 QTX327768 RDT327768 RNP327768 RXL327768 SHH327768 SRD327768 TAZ327768 TKV327768 TUR327768 UEN327768 UOJ327768 UYF327768 VIB327768 VRX327768 WBT327768 WLP327768 WVL327768 D393304 IZ393304 SV393304 ACR393304 AMN393304 AWJ393304 BGF393304 BQB393304 BZX393304 CJT393304 CTP393304 DDL393304 DNH393304 DXD393304 EGZ393304 EQV393304 FAR393304 FKN393304 FUJ393304 GEF393304 GOB393304 GXX393304 HHT393304 HRP393304 IBL393304 ILH393304 IVD393304 JEZ393304 JOV393304 JYR393304 KIN393304 KSJ393304 LCF393304 LMB393304 LVX393304 MFT393304 MPP393304 MZL393304 NJH393304 NTD393304 OCZ393304 OMV393304 OWR393304 PGN393304 PQJ393304 QAF393304 QKB393304 QTX393304 RDT393304 RNP393304 RXL393304 SHH393304 SRD393304 TAZ393304 TKV393304 TUR393304 UEN393304 UOJ393304 UYF393304 VIB393304 VRX393304 WBT393304 WLP393304 WVL393304 D458840 IZ458840 SV458840 ACR458840 AMN458840 AWJ458840 BGF458840 BQB458840 BZX458840 CJT458840 CTP458840 DDL458840 DNH458840 DXD458840 EGZ458840 EQV458840 FAR458840 FKN458840 FUJ458840 GEF458840 GOB458840 GXX458840 HHT458840 HRP458840 IBL458840 ILH458840 IVD458840 JEZ458840 JOV458840 JYR458840 KIN458840 KSJ458840 LCF458840 LMB458840 LVX458840 MFT458840 MPP458840 MZL458840 NJH458840 NTD458840 OCZ458840 OMV458840 OWR458840 PGN458840 PQJ458840 QAF458840 QKB458840 QTX458840 RDT458840 RNP458840 RXL458840 SHH458840 SRD458840 TAZ458840 TKV458840 TUR458840 UEN458840 UOJ458840 UYF458840 VIB458840 VRX458840 WBT458840 WLP458840 WVL458840 D524376 IZ524376 SV524376 ACR524376 AMN524376 AWJ524376 BGF524376 BQB524376 BZX524376 CJT524376 CTP524376 DDL524376 DNH524376 DXD524376 EGZ524376 EQV524376 FAR524376 FKN524376 FUJ524376 GEF524376 GOB524376 GXX524376 HHT524376 HRP524376 IBL524376 ILH524376 IVD524376 JEZ524376 JOV524376 JYR524376 KIN524376 KSJ524376 LCF524376 LMB524376 LVX524376 MFT524376 MPP524376 MZL524376 NJH524376 NTD524376 OCZ524376 OMV524376 OWR524376 PGN524376 PQJ524376 QAF524376 QKB524376 QTX524376 RDT524376 RNP524376 RXL524376 SHH524376 SRD524376 TAZ524376 TKV524376 TUR524376 UEN524376 UOJ524376 UYF524376 VIB524376 VRX524376 WBT524376 WLP524376 WVL524376 D589912 IZ589912 SV589912 ACR589912 AMN589912 AWJ589912 BGF589912 BQB589912 BZX589912 CJT589912 CTP589912 DDL589912 DNH589912 DXD589912 EGZ589912 EQV589912 FAR589912 FKN589912 FUJ589912 GEF589912 GOB589912 GXX589912 HHT589912 HRP589912 IBL589912 ILH589912 IVD589912 JEZ589912 JOV589912 JYR589912 KIN589912 KSJ589912 LCF589912 LMB589912 LVX589912 MFT589912 MPP589912 MZL589912 NJH589912 NTD589912 OCZ589912 OMV589912 OWR589912 PGN589912 PQJ589912 QAF589912 QKB589912 QTX589912 RDT589912 RNP589912 RXL589912 SHH589912 SRD589912 TAZ589912 TKV589912 TUR589912 UEN589912 UOJ589912 UYF589912 VIB589912 VRX589912 WBT589912 WLP589912 WVL589912 D655448 IZ655448 SV655448 ACR655448 AMN655448 AWJ655448 BGF655448 BQB655448 BZX655448 CJT655448 CTP655448 DDL655448 DNH655448 DXD655448 EGZ655448 EQV655448 FAR655448 FKN655448 FUJ655448 GEF655448 GOB655448 GXX655448 HHT655448 HRP655448 IBL655448 ILH655448 IVD655448 JEZ655448 JOV655448 JYR655448 KIN655448 KSJ655448 LCF655448 LMB655448 LVX655448 MFT655448 MPP655448 MZL655448 NJH655448 NTD655448 OCZ655448 OMV655448 OWR655448 PGN655448 PQJ655448 QAF655448 QKB655448 QTX655448 RDT655448 RNP655448 RXL655448 SHH655448 SRD655448 TAZ655448 TKV655448 TUR655448 UEN655448 UOJ655448 UYF655448 VIB655448 VRX655448 WBT655448 WLP655448 WVL655448 D720984 IZ720984 SV720984 ACR720984 AMN720984 AWJ720984 BGF720984 BQB720984 BZX720984 CJT720984 CTP720984 DDL720984 DNH720984 DXD720984 EGZ720984 EQV720984 FAR720984 FKN720984 FUJ720984 GEF720984 GOB720984 GXX720984 HHT720984 HRP720984 IBL720984 ILH720984 IVD720984 JEZ720984 JOV720984 JYR720984 KIN720984 KSJ720984 LCF720984 LMB720984 LVX720984 MFT720984 MPP720984 MZL720984 NJH720984 NTD720984 OCZ720984 OMV720984 OWR720984 PGN720984 PQJ720984 QAF720984 QKB720984 QTX720984 RDT720984 RNP720984 RXL720984 SHH720984 SRD720984 TAZ720984 TKV720984 TUR720984 UEN720984 UOJ720984 UYF720984 VIB720984 VRX720984 WBT720984 WLP720984 WVL720984 D786520 IZ786520 SV786520 ACR786520 AMN786520 AWJ786520 BGF786520 BQB786520 BZX786520 CJT786520 CTP786520 DDL786520 DNH786520 DXD786520 EGZ786520 EQV786520 FAR786520 FKN786520 FUJ786520 GEF786520 GOB786520 GXX786520 HHT786520 HRP786520 IBL786520 ILH786520 IVD786520 JEZ786520 JOV786520 JYR786520 KIN786520 KSJ786520 LCF786520 LMB786520 LVX786520 MFT786520 MPP786520 MZL786520 NJH786520 NTD786520 OCZ786520 OMV786520 OWR786520 PGN786520 PQJ786520 QAF786520 QKB786520 QTX786520 RDT786520 RNP786520 RXL786520 SHH786520 SRD786520 TAZ786520 TKV786520 TUR786520 UEN786520 UOJ786520 UYF786520 VIB786520 VRX786520 WBT786520 WLP786520 WVL786520 D852056 IZ852056 SV852056 ACR852056 AMN852056 AWJ852056 BGF852056 BQB852056 BZX852056 CJT852056 CTP852056 DDL852056 DNH852056 DXD852056 EGZ852056 EQV852056 FAR852056 FKN852056 FUJ852056 GEF852056 GOB852056 GXX852056 HHT852056 HRP852056 IBL852056 ILH852056 IVD852056 JEZ852056 JOV852056 JYR852056 KIN852056 KSJ852056 LCF852056 LMB852056 LVX852056 MFT852056 MPP852056 MZL852056 NJH852056 NTD852056 OCZ852056 OMV852056 OWR852056 PGN852056 PQJ852056 QAF852056 QKB852056 QTX852056 RDT852056 RNP852056 RXL852056 SHH852056 SRD852056 TAZ852056 TKV852056 TUR852056 UEN852056 UOJ852056 UYF852056 VIB852056 VRX852056 WBT852056 WLP852056 WVL852056 D917592 IZ917592 SV917592 ACR917592 AMN917592 AWJ917592 BGF917592 BQB917592 BZX917592 CJT917592 CTP917592 DDL917592 DNH917592 DXD917592 EGZ917592 EQV917592 FAR917592 FKN917592 FUJ917592 GEF917592 GOB917592 GXX917592 HHT917592 HRP917592 IBL917592 ILH917592 IVD917592 JEZ917592 JOV917592 JYR917592 KIN917592 KSJ917592 LCF917592 LMB917592 LVX917592 MFT917592 MPP917592 MZL917592 NJH917592 NTD917592 OCZ917592 OMV917592 OWR917592 PGN917592 PQJ917592 QAF917592 QKB917592 QTX917592 RDT917592 RNP917592 RXL917592 SHH917592 SRD917592 TAZ917592 TKV917592 TUR917592 UEN917592 UOJ917592 UYF917592 VIB917592 VRX917592 WBT917592 WLP917592 WVL917592 D983128 IZ983128 SV983128 ACR983128 AMN983128 AWJ983128 BGF983128 BQB983128 BZX983128 CJT983128 CTP983128 DDL983128 DNH983128 DXD983128 EGZ983128 EQV983128 FAR983128 FKN983128 FUJ983128 GEF983128 GOB983128 GXX983128 HHT983128 HRP983128 IBL983128 ILH983128 IVD983128 JEZ983128 JOV983128 JYR983128 KIN983128 KSJ983128 LCF983128 LMB983128 LVX983128 MFT983128 MPP983128 MZL983128 NJH983128 NTD983128 OCZ983128 OMV983128 OWR983128 PGN983128 PQJ983128 QAF983128 QKB983128 QTX983128 RDT983128 RNP983128 RXL983128 SHH983128 SRD983128 TAZ983128 TKV983128 TUR983128 UEN983128 UOJ983128 UYF983128 VIB983128 VRX983128 WBT983128 WLP983128 WVL983128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48 IZ48 SV48 ACR48 AMN48 AWJ48 BGF48 BQB48 BZX48 CJT48 CTP48 DDL48 DNH48 DXD48 EGZ48 EQV48 FAR48 FKN48 FUJ48 GEF48 GOB48 GXX48 HHT48 HRP48 IBL48 ILH48 IVD48 JEZ48 JOV48 JYR48 KIN48 KSJ48 LCF48 LMB48 LVX48 MFT48 MPP48 MZL48 NJH48 NTD48 OCZ48 OMV48 OWR48 PGN48 PQJ48 QAF48 QKB48 QTX48 RDT48 RNP48 RXL48 SHH48 SRD48 TAZ48 TKV48 TUR48 UEN48 UOJ48 UYF48 VIB48 VRX48 WBT48 WLP48 WVL48 D65582 IZ65582 SV65582 ACR65582 AMN65582 AWJ65582 BGF65582 BQB65582 BZX65582 CJT65582 CTP65582 DDL65582 DNH65582 DXD65582 EGZ65582 EQV65582 FAR65582 FKN65582 FUJ65582 GEF65582 GOB65582 GXX65582 HHT65582 HRP65582 IBL65582 ILH65582 IVD65582 JEZ65582 JOV65582 JYR65582 KIN65582 KSJ65582 LCF65582 LMB65582 LVX65582 MFT65582 MPP65582 MZL65582 NJH65582 NTD65582 OCZ65582 OMV65582 OWR65582 PGN65582 PQJ65582 QAF65582 QKB65582 QTX65582 RDT65582 RNP65582 RXL65582 SHH65582 SRD65582 TAZ65582 TKV65582 TUR65582 UEN65582 UOJ65582 UYF65582 VIB65582 VRX65582 WBT65582 WLP65582 WVL65582 D131118 IZ131118 SV131118 ACR131118 AMN131118 AWJ131118 BGF131118 BQB131118 BZX131118 CJT131118 CTP131118 DDL131118 DNH131118 DXD131118 EGZ131118 EQV131118 FAR131118 FKN131118 FUJ131118 GEF131118 GOB131118 GXX131118 HHT131118 HRP131118 IBL131118 ILH131118 IVD131118 JEZ131118 JOV131118 JYR131118 KIN131118 KSJ131118 LCF131118 LMB131118 LVX131118 MFT131118 MPP131118 MZL131118 NJH131118 NTD131118 OCZ131118 OMV131118 OWR131118 PGN131118 PQJ131118 QAF131118 QKB131118 QTX131118 RDT131118 RNP131118 RXL131118 SHH131118 SRD131118 TAZ131118 TKV131118 TUR131118 UEN131118 UOJ131118 UYF131118 VIB131118 VRX131118 WBT131118 WLP131118 WVL131118 D196654 IZ196654 SV196654 ACR196654 AMN196654 AWJ196654 BGF196654 BQB196654 BZX196654 CJT196654 CTP196654 DDL196654 DNH196654 DXD196654 EGZ196654 EQV196654 FAR196654 FKN196654 FUJ196654 GEF196654 GOB196654 GXX196654 HHT196654 HRP196654 IBL196654 ILH196654 IVD196654 JEZ196654 JOV196654 JYR196654 KIN196654 KSJ196654 LCF196654 LMB196654 LVX196654 MFT196654 MPP196654 MZL196654 NJH196654 NTD196654 OCZ196654 OMV196654 OWR196654 PGN196654 PQJ196654 QAF196654 QKB196654 QTX196654 RDT196654 RNP196654 RXL196654 SHH196654 SRD196654 TAZ196654 TKV196654 TUR196654 UEN196654 UOJ196654 UYF196654 VIB196654 VRX196654 WBT196654 WLP196654 WVL196654 D262190 IZ262190 SV262190 ACR262190 AMN262190 AWJ262190 BGF262190 BQB262190 BZX262190 CJT262190 CTP262190 DDL262190 DNH262190 DXD262190 EGZ262190 EQV262190 FAR262190 FKN262190 FUJ262190 GEF262190 GOB262190 GXX262190 HHT262190 HRP262190 IBL262190 ILH262190 IVD262190 JEZ262190 JOV262190 JYR262190 KIN262190 KSJ262190 LCF262190 LMB262190 LVX262190 MFT262190 MPP262190 MZL262190 NJH262190 NTD262190 OCZ262190 OMV262190 OWR262190 PGN262190 PQJ262190 QAF262190 QKB262190 QTX262190 RDT262190 RNP262190 RXL262190 SHH262190 SRD262190 TAZ262190 TKV262190 TUR262190 UEN262190 UOJ262190 UYF262190 VIB262190 VRX262190 WBT262190 WLP262190 WVL262190 D327726 IZ327726 SV327726 ACR327726 AMN327726 AWJ327726 BGF327726 BQB327726 BZX327726 CJT327726 CTP327726 DDL327726 DNH327726 DXD327726 EGZ327726 EQV327726 FAR327726 FKN327726 FUJ327726 GEF327726 GOB327726 GXX327726 HHT327726 HRP327726 IBL327726 ILH327726 IVD327726 JEZ327726 JOV327726 JYR327726 KIN327726 KSJ327726 LCF327726 LMB327726 LVX327726 MFT327726 MPP327726 MZL327726 NJH327726 NTD327726 OCZ327726 OMV327726 OWR327726 PGN327726 PQJ327726 QAF327726 QKB327726 QTX327726 RDT327726 RNP327726 RXL327726 SHH327726 SRD327726 TAZ327726 TKV327726 TUR327726 UEN327726 UOJ327726 UYF327726 VIB327726 VRX327726 WBT327726 WLP327726 WVL327726 D393262 IZ393262 SV393262 ACR393262 AMN393262 AWJ393262 BGF393262 BQB393262 BZX393262 CJT393262 CTP393262 DDL393262 DNH393262 DXD393262 EGZ393262 EQV393262 FAR393262 FKN393262 FUJ393262 GEF393262 GOB393262 GXX393262 HHT393262 HRP393262 IBL393262 ILH393262 IVD393262 JEZ393262 JOV393262 JYR393262 KIN393262 KSJ393262 LCF393262 LMB393262 LVX393262 MFT393262 MPP393262 MZL393262 NJH393262 NTD393262 OCZ393262 OMV393262 OWR393262 PGN393262 PQJ393262 QAF393262 QKB393262 QTX393262 RDT393262 RNP393262 RXL393262 SHH393262 SRD393262 TAZ393262 TKV393262 TUR393262 UEN393262 UOJ393262 UYF393262 VIB393262 VRX393262 WBT393262 WLP393262 WVL393262 D458798 IZ458798 SV458798 ACR458798 AMN458798 AWJ458798 BGF458798 BQB458798 BZX458798 CJT458798 CTP458798 DDL458798 DNH458798 DXD458798 EGZ458798 EQV458798 FAR458798 FKN458798 FUJ458798 GEF458798 GOB458798 GXX458798 HHT458798 HRP458798 IBL458798 ILH458798 IVD458798 JEZ458798 JOV458798 JYR458798 KIN458798 KSJ458798 LCF458798 LMB458798 LVX458798 MFT458798 MPP458798 MZL458798 NJH458798 NTD458798 OCZ458798 OMV458798 OWR458798 PGN458798 PQJ458798 QAF458798 QKB458798 QTX458798 RDT458798 RNP458798 RXL458798 SHH458798 SRD458798 TAZ458798 TKV458798 TUR458798 UEN458798 UOJ458798 UYF458798 VIB458798 VRX458798 WBT458798 WLP458798 WVL458798 D524334 IZ524334 SV524334 ACR524334 AMN524334 AWJ524334 BGF524334 BQB524334 BZX524334 CJT524334 CTP524334 DDL524334 DNH524334 DXD524334 EGZ524334 EQV524334 FAR524334 FKN524334 FUJ524334 GEF524334 GOB524334 GXX524334 HHT524334 HRP524334 IBL524334 ILH524334 IVD524334 JEZ524334 JOV524334 JYR524334 KIN524334 KSJ524334 LCF524334 LMB524334 LVX524334 MFT524334 MPP524334 MZL524334 NJH524334 NTD524334 OCZ524334 OMV524334 OWR524334 PGN524334 PQJ524334 QAF524334 QKB524334 QTX524334 RDT524334 RNP524334 RXL524334 SHH524334 SRD524334 TAZ524334 TKV524334 TUR524334 UEN524334 UOJ524334 UYF524334 VIB524334 VRX524334 WBT524334 WLP524334 WVL524334 D589870 IZ589870 SV589870 ACR589870 AMN589870 AWJ589870 BGF589870 BQB589870 BZX589870 CJT589870 CTP589870 DDL589870 DNH589870 DXD589870 EGZ589870 EQV589870 FAR589870 FKN589870 FUJ589870 GEF589870 GOB589870 GXX589870 HHT589870 HRP589870 IBL589870 ILH589870 IVD589870 JEZ589870 JOV589870 JYR589870 KIN589870 KSJ589870 LCF589870 LMB589870 LVX589870 MFT589870 MPP589870 MZL589870 NJH589870 NTD589870 OCZ589870 OMV589870 OWR589870 PGN589870 PQJ589870 QAF589870 QKB589870 QTX589870 RDT589870 RNP589870 RXL589870 SHH589870 SRD589870 TAZ589870 TKV589870 TUR589870 UEN589870 UOJ589870 UYF589870 VIB589870 VRX589870 WBT589870 WLP589870 WVL589870 D655406 IZ655406 SV655406 ACR655406 AMN655406 AWJ655406 BGF655406 BQB655406 BZX655406 CJT655406 CTP655406 DDL655406 DNH655406 DXD655406 EGZ655406 EQV655406 FAR655406 FKN655406 FUJ655406 GEF655406 GOB655406 GXX655406 HHT655406 HRP655406 IBL655406 ILH655406 IVD655406 JEZ655406 JOV655406 JYR655406 KIN655406 KSJ655406 LCF655406 LMB655406 LVX655406 MFT655406 MPP655406 MZL655406 NJH655406 NTD655406 OCZ655406 OMV655406 OWR655406 PGN655406 PQJ655406 QAF655406 QKB655406 QTX655406 RDT655406 RNP655406 RXL655406 SHH655406 SRD655406 TAZ655406 TKV655406 TUR655406 UEN655406 UOJ655406 UYF655406 VIB655406 VRX655406 WBT655406 WLP655406 WVL655406 D720942 IZ720942 SV720942 ACR720942 AMN720942 AWJ720942 BGF720942 BQB720942 BZX720942 CJT720942 CTP720942 DDL720942 DNH720942 DXD720942 EGZ720942 EQV720942 FAR720942 FKN720942 FUJ720942 GEF720942 GOB720942 GXX720942 HHT720942 HRP720942 IBL720942 ILH720942 IVD720942 JEZ720942 JOV720942 JYR720942 KIN720942 KSJ720942 LCF720942 LMB720942 LVX720942 MFT720942 MPP720942 MZL720942 NJH720942 NTD720942 OCZ720942 OMV720942 OWR720942 PGN720942 PQJ720942 QAF720942 QKB720942 QTX720942 RDT720942 RNP720942 RXL720942 SHH720942 SRD720942 TAZ720942 TKV720942 TUR720942 UEN720942 UOJ720942 UYF720942 VIB720942 VRX720942 WBT720942 WLP720942 WVL720942 D786478 IZ786478 SV786478 ACR786478 AMN786478 AWJ786478 BGF786478 BQB786478 BZX786478 CJT786478 CTP786478 DDL786478 DNH786478 DXD786478 EGZ786478 EQV786478 FAR786478 FKN786478 FUJ786478 GEF786478 GOB786478 GXX786478 HHT786478 HRP786478 IBL786478 ILH786478 IVD786478 JEZ786478 JOV786478 JYR786478 KIN786478 KSJ786478 LCF786478 LMB786478 LVX786478 MFT786478 MPP786478 MZL786478 NJH786478 NTD786478 OCZ786478 OMV786478 OWR786478 PGN786478 PQJ786478 QAF786478 QKB786478 QTX786478 RDT786478 RNP786478 RXL786478 SHH786478 SRD786478 TAZ786478 TKV786478 TUR786478 UEN786478 UOJ786478 UYF786478 VIB786478 VRX786478 WBT786478 WLP786478 WVL786478 D852014 IZ852014 SV852014 ACR852014 AMN852014 AWJ852014 BGF852014 BQB852014 BZX852014 CJT852014 CTP852014 DDL852014 DNH852014 DXD852014 EGZ852014 EQV852014 FAR852014 FKN852014 FUJ852014 GEF852014 GOB852014 GXX852014 HHT852014 HRP852014 IBL852014 ILH852014 IVD852014 JEZ852014 JOV852014 JYR852014 KIN852014 KSJ852014 LCF852014 LMB852014 LVX852014 MFT852014 MPP852014 MZL852014 NJH852014 NTD852014 OCZ852014 OMV852014 OWR852014 PGN852014 PQJ852014 QAF852014 QKB852014 QTX852014 RDT852014 RNP852014 RXL852014 SHH852014 SRD852014 TAZ852014 TKV852014 TUR852014 UEN852014 UOJ852014 UYF852014 VIB852014 VRX852014 WBT852014 WLP852014 WVL852014 D917550 IZ917550 SV917550 ACR917550 AMN917550 AWJ917550 BGF917550 BQB917550 BZX917550 CJT917550 CTP917550 DDL917550 DNH917550 DXD917550 EGZ917550 EQV917550 FAR917550 FKN917550 FUJ917550 GEF917550 GOB917550 GXX917550 HHT917550 HRP917550 IBL917550 ILH917550 IVD917550 JEZ917550 JOV917550 JYR917550 KIN917550 KSJ917550 LCF917550 LMB917550 LVX917550 MFT917550 MPP917550 MZL917550 NJH917550 NTD917550 OCZ917550 OMV917550 OWR917550 PGN917550 PQJ917550 QAF917550 QKB917550 QTX917550 RDT917550 RNP917550 RXL917550 SHH917550 SRD917550 TAZ917550 TKV917550 TUR917550 UEN917550 UOJ917550 UYF917550 VIB917550 VRX917550 WBT917550 WLP917550 WVL917550 D983086 IZ983086 SV983086 ACR983086 AMN983086 AWJ983086 BGF983086 BQB983086 BZX983086 CJT983086 CTP983086 DDL983086 DNH983086 DXD983086 EGZ983086 EQV983086 FAR983086 FKN983086 FUJ983086 GEF983086 GOB983086 GXX983086 HHT983086 HRP983086 IBL983086 ILH983086 IVD983086 JEZ983086 JOV983086 JYR983086 KIN983086 KSJ983086 LCF983086 LMB983086 LVX983086 MFT983086 MPP983086 MZL983086 NJH983086 NTD983086 OCZ983086 OMV983086 OWR983086 PGN983086 PQJ983086 QAF983086 QKB983086 QTX983086 RDT983086 RNP983086 RXL983086 SHH983086 SRD983086 TAZ983086 TKV983086 TUR983086 UEN983086 UOJ983086 UYF983086 VIB983086 VRX983086 WBT983086 WLP983086 WVL983086" xr:uid="{401D8082-3A4A-4B30-B0A5-A031064376C1}">
      <formula1>"Core1,Core2,Core3"</formula1>
    </dataValidation>
  </dataValidations>
  <printOptions horizontalCentered="1" verticalCentered="1"/>
  <pageMargins left="0.5" right="0.5" top="0.5" bottom="0.5" header="0" footer="0"/>
  <pageSetup paperSize="9" scale="99" orientation="portrait" r:id="rId1"/>
  <headerFooter alignWithMargins="0"/>
  <rowBreaks count="1" manualBreakCount="1">
    <brk id="131" max="21"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8AB1F-7475-41A2-8455-0F7A784E99A8}">
  <sheetPr codeName="Sheet226">
    <tabColor indexed="45"/>
  </sheetPr>
  <dimension ref="A1:AE179"/>
  <sheetViews>
    <sheetView showZeros="0" view="pageBreakPreview" topLeftCell="A60" zoomScale="145" zoomScaleNormal="100" zoomScaleSheetLayoutView="145" workbookViewId="0">
      <selection activeCell="T79" sqref="T79"/>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Title!H2</f>
        <v>ADEQUACY CHECK</v>
      </c>
      <c r="I2" s="730"/>
      <c r="J2" s="730"/>
      <c r="K2" s="730"/>
      <c r="L2" s="730"/>
      <c r="M2" s="730"/>
      <c r="N2" s="731"/>
      <c r="O2" s="702" t="str">
        <f>Title!O2</f>
        <v>Date</v>
      </c>
      <c r="P2" s="703"/>
      <c r="Q2" s="704"/>
      <c r="R2" s="732">
        <f>Title!R2</f>
        <v>46106</v>
      </c>
      <c r="S2" s="733"/>
      <c r="T2" s="733"/>
      <c r="U2" s="733"/>
      <c r="V2" s="734"/>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14"/>
      <c r="X4" s="14"/>
    </row>
    <row r="5" spans="1:24" ht="18" customHeight="1">
      <c r="A5" s="708" t="str">
        <f>Title!A5</f>
        <v>Prep. By</v>
      </c>
      <c r="B5" s="709"/>
      <c r="C5" s="25" t="str">
        <f>Title!C5</f>
        <v>AP</v>
      </c>
      <c r="D5" s="708" t="str">
        <f>Title!D5</f>
        <v>Checked By</v>
      </c>
      <c r="E5" s="710"/>
      <c r="F5" s="709"/>
      <c r="G5" s="25" t="str">
        <f>Title!G5</f>
        <v>RB</v>
      </c>
      <c r="H5" s="711" t="s">
        <v>601</v>
      </c>
      <c r="I5" s="712"/>
      <c r="J5" s="712"/>
      <c r="K5" s="712"/>
      <c r="L5" s="712"/>
      <c r="M5" s="712"/>
      <c r="N5" s="713"/>
      <c r="O5" s="714" t="str">
        <f>Title!O5</f>
        <v>Contractor</v>
      </c>
      <c r="P5" s="715"/>
      <c r="Q5" s="716"/>
      <c r="R5" s="705" t="str">
        <f>Title!R5</f>
        <v>HITACHI</v>
      </c>
      <c r="S5" s="706"/>
      <c r="T5" s="706"/>
      <c r="U5" s="706"/>
      <c r="V5" s="707"/>
      <c r="W5" s="14"/>
      <c r="X5" s="14"/>
    </row>
    <row r="6" spans="1:24" ht="18" customHeight="1">
      <c r="A6" s="196"/>
      <c r="V6" s="197"/>
    </row>
    <row r="7" spans="1:24" ht="18" customHeight="1">
      <c r="A7" s="196"/>
      <c r="B7" s="696" t="s">
        <v>120</v>
      </c>
      <c r="C7" s="697"/>
      <c r="D7" s="696" t="s">
        <v>125</v>
      </c>
      <c r="E7" s="698"/>
      <c r="F7" s="267"/>
      <c r="H7" s="638" t="s">
        <v>602</v>
      </c>
      <c r="I7" s="639"/>
      <c r="J7" s="639"/>
      <c r="K7" s="639"/>
      <c r="L7" s="639"/>
      <c r="M7" s="639"/>
      <c r="P7" s="198"/>
      <c r="R7" s="267"/>
      <c r="S7" s="199" t="s">
        <v>398</v>
      </c>
      <c r="T7" s="1051" t="s">
        <v>255</v>
      </c>
      <c r="U7" s="1052"/>
      <c r="V7" s="197"/>
    </row>
    <row r="8" spans="1:24" ht="18" customHeight="1">
      <c r="A8" s="196"/>
      <c r="B8" s="654"/>
      <c r="C8" s="655"/>
      <c r="D8" s="699"/>
      <c r="E8" s="700"/>
      <c r="F8" s="267"/>
      <c r="T8" s="1051" t="s">
        <v>257</v>
      </c>
      <c r="U8" s="1052"/>
      <c r="V8" s="197"/>
    </row>
    <row r="9" spans="1:24" ht="18" customHeight="1">
      <c r="A9" s="196"/>
      <c r="H9" s="662" t="s">
        <v>401</v>
      </c>
      <c r="I9" s="662"/>
      <c r="J9" s="701" t="s">
        <v>402</v>
      </c>
      <c r="K9" s="701"/>
      <c r="L9" s="701" t="s">
        <v>403</v>
      </c>
      <c r="M9" s="701"/>
      <c r="T9" s="1051"/>
      <c r="U9" s="1052"/>
      <c r="V9" s="197"/>
    </row>
    <row r="10" spans="1:24" ht="18" customHeight="1">
      <c r="A10" s="196"/>
      <c r="B10" s="47" t="s">
        <v>404</v>
      </c>
      <c r="H10" s="692">
        <v>600</v>
      </c>
      <c r="I10" s="693"/>
      <c r="J10" s="656">
        <v>200</v>
      </c>
      <c r="K10" s="657"/>
      <c r="L10" s="656" t="s">
        <v>7</v>
      </c>
      <c r="M10" s="657"/>
      <c r="N10" s="203" t="s">
        <v>353</v>
      </c>
      <c r="O10" s="125">
        <v>1</v>
      </c>
      <c r="P10" s="27" t="s">
        <v>9</v>
      </c>
      <c r="T10" s="1051"/>
      <c r="U10" s="1052"/>
      <c r="V10" s="197"/>
    </row>
    <row r="11" spans="1:24" ht="18" customHeight="1">
      <c r="A11" s="196"/>
      <c r="B11" s="47" t="s">
        <v>405</v>
      </c>
      <c r="H11" s="656" t="s">
        <v>603</v>
      </c>
      <c r="I11" s="657"/>
      <c r="T11" s="1053"/>
      <c r="U11" s="1053"/>
      <c r="V11" s="197"/>
    </row>
    <row r="12" spans="1:24" ht="18" customHeight="1">
      <c r="A12" s="196"/>
      <c r="B12" s="47" t="s">
        <v>407</v>
      </c>
      <c r="G12" s="120" t="s">
        <v>508</v>
      </c>
      <c r="H12" s="656">
        <v>8</v>
      </c>
      <c r="I12" s="657"/>
      <c r="J12" s="204" t="s">
        <v>344</v>
      </c>
      <c r="T12" s="307"/>
      <c r="U12" s="18"/>
      <c r="V12" s="197"/>
    </row>
    <row r="13" spans="1:24" ht="18" customHeight="1">
      <c r="A13" s="196"/>
      <c r="B13" s="30" t="s">
        <v>579</v>
      </c>
      <c r="G13" s="120" t="s">
        <v>580</v>
      </c>
      <c r="H13" s="656">
        <v>10</v>
      </c>
      <c r="I13" s="657"/>
      <c r="T13" s="307"/>
      <c r="U13" s="18"/>
      <c r="V13" s="197"/>
      <c r="W13" s="30" t="str">
        <f>J47</f>
        <v>Suitable Dimensions</v>
      </c>
    </row>
    <row r="14" spans="1:24" ht="18" customHeight="1">
      <c r="A14" s="196"/>
      <c r="B14" s="47" t="s">
        <v>573</v>
      </c>
      <c r="G14" s="120" t="s">
        <v>504</v>
      </c>
      <c r="H14" s="656">
        <v>7.5</v>
      </c>
      <c r="I14" s="657"/>
      <c r="J14" s="14"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49">
        <f>'CT-VT Burdens'!Q85</f>
        <v>8.0000000000000002E-3</v>
      </c>
      <c r="K18" s="1050"/>
      <c r="L18" s="3" t="s">
        <v>168</v>
      </c>
      <c r="N18" s="209" t="s">
        <v>521</v>
      </c>
      <c r="V18" s="197"/>
      <c r="AC18" s="14" t="s">
        <v>581</v>
      </c>
      <c r="AE18" s="14" t="s">
        <v>582</v>
      </c>
    </row>
    <row r="19" spans="1:31" ht="18" customHeight="1">
      <c r="A19" s="196"/>
      <c r="B19" s="96" t="s">
        <v>416</v>
      </c>
      <c r="D19" s="308" t="str">
        <f>T8</f>
        <v>GOSSEN</v>
      </c>
      <c r="I19" s="189" t="s">
        <v>138</v>
      </c>
      <c r="J19" s="688">
        <f>'CT-VT Burdens'!Q86</f>
        <v>0.25</v>
      </c>
      <c r="K19" s="684"/>
      <c r="L19" s="210" t="s">
        <v>168</v>
      </c>
      <c r="P19" s="256"/>
      <c r="V19" s="197"/>
    </row>
    <row r="20" spans="1:31" ht="18" customHeight="1">
      <c r="A20" s="196"/>
      <c r="B20" s="96" t="s">
        <v>416</v>
      </c>
      <c r="C20" s="14"/>
      <c r="D20" s="47">
        <f>T9</f>
        <v>0</v>
      </c>
      <c r="E20" s="14"/>
      <c r="G20" s="211"/>
      <c r="H20" s="27"/>
      <c r="I20" s="101" t="s">
        <v>138</v>
      </c>
      <c r="J20" s="688"/>
      <c r="K20" s="689"/>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688"/>
      <c r="K21" s="689"/>
      <c r="L21" s="214" t="s">
        <v>168</v>
      </c>
      <c r="O21" s="27" t="s">
        <v>138</v>
      </c>
      <c r="P21" s="27">
        <f>O10</f>
        <v>1</v>
      </c>
      <c r="Q21" s="27" t="s">
        <v>326</v>
      </c>
      <c r="R21" s="27">
        <f>O10</f>
        <v>1</v>
      </c>
      <c r="S21" s="27" t="s">
        <v>326</v>
      </c>
      <c r="T21" s="27">
        <f>H12</f>
        <v>8</v>
      </c>
      <c r="V21" s="197"/>
    </row>
    <row r="22" spans="1:31" ht="18" customHeight="1">
      <c r="A22" s="196"/>
      <c r="B22" s="196" t="s">
        <v>423</v>
      </c>
      <c r="C22" s="14"/>
      <c r="D22" s="47"/>
      <c r="E22" s="14"/>
      <c r="H22" s="27"/>
      <c r="I22" s="101" t="s">
        <v>138</v>
      </c>
      <c r="J22" s="690">
        <f>'CT-VT Burdens'!S22</f>
        <v>1.44186744</v>
      </c>
      <c r="K22" s="691"/>
      <c r="L22" s="309" t="s">
        <v>168</v>
      </c>
      <c r="O22" s="27" t="s">
        <v>138</v>
      </c>
      <c r="P22" s="637">
        <f>P21*R21*T21</f>
        <v>8</v>
      </c>
      <c r="Q22" s="639"/>
      <c r="R22" s="27" t="s">
        <v>168</v>
      </c>
      <c r="S22" s="27"/>
      <c r="T22" s="27"/>
      <c r="V22" s="197"/>
    </row>
    <row r="23" spans="1:31" ht="18" customHeight="1">
      <c r="A23" s="196"/>
      <c r="B23" s="1" t="s">
        <v>424</v>
      </c>
      <c r="C23" s="2"/>
      <c r="D23" s="2"/>
      <c r="E23" s="2"/>
      <c r="F23" s="208"/>
      <c r="G23" s="208"/>
      <c r="H23" s="236" t="s">
        <v>523</v>
      </c>
      <c r="I23" s="195" t="s">
        <v>138</v>
      </c>
      <c r="J23" s="648">
        <f>SUM(J18:K22)</f>
        <v>1.69986744</v>
      </c>
      <c r="K23" s="649"/>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86">
        <f>H10</f>
        <v>600</v>
      </c>
      <c r="Q25" s="986"/>
      <c r="R25" s="204" t="s">
        <v>9</v>
      </c>
      <c r="V25" s="197"/>
    </row>
    <row r="26" spans="1:31" ht="18" customHeight="1">
      <c r="A26" s="196"/>
      <c r="B26" s="47" t="s">
        <v>558</v>
      </c>
      <c r="C26" s="47"/>
      <c r="D26" s="47"/>
      <c r="E26" s="47"/>
      <c r="H26" s="27"/>
      <c r="I26" s="28"/>
      <c r="J26" s="211"/>
      <c r="L26" s="47"/>
      <c r="N26" s="120" t="s">
        <v>583</v>
      </c>
      <c r="O26" s="28" t="s">
        <v>138</v>
      </c>
      <c r="P26" s="986">
        <f>H12</f>
        <v>8</v>
      </c>
      <c r="Q26" s="986"/>
      <c r="R26" s="316" t="s">
        <v>168</v>
      </c>
      <c r="V26" s="197"/>
    </row>
    <row r="27" spans="1:31" ht="18" customHeight="1">
      <c r="A27" s="196"/>
      <c r="B27" s="47" t="s">
        <v>559</v>
      </c>
      <c r="C27" s="47"/>
      <c r="D27" s="47"/>
      <c r="E27" s="47"/>
      <c r="H27" s="27"/>
      <c r="I27" s="28"/>
      <c r="J27" s="211"/>
      <c r="L27" s="47"/>
      <c r="N27" s="120" t="s">
        <v>584</v>
      </c>
      <c r="O27" s="28" t="s">
        <v>138</v>
      </c>
      <c r="P27" s="960">
        <f>J23</f>
        <v>1.69986744</v>
      </c>
      <c r="Q27" s="986"/>
      <c r="R27" s="316" t="s">
        <v>168</v>
      </c>
      <c r="V27" s="197"/>
    </row>
    <row r="28" spans="1:31" ht="18" customHeight="1">
      <c r="A28" s="196"/>
      <c r="B28" s="47" t="s">
        <v>560</v>
      </c>
      <c r="C28" s="47"/>
      <c r="D28" s="47"/>
      <c r="E28" s="47"/>
      <c r="H28" s="27"/>
      <c r="I28" s="28"/>
      <c r="J28" s="211"/>
      <c r="L28" s="47"/>
      <c r="N28" s="120" t="s">
        <v>522</v>
      </c>
      <c r="O28" s="28" t="s">
        <v>138</v>
      </c>
      <c r="P28" s="986">
        <f>O10</f>
        <v>1</v>
      </c>
      <c r="Q28" s="986"/>
      <c r="R28" s="204" t="s">
        <v>9</v>
      </c>
      <c r="V28" s="197"/>
    </row>
    <row r="29" spans="1:31" ht="18" customHeight="1">
      <c r="A29" s="196"/>
      <c r="B29" s="47" t="s">
        <v>585</v>
      </c>
      <c r="C29" s="47"/>
      <c r="D29" s="47"/>
      <c r="E29" s="47"/>
      <c r="H29" s="27"/>
      <c r="I29" s="28"/>
      <c r="J29" s="211"/>
      <c r="L29" s="47"/>
      <c r="N29" s="120" t="s">
        <v>506</v>
      </c>
      <c r="O29" s="28" t="s">
        <v>138</v>
      </c>
      <c r="P29" s="986">
        <v>10</v>
      </c>
      <c r="Q29" s="986"/>
      <c r="R29" s="204"/>
      <c r="V29" s="197"/>
    </row>
    <row r="30" spans="1:31" ht="18" customHeight="1">
      <c r="A30" s="196"/>
      <c r="B30" s="47" t="s">
        <v>588</v>
      </c>
      <c r="C30" s="47"/>
      <c r="D30" s="47"/>
      <c r="E30" s="47"/>
      <c r="H30" s="27"/>
      <c r="I30" s="28"/>
      <c r="J30" s="211"/>
      <c r="L30" s="47"/>
      <c r="O30" s="28" t="s">
        <v>138</v>
      </c>
      <c r="P30" s="960">
        <v>20</v>
      </c>
      <c r="Q30" s="960"/>
      <c r="R30" s="204" t="s">
        <v>140</v>
      </c>
      <c r="S30" s="14" t="s">
        <v>181</v>
      </c>
      <c r="V30" s="197"/>
    </row>
    <row r="31" spans="1:31" ht="18" customHeight="1">
      <c r="A31" s="196"/>
      <c r="B31" s="47"/>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656">
        <v>20</v>
      </c>
      <c r="T32" s="657"/>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637">
        <f>J23</f>
        <v>1.69986744</v>
      </c>
      <c r="K35" s="639"/>
      <c r="L35" s="28"/>
      <c r="M35" s="637"/>
      <c r="N35" s="639"/>
      <c r="V35" s="197"/>
    </row>
    <row r="36" spans="1:22" ht="18" customHeight="1">
      <c r="A36" s="196"/>
      <c r="I36" s="28"/>
      <c r="J36" s="637"/>
      <c r="K36" s="639"/>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10</v>
      </c>
      <c r="K38" s="257" t="s">
        <v>565</v>
      </c>
      <c r="L38" s="313">
        <f>P22</f>
        <v>8</v>
      </c>
      <c r="M38" s="257" t="s">
        <v>358</v>
      </c>
      <c r="N38" s="254">
        <f>H14</f>
        <v>7.5</v>
      </c>
      <c r="O38" s="257" t="s">
        <v>550</v>
      </c>
      <c r="P38" s="313">
        <f>P22</f>
        <v>8</v>
      </c>
      <c r="Q38" s="257" t="s">
        <v>358</v>
      </c>
      <c r="R38" s="313">
        <f>J23</f>
        <v>1.69986744</v>
      </c>
      <c r="S38" s="308" t="s">
        <v>361</v>
      </c>
      <c r="V38" s="197"/>
    </row>
    <row r="39" spans="1:22" ht="18" customHeight="1">
      <c r="A39" s="196"/>
      <c r="I39" s="27" t="s">
        <v>138</v>
      </c>
      <c r="J39" s="640">
        <f>J38*((L38+N38)/(P38+R38))</f>
        <v>15.979599820180635</v>
      </c>
      <c r="K39" s="640"/>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639">
        <f>H14</f>
        <v>7.5</v>
      </c>
      <c r="H43" s="639"/>
      <c r="I43" s="27" t="str">
        <f>IF(G43&gt;J43,"&gt;","&lt;")</f>
        <v>&gt;</v>
      </c>
      <c r="J43" s="637">
        <f>J35</f>
        <v>1.69986744</v>
      </c>
      <c r="K43" s="639"/>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637">
        <f>P30</f>
        <v>20</v>
      </c>
      <c r="H46" s="637"/>
      <c r="I46" s="27" t="str">
        <f>IF(G46&gt;J46,"&gt;","&lt;")</f>
        <v>&gt;</v>
      </c>
      <c r="J46" s="637">
        <f>J39</f>
        <v>15.979599820180635</v>
      </c>
      <c r="K46" s="637"/>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customHeight="1">
      <c r="A50" s="196"/>
      <c r="B50" s="667" t="str">
        <f>B7</f>
        <v>T1</v>
      </c>
      <c r="C50" s="668"/>
      <c r="D50" s="680" t="str">
        <f>D7</f>
        <v>Core4</v>
      </c>
      <c r="E50" s="681"/>
      <c r="F50" s="267"/>
      <c r="H50" s="639" t="str">
        <f>H7</f>
        <v>(Tariff Meter- Check)</v>
      </c>
      <c r="I50" s="639"/>
      <c r="J50" s="639"/>
      <c r="K50" s="639"/>
      <c r="L50" s="639"/>
      <c r="M50" s="639"/>
      <c r="P50" s="198"/>
      <c r="R50" s="267"/>
      <c r="S50" s="199" t="s">
        <v>398</v>
      </c>
      <c r="T50" s="1051" t="str">
        <f>T7</f>
        <v>XC-RACK</v>
      </c>
      <c r="U50" s="1052"/>
      <c r="V50" s="197"/>
    </row>
    <row r="51" spans="1:23" ht="18" customHeight="1">
      <c r="A51" s="196"/>
      <c r="B51" s="679">
        <f>B8</f>
        <v>0</v>
      </c>
      <c r="C51" s="679"/>
      <c r="D51" s="682"/>
      <c r="E51" s="683"/>
      <c r="F51" s="267"/>
      <c r="T51" s="1051" t="str">
        <f>T8</f>
        <v>GOSSEN</v>
      </c>
      <c r="U51" s="1052"/>
      <c r="V51" s="197"/>
    </row>
    <row r="52" spans="1:23" ht="18" customHeight="1">
      <c r="A52" s="196"/>
      <c r="H52" s="661" t="s">
        <v>401</v>
      </c>
      <c r="I52" s="661"/>
      <c r="J52" s="662" t="s">
        <v>402</v>
      </c>
      <c r="K52" s="662"/>
      <c r="L52" s="701" t="s">
        <v>403</v>
      </c>
      <c r="M52" s="701"/>
      <c r="T52" s="1051"/>
      <c r="U52" s="1052"/>
      <c r="V52" s="197"/>
    </row>
    <row r="53" spans="1:23" ht="18" customHeight="1">
      <c r="A53" s="196"/>
      <c r="B53" s="47" t="s">
        <v>404</v>
      </c>
      <c r="H53" s="667">
        <f>H10</f>
        <v>600</v>
      </c>
      <c r="I53" s="668"/>
      <c r="J53" s="1030">
        <f>J10</f>
        <v>200</v>
      </c>
      <c r="K53" s="1031"/>
      <c r="L53" s="667" t="str">
        <f>L10</f>
        <v>-</v>
      </c>
      <c r="M53" s="668"/>
      <c r="N53" s="203" t="s">
        <v>353</v>
      </c>
      <c r="O53" s="501">
        <f>O10</f>
        <v>1</v>
      </c>
      <c r="P53" s="27" t="s">
        <v>9</v>
      </c>
      <c r="T53" s="1051"/>
      <c r="U53" s="1052"/>
      <c r="V53" s="197"/>
    </row>
    <row r="54" spans="1:23" ht="18" customHeight="1">
      <c r="A54" s="196"/>
      <c r="B54" s="47" t="s">
        <v>405</v>
      </c>
      <c r="H54" s="14"/>
      <c r="I54" s="14"/>
      <c r="J54" s="667" t="str">
        <f>H11</f>
        <v>0.2FS10</v>
      </c>
      <c r="K54" s="668"/>
      <c r="L54" s="14"/>
      <c r="M54" s="14"/>
      <c r="V54" s="197"/>
    </row>
    <row r="55" spans="1:23" ht="18" customHeight="1">
      <c r="A55" s="196"/>
      <c r="B55" s="47" t="s">
        <v>407</v>
      </c>
      <c r="I55" s="120" t="s">
        <v>508</v>
      </c>
      <c r="J55" s="656">
        <v>4</v>
      </c>
      <c r="K55" s="657"/>
      <c r="L55" s="204" t="s">
        <v>344</v>
      </c>
      <c r="T55" s="307"/>
      <c r="U55" s="18"/>
      <c r="V55" s="197"/>
    </row>
    <row r="56" spans="1:23" ht="18" customHeight="1">
      <c r="A56" s="196"/>
      <c r="B56" s="30" t="s">
        <v>579</v>
      </c>
      <c r="I56" s="120" t="s">
        <v>580</v>
      </c>
      <c r="J56" s="656">
        <v>10</v>
      </c>
      <c r="K56" s="657"/>
      <c r="T56" s="307"/>
      <c r="U56" s="18"/>
      <c r="V56" s="197"/>
      <c r="W56" s="30" t="str">
        <f>J90</f>
        <v>Suitable Dimensions</v>
      </c>
    </row>
    <row r="57" spans="1:23" ht="18" customHeight="1">
      <c r="A57" s="196"/>
      <c r="B57" s="47" t="s">
        <v>573</v>
      </c>
      <c r="I57" s="120" t="s">
        <v>504</v>
      </c>
      <c r="J57" s="656">
        <v>5</v>
      </c>
      <c r="K57" s="657"/>
      <c r="L57" s="14" t="s">
        <v>168</v>
      </c>
      <c r="T57" s="307"/>
      <c r="U57" s="18"/>
      <c r="V57" s="197"/>
    </row>
    <row r="58" spans="1:23" ht="18" customHeight="1">
      <c r="A58" s="196"/>
      <c r="V58" s="197"/>
    </row>
    <row r="59" spans="1:23" ht="18" customHeight="1">
      <c r="A59" s="205" t="s">
        <v>415</v>
      </c>
      <c r="V59" s="197"/>
    </row>
    <row r="60" spans="1:23" ht="18" customHeight="1">
      <c r="A60" s="196"/>
      <c r="V60" s="197"/>
    </row>
    <row r="61" spans="1:23" ht="18"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customHeight="1">
      <c r="A62" s="196"/>
      <c r="B62" s="96" t="s">
        <v>416</v>
      </c>
      <c r="D62" s="308" t="str">
        <f>D19</f>
        <v>GOSSEN</v>
      </c>
      <c r="I62" s="189" t="s">
        <v>138</v>
      </c>
      <c r="J62" s="642">
        <f t="shared" si="0"/>
        <v>0.25</v>
      </c>
      <c r="K62" s="643"/>
      <c r="L62" s="210" t="s">
        <v>168</v>
      </c>
      <c r="P62" s="256"/>
      <c r="V62" s="197"/>
    </row>
    <row r="63" spans="1:23" ht="18" customHeight="1">
      <c r="A63" s="196"/>
      <c r="B63" s="96" t="s">
        <v>416</v>
      </c>
      <c r="C63" s="14"/>
      <c r="D63" s="47">
        <f>D20</f>
        <v>0</v>
      </c>
      <c r="E63" s="14"/>
      <c r="G63" s="211"/>
      <c r="H63" s="27"/>
      <c r="I63" s="101" t="s">
        <v>138</v>
      </c>
      <c r="J63" s="644">
        <f t="shared" si="0"/>
        <v>0</v>
      </c>
      <c r="K63" s="645"/>
      <c r="L63" s="214" t="s">
        <v>168</v>
      </c>
      <c r="N63" s="120" t="s">
        <v>502</v>
      </c>
      <c r="O63" s="27" t="s">
        <v>138</v>
      </c>
      <c r="P63" s="27" t="s">
        <v>522</v>
      </c>
      <c r="Q63" s="27" t="s">
        <v>326</v>
      </c>
      <c r="R63" s="27" t="s">
        <v>522</v>
      </c>
      <c r="S63" s="27" t="s">
        <v>326</v>
      </c>
      <c r="T63" s="27" t="s">
        <v>431</v>
      </c>
      <c r="V63" s="197"/>
    </row>
    <row r="64" spans="1:23" ht="18" customHeight="1">
      <c r="A64" s="196"/>
      <c r="B64" s="96" t="s">
        <v>416</v>
      </c>
      <c r="C64" s="14"/>
      <c r="D64" s="47">
        <f>T10</f>
        <v>0</v>
      </c>
      <c r="E64" s="14"/>
      <c r="G64" s="211"/>
      <c r="H64" s="27"/>
      <c r="I64" s="101" t="s">
        <v>138</v>
      </c>
      <c r="J64" s="644">
        <f t="shared" si="0"/>
        <v>0</v>
      </c>
      <c r="K64" s="645"/>
      <c r="L64" s="214" t="s">
        <v>168</v>
      </c>
      <c r="O64" s="27" t="s">
        <v>138</v>
      </c>
      <c r="P64" s="27">
        <f>O53</f>
        <v>1</v>
      </c>
      <c r="Q64" s="27" t="s">
        <v>326</v>
      </c>
      <c r="R64" s="27">
        <f>O53</f>
        <v>1</v>
      </c>
      <c r="S64" s="27" t="s">
        <v>326</v>
      </c>
      <c r="T64" s="27">
        <f>J55</f>
        <v>4</v>
      </c>
      <c r="V64" s="197"/>
    </row>
    <row r="65" spans="1:22" ht="18" customHeight="1">
      <c r="A65" s="196"/>
      <c r="B65" s="196" t="s">
        <v>423</v>
      </c>
      <c r="C65" s="14"/>
      <c r="D65" s="47"/>
      <c r="E65" s="14"/>
      <c r="H65" s="27"/>
      <c r="I65" s="101" t="s">
        <v>138</v>
      </c>
      <c r="J65" s="646">
        <f t="shared" si="0"/>
        <v>1.44186744</v>
      </c>
      <c r="K65" s="647"/>
      <c r="L65" s="309" t="s">
        <v>168</v>
      </c>
      <c r="O65" s="27" t="s">
        <v>138</v>
      </c>
      <c r="P65" s="637">
        <f>P64*R64*T64</f>
        <v>4</v>
      </c>
      <c r="Q65" s="639"/>
      <c r="R65" s="27" t="s">
        <v>168</v>
      </c>
      <c r="S65" s="27"/>
      <c r="T65" s="27"/>
      <c r="V65" s="197"/>
    </row>
    <row r="66" spans="1:22" ht="18" customHeight="1">
      <c r="A66" s="196"/>
      <c r="B66" s="1" t="s">
        <v>424</v>
      </c>
      <c r="C66" s="2"/>
      <c r="D66" s="2"/>
      <c r="E66" s="2"/>
      <c r="F66" s="208"/>
      <c r="G66" s="208"/>
      <c r="H66" s="236" t="s">
        <v>523</v>
      </c>
      <c r="I66" s="195" t="s">
        <v>138</v>
      </c>
      <c r="J66" s="648">
        <f t="shared" si="0"/>
        <v>1.69986744</v>
      </c>
      <c r="K66" s="649"/>
      <c r="L66" s="3" t="s">
        <v>168</v>
      </c>
      <c r="O66" s="27"/>
      <c r="P66" s="223"/>
      <c r="Q66" s="223"/>
      <c r="R66" s="204"/>
      <c r="V66" s="197"/>
    </row>
    <row r="67" spans="1:22" ht="18" customHeight="1">
      <c r="A67" s="196"/>
      <c r="B67" s="47"/>
      <c r="C67" s="47"/>
      <c r="D67" s="47"/>
      <c r="E67" s="47"/>
      <c r="H67" s="27"/>
      <c r="I67" s="28"/>
      <c r="J67" s="230"/>
      <c r="K67" s="27"/>
      <c r="L67" s="47"/>
      <c r="O67" s="27"/>
      <c r="P67" s="223"/>
      <c r="Q67" s="223"/>
      <c r="R67" s="204"/>
      <c r="V67" s="197"/>
    </row>
    <row r="68" spans="1:22" ht="18" customHeight="1">
      <c r="A68" s="196"/>
      <c r="B68" s="47" t="s">
        <v>556</v>
      </c>
      <c r="C68" s="47"/>
      <c r="D68" s="47"/>
      <c r="E68" s="47"/>
      <c r="H68" s="27"/>
      <c r="I68" s="28"/>
      <c r="J68" s="211"/>
      <c r="L68" s="47"/>
      <c r="N68" s="120" t="s">
        <v>434</v>
      </c>
      <c r="O68" s="28" t="s">
        <v>138</v>
      </c>
      <c r="P68" s="986">
        <f>J53</f>
        <v>200</v>
      </c>
      <c r="Q68" s="986"/>
      <c r="R68" s="204" t="s">
        <v>9</v>
      </c>
      <c r="V68" s="197"/>
    </row>
    <row r="69" spans="1:22" ht="18" customHeight="1">
      <c r="A69" s="196"/>
      <c r="B69" s="47" t="s">
        <v>558</v>
      </c>
      <c r="C69" s="47"/>
      <c r="D69" s="47"/>
      <c r="E69" s="47"/>
      <c r="H69" s="27"/>
      <c r="I69" s="28"/>
      <c r="J69" s="211"/>
      <c r="L69" s="47"/>
      <c r="N69" s="120" t="s">
        <v>583</v>
      </c>
      <c r="O69" s="28" t="s">
        <v>138</v>
      </c>
      <c r="P69" s="986">
        <f>J55</f>
        <v>4</v>
      </c>
      <c r="Q69" s="986"/>
      <c r="R69" s="316" t="s">
        <v>168</v>
      </c>
      <c r="V69" s="197"/>
    </row>
    <row r="70" spans="1:22" ht="18" customHeight="1">
      <c r="A70" s="196"/>
      <c r="B70" s="47" t="s">
        <v>559</v>
      </c>
      <c r="C70" s="47"/>
      <c r="D70" s="47"/>
      <c r="E70" s="47"/>
      <c r="H70" s="27"/>
      <c r="I70" s="28"/>
      <c r="J70" s="211"/>
      <c r="L70" s="47"/>
      <c r="N70" s="120" t="s">
        <v>584</v>
      </c>
      <c r="O70" s="28" t="s">
        <v>138</v>
      </c>
      <c r="P70" s="960">
        <f>J66</f>
        <v>1.69986744</v>
      </c>
      <c r="Q70" s="986"/>
      <c r="R70" s="316" t="s">
        <v>168</v>
      </c>
      <c r="V70" s="197"/>
    </row>
    <row r="71" spans="1:22" ht="18" customHeight="1">
      <c r="A71" s="196"/>
      <c r="B71" s="47" t="s">
        <v>560</v>
      </c>
      <c r="C71" s="47"/>
      <c r="D71" s="47"/>
      <c r="E71" s="47"/>
      <c r="H71" s="27"/>
      <c r="I71" s="28"/>
      <c r="J71" s="211"/>
      <c r="L71" s="47"/>
      <c r="N71" s="120" t="s">
        <v>522</v>
      </c>
      <c r="O71" s="28" t="s">
        <v>138</v>
      </c>
      <c r="P71" s="986">
        <f>O53</f>
        <v>1</v>
      </c>
      <c r="Q71" s="986"/>
      <c r="R71" s="204" t="s">
        <v>9</v>
      </c>
      <c r="V71" s="197"/>
    </row>
    <row r="72" spans="1:22" ht="18" customHeight="1">
      <c r="A72" s="196"/>
      <c r="B72" s="47" t="s">
        <v>585</v>
      </c>
      <c r="C72" s="47"/>
      <c r="D72" s="47"/>
      <c r="E72" s="47"/>
      <c r="H72" s="27"/>
      <c r="I72" s="28"/>
      <c r="J72" s="211"/>
      <c r="L72" s="47"/>
      <c r="N72" s="120" t="s">
        <v>506</v>
      </c>
      <c r="O72" s="28" t="s">
        <v>138</v>
      </c>
      <c r="P72" s="986">
        <v>10</v>
      </c>
      <c r="Q72" s="986"/>
      <c r="R72" s="204"/>
      <c r="V72" s="197"/>
    </row>
    <row r="73" spans="1:22" ht="18" customHeight="1">
      <c r="A73" s="196"/>
      <c r="B73" s="47" t="s">
        <v>588</v>
      </c>
      <c r="C73" s="47"/>
      <c r="D73" s="47"/>
      <c r="E73" s="47"/>
      <c r="H73" s="27"/>
      <c r="I73" s="28"/>
      <c r="J73" s="211"/>
      <c r="L73" s="47"/>
      <c r="O73" s="28" t="s">
        <v>138</v>
      </c>
      <c r="P73" s="960">
        <v>20</v>
      </c>
      <c r="Q73" s="960"/>
      <c r="R73" s="204" t="s">
        <v>140</v>
      </c>
      <c r="S73" s="14" t="s">
        <v>181</v>
      </c>
      <c r="V73" s="197"/>
    </row>
    <row r="74" spans="1:22" ht="18"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705">
        <f>S32</f>
        <v>20</v>
      </c>
      <c r="T75" s="707"/>
      <c r="V75" s="197" t="s">
        <v>140</v>
      </c>
    </row>
    <row r="76" spans="1:22" ht="18" hidden="1" customHeight="1">
      <c r="A76" s="196"/>
      <c r="B76" s="47"/>
      <c r="C76" s="47"/>
      <c r="D76" s="47"/>
      <c r="E76" s="47"/>
      <c r="H76" s="27"/>
      <c r="I76" s="28"/>
      <c r="J76" s="211"/>
      <c r="L76" s="47"/>
      <c r="O76" s="27"/>
      <c r="P76" s="223"/>
      <c r="Q76" s="223"/>
      <c r="R76" s="204"/>
      <c r="V76" s="197"/>
    </row>
    <row r="77" spans="1:22" ht="18" customHeight="1">
      <c r="A77" s="196"/>
      <c r="B77" s="47"/>
      <c r="C77" s="47" t="s">
        <v>592</v>
      </c>
      <c r="D77" s="47"/>
      <c r="E77" s="47"/>
      <c r="H77" s="27"/>
      <c r="I77" s="28" t="s">
        <v>138</v>
      </c>
      <c r="J77" s="293" t="s">
        <v>593</v>
      </c>
      <c r="L77" s="47"/>
      <c r="O77" s="27"/>
      <c r="P77" s="28" t="s">
        <v>358</v>
      </c>
      <c r="Q77" s="14" t="s">
        <v>594</v>
      </c>
      <c r="R77" s="204"/>
      <c r="V77" s="197"/>
    </row>
    <row r="78" spans="1:22" ht="18" customHeight="1">
      <c r="A78" s="196"/>
      <c r="I78" s="28" t="s">
        <v>138</v>
      </c>
      <c r="J78" s="637">
        <f>J66</f>
        <v>1.69986744</v>
      </c>
      <c r="K78" s="639"/>
      <c r="L78" s="28"/>
      <c r="M78" s="637"/>
      <c r="N78" s="639"/>
      <c r="V78" s="197"/>
    </row>
    <row r="79" spans="1:22" ht="18" customHeight="1">
      <c r="A79" s="196"/>
      <c r="I79" s="28"/>
      <c r="J79" s="216"/>
      <c r="V79" s="197"/>
    </row>
    <row r="80" spans="1:22" ht="18"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customHeight="1">
      <c r="A81" s="196"/>
      <c r="I81" s="27" t="s">
        <v>138</v>
      </c>
      <c r="J81" s="257">
        <f>J56</f>
        <v>10</v>
      </c>
      <c r="K81" s="257" t="s">
        <v>565</v>
      </c>
      <c r="L81" s="313">
        <f>P65</f>
        <v>4</v>
      </c>
      <c r="M81" s="257" t="s">
        <v>358</v>
      </c>
      <c r="N81" s="254">
        <f>J57</f>
        <v>5</v>
      </c>
      <c r="O81" s="257" t="s">
        <v>550</v>
      </c>
      <c r="P81" s="313">
        <f>P65</f>
        <v>4</v>
      </c>
      <c r="Q81" s="257" t="s">
        <v>358</v>
      </c>
      <c r="R81" s="313">
        <f>J66</f>
        <v>1.69986744</v>
      </c>
      <c r="S81" s="308" t="s">
        <v>361</v>
      </c>
      <c r="V81" s="197"/>
    </row>
    <row r="82" spans="1:22" ht="18" customHeight="1">
      <c r="A82" s="196"/>
      <c r="I82" s="27" t="s">
        <v>138</v>
      </c>
      <c r="J82" s="640">
        <f>J81*((L81+N81)/(P81+R81))</f>
        <v>15.789840894966499</v>
      </c>
      <c r="K82" s="640"/>
      <c r="L82" s="254"/>
      <c r="M82" s="254"/>
      <c r="N82" s="254"/>
      <c r="O82" s="254"/>
      <c r="P82" s="254"/>
      <c r="Q82" s="254"/>
      <c r="R82" s="254"/>
      <c r="V82" s="197"/>
    </row>
    <row r="83" spans="1:22" ht="18" customHeight="1">
      <c r="A83" s="196"/>
      <c r="I83" s="28"/>
      <c r="J83" s="223"/>
      <c r="K83" s="27"/>
      <c r="V83" s="197"/>
    </row>
    <row r="84" spans="1:22" ht="18" customHeight="1">
      <c r="A84" s="96" t="s">
        <v>595</v>
      </c>
      <c r="I84" s="28"/>
      <c r="J84" s="223"/>
      <c r="K84" s="27"/>
      <c r="V84" s="197"/>
    </row>
    <row r="85" spans="1:22" ht="18" customHeight="1">
      <c r="A85" s="196"/>
      <c r="B85" s="28">
        <v>1</v>
      </c>
      <c r="D85" s="14"/>
      <c r="H85" s="120" t="s">
        <v>503</v>
      </c>
      <c r="I85" s="28" t="s">
        <v>487</v>
      </c>
      <c r="J85" s="47" t="s">
        <v>116</v>
      </c>
      <c r="S85" s="14" t="s">
        <v>596</v>
      </c>
      <c r="V85" s="197"/>
    </row>
    <row r="86" spans="1:22" ht="18" customHeight="1">
      <c r="A86" s="196"/>
      <c r="G86" s="639">
        <f>J57</f>
        <v>5</v>
      </c>
      <c r="H86" s="639"/>
      <c r="I86" s="27" t="str">
        <f>IF(G86&gt;J86,"&gt;","&lt;")</f>
        <v>&gt;</v>
      </c>
      <c r="J86" s="637">
        <f>J78</f>
        <v>1.69986744</v>
      </c>
      <c r="K86" s="639"/>
      <c r="S86" s="198" t="str">
        <f>IF(G86&gt;J86,"Satisfied","Not satisfied")</f>
        <v>Satisfied</v>
      </c>
      <c r="V86" s="197"/>
    </row>
    <row r="87" spans="1:22" ht="18" customHeight="1">
      <c r="A87" s="196"/>
      <c r="D87" s="14"/>
      <c r="H87" s="120"/>
      <c r="I87" s="27"/>
      <c r="R87" s="14"/>
      <c r="V87" s="197"/>
    </row>
    <row r="88" spans="1:22" ht="18" customHeight="1">
      <c r="A88" s="196"/>
      <c r="B88" s="28">
        <v>2</v>
      </c>
      <c r="D88" s="14"/>
      <c r="H88" s="256" t="s">
        <v>597</v>
      </c>
      <c r="I88" s="28" t="s">
        <v>487</v>
      </c>
      <c r="J88" s="14" t="s">
        <v>117</v>
      </c>
      <c r="K88" s="14"/>
      <c r="S88" s="14" t="s">
        <v>598</v>
      </c>
      <c r="V88" s="197"/>
    </row>
    <row r="89" spans="1:22" ht="18" customHeight="1">
      <c r="A89" s="196"/>
      <c r="D89" s="14"/>
      <c r="G89" s="637">
        <f>P73</f>
        <v>20</v>
      </c>
      <c r="H89" s="637"/>
      <c r="I89" s="27" t="str">
        <f>IF(G89&gt;J89,"&gt;","&lt;")</f>
        <v>&gt;</v>
      </c>
      <c r="J89" s="637">
        <f>J82</f>
        <v>15.789840894966499</v>
      </c>
      <c r="K89" s="637"/>
      <c r="R89" s="14"/>
      <c r="S89" s="198" t="str">
        <f>IF(G89&gt;J89,"Satisfied","Not satisfied")</f>
        <v>Satisfied</v>
      </c>
      <c r="V89" s="197"/>
    </row>
    <row r="90" spans="1:22" ht="18"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650" t="str">
        <f>B50</f>
        <v>T1</v>
      </c>
      <c r="C95" s="651"/>
      <c r="D95" s="663" t="str">
        <f>D50</f>
        <v>Core4</v>
      </c>
      <c r="E95" s="664"/>
      <c r="F95" s="267"/>
      <c r="H95" s="639" t="str">
        <f>H50</f>
        <v>(Tariff Meter- Check)</v>
      </c>
      <c r="I95" s="639"/>
      <c r="J95" s="639"/>
      <c r="K95" s="639"/>
      <c r="L95" s="639"/>
      <c r="M95" s="639"/>
      <c r="P95" s="198"/>
      <c r="V95" s="197"/>
    </row>
    <row r="96" spans="1:22" ht="18" hidden="1" customHeight="1">
      <c r="A96" s="196"/>
      <c r="B96" s="660">
        <f>B51</f>
        <v>0</v>
      </c>
      <c r="C96" s="660"/>
      <c r="D96" s="665"/>
      <c r="E96" s="666"/>
      <c r="F96" s="267"/>
      <c r="V96" s="197"/>
    </row>
    <row r="97" spans="1:23" ht="18" hidden="1" customHeight="1">
      <c r="A97" s="196"/>
      <c r="H97" s="661" t="s">
        <v>401</v>
      </c>
      <c r="I97" s="661"/>
      <c r="J97" s="661" t="s">
        <v>402</v>
      </c>
      <c r="K97" s="661"/>
      <c r="L97" s="662" t="s">
        <v>403</v>
      </c>
      <c r="M97" s="662"/>
      <c r="V97" s="197"/>
    </row>
    <row r="98" spans="1:23" ht="18" hidden="1" customHeight="1">
      <c r="A98" s="196"/>
      <c r="B98" s="47" t="s">
        <v>404</v>
      </c>
      <c r="H98" s="650">
        <f>H53</f>
        <v>600</v>
      </c>
      <c r="I98" s="651"/>
      <c r="J98" s="650">
        <f>J53</f>
        <v>200</v>
      </c>
      <c r="K98" s="651"/>
      <c r="L98" s="652" t="str">
        <f>L53</f>
        <v>-</v>
      </c>
      <c r="M98" s="653"/>
      <c r="N98" s="203" t="s">
        <v>353</v>
      </c>
      <c r="O98" s="268">
        <f>O53</f>
        <v>1</v>
      </c>
      <c r="P98" s="27" t="s">
        <v>9</v>
      </c>
      <c r="V98" s="197"/>
    </row>
    <row r="99" spans="1:23" ht="18" hidden="1" customHeight="1">
      <c r="A99" s="196"/>
      <c r="B99" s="47" t="s">
        <v>405</v>
      </c>
      <c r="H99" s="14"/>
      <c r="I99" s="14"/>
      <c r="K99" s="14"/>
      <c r="L99" s="650" t="str">
        <f>J54</f>
        <v>0.2FS10</v>
      </c>
      <c r="M99" s="651"/>
      <c r="N99" s="14"/>
      <c r="V99" s="197"/>
    </row>
    <row r="100" spans="1:23" ht="18" hidden="1" customHeight="1">
      <c r="A100" s="196"/>
      <c r="B100" s="47" t="s">
        <v>407</v>
      </c>
      <c r="I100" s="120"/>
      <c r="K100" s="120" t="s">
        <v>508</v>
      </c>
      <c r="L100" s="656" t="s">
        <v>7</v>
      </c>
      <c r="M100" s="657"/>
      <c r="N100" s="204" t="s">
        <v>344</v>
      </c>
      <c r="T100" s="307"/>
      <c r="U100" s="18"/>
      <c r="V100" s="197"/>
    </row>
    <row r="101" spans="1:23" ht="18" hidden="1" customHeight="1">
      <c r="A101" s="196"/>
      <c r="B101" s="30" t="s">
        <v>579</v>
      </c>
      <c r="I101" s="120"/>
      <c r="K101" s="120" t="s">
        <v>580</v>
      </c>
      <c r="L101" s="656" t="s">
        <v>7</v>
      </c>
      <c r="M101" s="657"/>
      <c r="T101" s="307"/>
      <c r="U101" s="18"/>
      <c r="V101" s="197"/>
      <c r="W101" s="30" t="e">
        <f>J130</f>
        <v>#VALUE!</v>
      </c>
    </row>
    <row r="102" spans="1:23" ht="18" hidden="1" customHeight="1">
      <c r="A102" s="196"/>
      <c r="B102" s="47" t="s">
        <v>573</v>
      </c>
      <c r="I102" s="120"/>
      <c r="K102" s="120" t="s">
        <v>504</v>
      </c>
      <c r="L102" s="656" t="s">
        <v>7</v>
      </c>
      <c r="M102" s="657"/>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648">
        <f t="shared" ref="J106:J111" si="1">J61</f>
        <v>8.0000000000000002E-3</v>
      </c>
      <c r="K106" s="649"/>
      <c r="L106" s="3" t="s">
        <v>168</v>
      </c>
      <c r="N106" s="209" t="s">
        <v>521</v>
      </c>
      <c r="V106" s="197"/>
    </row>
    <row r="107" spans="1:23" ht="18" hidden="1" customHeight="1">
      <c r="A107" s="196"/>
      <c r="B107" s="96" t="s">
        <v>416</v>
      </c>
      <c r="D107" s="308" t="str">
        <f>D62</f>
        <v>GOSSEN</v>
      </c>
      <c r="I107" s="189" t="s">
        <v>138</v>
      </c>
      <c r="J107" s="642">
        <f t="shared" si="1"/>
        <v>0.25</v>
      </c>
      <c r="K107" s="643"/>
      <c r="L107" s="210" t="s">
        <v>168</v>
      </c>
      <c r="P107" s="256"/>
      <c r="V107" s="197"/>
    </row>
    <row r="108" spans="1:23" ht="18" hidden="1" customHeight="1">
      <c r="A108" s="196"/>
      <c r="B108" s="96" t="s">
        <v>416</v>
      </c>
      <c r="C108" s="14"/>
      <c r="D108" s="47">
        <f>D63</f>
        <v>0</v>
      </c>
      <c r="E108" s="14"/>
      <c r="G108" s="211"/>
      <c r="H108" s="27"/>
      <c r="I108" s="101" t="s">
        <v>138</v>
      </c>
      <c r="J108" s="644">
        <f t="shared" si="1"/>
        <v>0</v>
      </c>
      <c r="K108" s="645"/>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644">
        <f t="shared" si="1"/>
        <v>0</v>
      </c>
      <c r="K109" s="645"/>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646">
        <f t="shared" si="1"/>
        <v>1.44186744</v>
      </c>
      <c r="K110" s="647"/>
      <c r="L110" s="309" t="s">
        <v>168</v>
      </c>
      <c r="O110" s="27" t="s">
        <v>138</v>
      </c>
      <c r="P110" s="637" t="e">
        <f>P109*R109*T109</f>
        <v>#VALUE!</v>
      </c>
      <c r="Q110" s="639"/>
      <c r="R110" s="27" t="s">
        <v>168</v>
      </c>
      <c r="S110" s="27"/>
      <c r="T110" s="27"/>
      <c r="V110" s="197"/>
    </row>
    <row r="111" spans="1:23" ht="18" hidden="1" customHeight="1">
      <c r="A111" s="196"/>
      <c r="B111" s="1" t="s">
        <v>424</v>
      </c>
      <c r="C111" s="2"/>
      <c r="D111" s="2"/>
      <c r="E111" s="2"/>
      <c r="F111" s="208"/>
      <c r="G111" s="208"/>
      <c r="H111" s="236" t="s">
        <v>523</v>
      </c>
      <c r="I111" s="195" t="s">
        <v>138</v>
      </c>
      <c r="J111" s="897">
        <f t="shared" si="1"/>
        <v>1.69986744</v>
      </c>
      <c r="K111" s="649"/>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705">
        <f>S75</f>
        <v>20</v>
      </c>
      <c r="T113" s="707"/>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637" t="e">
        <f>P110</f>
        <v>#VALUE!</v>
      </c>
      <c r="K116" s="639"/>
      <c r="L116" s="28" t="s">
        <v>358</v>
      </c>
      <c r="M116" s="637">
        <f>J111</f>
        <v>1.69986744</v>
      </c>
      <c r="N116" s="639"/>
      <c r="V116" s="197"/>
    </row>
    <row r="117" spans="1:22" ht="18" hidden="1" customHeight="1">
      <c r="A117" s="196"/>
      <c r="I117" s="28" t="s">
        <v>138</v>
      </c>
      <c r="J117" s="637" t="e">
        <f>J116+M116</f>
        <v>#VALUE!</v>
      </c>
      <c r="K117" s="639"/>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1.69986744</v>
      </c>
      <c r="S120" s="308" t="s">
        <v>361</v>
      </c>
      <c r="V120" s="197"/>
    </row>
    <row r="121" spans="1:22" ht="18" hidden="1" customHeight="1">
      <c r="A121" s="196"/>
      <c r="I121" s="27" t="s">
        <v>138</v>
      </c>
      <c r="J121" s="640" t="e">
        <f>J120*((L120+N120)/(P120+R120))</f>
        <v>#VALUE!</v>
      </c>
      <c r="K121" s="640"/>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639" t="str">
        <f>L102</f>
        <v>-</v>
      </c>
      <c r="H125" s="639"/>
      <c r="I125" s="27" t="e">
        <f>IF(G125&gt;J125,"&gt;","&lt;")</f>
        <v>#VALUE!</v>
      </c>
      <c r="J125" s="637" t="e">
        <f>J117</f>
        <v>#VALUE!</v>
      </c>
      <c r="K125" s="639"/>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637">
        <f>S113</f>
        <v>20</v>
      </c>
      <c r="H128" s="637"/>
      <c r="I128" s="27" t="e">
        <f>IF(G128&gt;J128,"&gt;","&lt;")</f>
        <v>#VALUE!</v>
      </c>
      <c r="J128" s="637" t="e">
        <f>J121</f>
        <v>#VALUE!</v>
      </c>
      <c r="K128" s="637"/>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614" t="s">
        <v>97</v>
      </c>
      <c r="B140" s="620"/>
      <c r="C140" s="615"/>
      <c r="D140" s="614" t="s">
        <v>98</v>
      </c>
      <c r="E140" s="620"/>
      <c r="F140" s="615"/>
      <c r="G140" s="614" t="s">
        <v>99</v>
      </c>
      <c r="H140" s="615"/>
      <c r="I140" s="614" t="s">
        <v>100</v>
      </c>
      <c r="J140" s="615"/>
      <c r="K140" s="614" t="s">
        <v>513</v>
      </c>
      <c r="L140" s="615"/>
      <c r="M140" s="614" t="s">
        <v>114</v>
      </c>
      <c r="N140" s="615"/>
      <c r="O140" s="614"/>
      <c r="P140" s="615"/>
      <c r="Q140" s="614" t="s">
        <v>516</v>
      </c>
      <c r="R140" s="615"/>
      <c r="S140" s="614" t="s">
        <v>105</v>
      </c>
      <c r="T140" s="620"/>
      <c r="U140" s="620"/>
      <c r="V140" s="615"/>
    </row>
    <row r="141" spans="1:22" ht="18" customHeight="1">
      <c r="A141" s="616"/>
      <c r="B141" s="621"/>
      <c r="C141" s="617"/>
      <c r="D141" s="616"/>
      <c r="E141" s="621"/>
      <c r="F141" s="617"/>
      <c r="G141" s="616"/>
      <c r="H141" s="617"/>
      <c r="I141" s="616"/>
      <c r="J141" s="617"/>
      <c r="K141" s="616"/>
      <c r="L141" s="617"/>
      <c r="M141" s="616"/>
      <c r="N141" s="617"/>
      <c r="O141" s="616"/>
      <c r="P141" s="617"/>
      <c r="Q141" s="616"/>
      <c r="R141" s="617"/>
      <c r="S141" s="616"/>
      <c r="T141" s="621"/>
      <c r="U141" s="621"/>
      <c r="V141" s="617"/>
    </row>
    <row r="142" spans="1:22" ht="18" customHeight="1">
      <c r="A142" s="616"/>
      <c r="B142" s="621"/>
      <c r="C142" s="617"/>
      <c r="D142" s="616"/>
      <c r="E142" s="621"/>
      <c r="F142" s="617"/>
      <c r="G142" s="616"/>
      <c r="H142" s="617"/>
      <c r="I142" s="616"/>
      <c r="J142" s="617"/>
      <c r="K142" s="616"/>
      <c r="L142" s="617"/>
      <c r="M142" s="616"/>
      <c r="N142" s="617"/>
      <c r="O142" s="616"/>
      <c r="P142" s="617"/>
      <c r="Q142" s="616"/>
      <c r="R142" s="617"/>
      <c r="S142" s="616"/>
      <c r="T142" s="621"/>
      <c r="U142" s="621"/>
      <c r="V142" s="617"/>
    </row>
    <row r="143" spans="1:22" ht="18" customHeight="1">
      <c r="A143" s="618"/>
      <c r="B143" s="622"/>
      <c r="C143" s="619"/>
      <c r="D143" s="618"/>
      <c r="E143" s="622"/>
      <c r="F143" s="619"/>
      <c r="G143" s="618"/>
      <c r="H143" s="619"/>
      <c r="I143" s="618"/>
      <c r="J143" s="619"/>
      <c r="K143" s="618"/>
      <c r="L143" s="619"/>
      <c r="M143" s="618"/>
      <c r="N143" s="619"/>
      <c r="O143" s="618"/>
      <c r="P143" s="619"/>
      <c r="Q143" s="618"/>
      <c r="R143" s="619"/>
      <c r="S143" s="618"/>
      <c r="T143" s="622"/>
      <c r="U143" s="622"/>
      <c r="V143" s="619"/>
    </row>
    <row r="144" spans="1:22" ht="18" customHeight="1">
      <c r="A144" s="623" t="str">
        <f>B95</f>
        <v>T1</v>
      </c>
      <c r="B144" s="623" t="str">
        <f>D95</f>
        <v>Core4</v>
      </c>
      <c r="C144" s="623"/>
      <c r="D144" s="613">
        <f>H98</f>
        <v>600</v>
      </c>
      <c r="E144" s="613"/>
      <c r="F144" s="624">
        <f>O98</f>
        <v>1</v>
      </c>
      <c r="G144" s="627">
        <f>'CT-VT Burdens'!S19</f>
        <v>80</v>
      </c>
      <c r="H144" s="630">
        <f>'CT-VT Burdens'!S10</f>
        <v>2.5</v>
      </c>
      <c r="I144" s="783" t="str">
        <f>L99</f>
        <v>0.2FS10</v>
      </c>
      <c r="J144" s="783"/>
      <c r="K144" s="612">
        <f>H12</f>
        <v>8</v>
      </c>
      <c r="L144" s="612"/>
      <c r="M144" s="612">
        <f>H14</f>
        <v>7.5</v>
      </c>
      <c r="N144" s="612"/>
      <c r="O144" s="613" t="s">
        <v>7</v>
      </c>
      <c r="P144" s="613"/>
      <c r="Q144" s="629" t="str">
        <f>CONCATENATE(T7," ",T8," ",T9," ",T10)</f>
        <v xml:space="preserve">XC-RACK GOSSEN  </v>
      </c>
      <c r="R144" s="629"/>
      <c r="S144" s="628" t="str">
        <f>J47</f>
        <v>Suitable Dimensions</v>
      </c>
      <c r="T144" s="628"/>
      <c r="U144" s="628"/>
      <c r="V144" s="628"/>
    </row>
    <row r="145" spans="1:22" ht="18" customHeight="1">
      <c r="A145" s="623"/>
      <c r="B145" s="623"/>
      <c r="C145" s="623"/>
      <c r="D145" s="613">
        <f>J98</f>
        <v>200</v>
      </c>
      <c r="E145" s="613"/>
      <c r="F145" s="625"/>
      <c r="G145" s="627"/>
      <c r="H145" s="630"/>
      <c r="I145" s="783"/>
      <c r="J145" s="783"/>
      <c r="K145" s="612">
        <f>J55</f>
        <v>4</v>
      </c>
      <c r="L145" s="612"/>
      <c r="M145" s="612">
        <f>J57</f>
        <v>5</v>
      </c>
      <c r="N145" s="612"/>
      <c r="O145" s="613" t="s">
        <v>7</v>
      </c>
      <c r="P145" s="613"/>
      <c r="Q145" s="629"/>
      <c r="R145" s="629"/>
      <c r="S145" s="628" t="str">
        <f>J90</f>
        <v>Suitable Dimensions</v>
      </c>
      <c r="T145" s="628"/>
      <c r="U145" s="628"/>
      <c r="V145" s="628"/>
    </row>
    <row r="146" spans="1:22" ht="18" customHeight="1">
      <c r="A146" s="623"/>
      <c r="B146" s="623"/>
      <c r="C146" s="623"/>
      <c r="D146" s="613" t="s">
        <v>7</v>
      </c>
      <c r="E146" s="613"/>
      <c r="F146" s="626"/>
      <c r="G146" s="627"/>
      <c r="H146" s="630"/>
      <c r="I146" s="783"/>
      <c r="J146" s="783"/>
      <c r="K146" s="612" t="s">
        <v>7</v>
      </c>
      <c r="L146" s="612"/>
      <c r="M146" s="612" t="s">
        <v>7</v>
      </c>
      <c r="N146" s="612"/>
      <c r="O146" s="613" t="s">
        <v>7</v>
      </c>
      <c r="P146" s="613"/>
      <c r="Q146" s="629"/>
      <c r="R146" s="629"/>
      <c r="S146" s="628" t="s">
        <v>7</v>
      </c>
      <c r="T146" s="628"/>
      <c r="U146" s="628"/>
      <c r="V146" s="628"/>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277"/>
      <c r="B177" s="251"/>
      <c r="C177" s="251"/>
      <c r="D177" s="251"/>
      <c r="E177" s="251"/>
      <c r="F177" s="251"/>
      <c r="G177" s="251"/>
      <c r="H177" s="251"/>
      <c r="I177" s="251"/>
      <c r="J177" s="93"/>
      <c r="K177" s="93"/>
      <c r="L177" s="251"/>
      <c r="M177" s="251"/>
      <c r="N177" s="251"/>
      <c r="O177" s="251"/>
      <c r="P177" s="251"/>
      <c r="Q177" s="251"/>
      <c r="R177" s="251"/>
      <c r="S177" s="251"/>
      <c r="T177" s="251"/>
      <c r="U177" s="103"/>
      <c r="V177" s="322"/>
    </row>
    <row r="178" spans="1:22" ht="18" customHeight="1">
      <c r="A178" s="196"/>
      <c r="V178" s="197"/>
    </row>
    <row r="179" spans="1:22" s="14" customFormat="1" ht="18" customHeight="1">
      <c r="A179" s="206"/>
      <c r="B179" s="207"/>
      <c r="C179" s="207"/>
      <c r="D179" s="207"/>
      <c r="E179" s="207"/>
      <c r="F179" s="207"/>
      <c r="G179" s="207"/>
      <c r="H179" s="207"/>
      <c r="I179" s="207"/>
      <c r="J179" s="207"/>
      <c r="K179" s="207"/>
      <c r="L179" s="207"/>
      <c r="M179" s="207"/>
      <c r="N179" s="207"/>
      <c r="O179" s="207"/>
      <c r="P179" s="207"/>
      <c r="Q179" s="236"/>
      <c r="R179" s="194"/>
      <c r="S179" s="237"/>
      <c r="T179" s="207"/>
      <c r="U179" s="207"/>
      <c r="V179" s="140"/>
    </row>
  </sheetData>
  <mergeCells count="157">
    <mergeCell ref="T51:U51"/>
    <mergeCell ref="T52:U52"/>
    <mergeCell ref="T53:U53"/>
    <mergeCell ref="T50:U50"/>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B7:C8"/>
    <mergeCell ref="D7:E8"/>
    <mergeCell ref="H7:M7"/>
    <mergeCell ref="T7:U7"/>
    <mergeCell ref="T8:U8"/>
    <mergeCell ref="H9:I9"/>
    <mergeCell ref="J9:K9"/>
    <mergeCell ref="L9:M9"/>
    <mergeCell ref="T9:U9"/>
    <mergeCell ref="H12:I12"/>
    <mergeCell ref="H13:I13"/>
    <mergeCell ref="H14:I14"/>
    <mergeCell ref="J18:K18"/>
    <mergeCell ref="J19:K19"/>
    <mergeCell ref="J20:K20"/>
    <mergeCell ref="H10:I10"/>
    <mergeCell ref="J10:K10"/>
    <mergeCell ref="L10:M10"/>
    <mergeCell ref="S32:T32"/>
    <mergeCell ref="J35:K35"/>
    <mergeCell ref="M35:N35"/>
    <mergeCell ref="J21:K21"/>
    <mergeCell ref="J22:K22"/>
    <mergeCell ref="P22:Q22"/>
    <mergeCell ref="J23:K23"/>
    <mergeCell ref="P25:Q25"/>
    <mergeCell ref="P26:Q26"/>
    <mergeCell ref="J36:K36"/>
    <mergeCell ref="J39:K39"/>
    <mergeCell ref="G43:H43"/>
    <mergeCell ref="J43:K43"/>
    <mergeCell ref="G46:H46"/>
    <mergeCell ref="J46:K46"/>
    <mergeCell ref="P27:Q27"/>
    <mergeCell ref="P28:Q28"/>
    <mergeCell ref="P29:Q29"/>
    <mergeCell ref="P30:Q30"/>
    <mergeCell ref="H53:I53"/>
    <mergeCell ref="J53:K53"/>
    <mergeCell ref="L53:M53"/>
    <mergeCell ref="J54:K54"/>
    <mergeCell ref="J55:K55"/>
    <mergeCell ref="J56:K56"/>
    <mergeCell ref="B50:C50"/>
    <mergeCell ref="D50:E51"/>
    <mergeCell ref="H50:M50"/>
    <mergeCell ref="B51:C51"/>
    <mergeCell ref="H52:I52"/>
    <mergeCell ref="J52:K52"/>
    <mergeCell ref="L52:M52"/>
    <mergeCell ref="P65:Q65"/>
    <mergeCell ref="J66:K66"/>
    <mergeCell ref="P68:Q68"/>
    <mergeCell ref="P69:Q69"/>
    <mergeCell ref="P70:Q70"/>
    <mergeCell ref="P71:Q71"/>
    <mergeCell ref="J57:K57"/>
    <mergeCell ref="J61:K61"/>
    <mergeCell ref="J62:K62"/>
    <mergeCell ref="J63:K63"/>
    <mergeCell ref="J64:K64"/>
    <mergeCell ref="J65:K65"/>
    <mergeCell ref="B95:C95"/>
    <mergeCell ref="D95:E96"/>
    <mergeCell ref="H95:M95"/>
    <mergeCell ref="B96:C96"/>
    <mergeCell ref="P72:Q72"/>
    <mergeCell ref="P73:Q73"/>
    <mergeCell ref="S75:T75"/>
    <mergeCell ref="J78:K78"/>
    <mergeCell ref="M78:N78"/>
    <mergeCell ref="J82:K82"/>
    <mergeCell ref="H97:I97"/>
    <mergeCell ref="J97:K97"/>
    <mergeCell ref="L97:M97"/>
    <mergeCell ref="H98:I98"/>
    <mergeCell ref="J98:K98"/>
    <mergeCell ref="L98:M98"/>
    <mergeCell ref="G86:H86"/>
    <mergeCell ref="J86:K86"/>
    <mergeCell ref="G89:H89"/>
    <mergeCell ref="J89:K89"/>
    <mergeCell ref="J108:K108"/>
    <mergeCell ref="J109:K109"/>
    <mergeCell ref="J110:K110"/>
    <mergeCell ref="P110:Q110"/>
    <mergeCell ref="J111:K111"/>
    <mergeCell ref="S113:T113"/>
    <mergeCell ref="L99:M99"/>
    <mergeCell ref="L100:M100"/>
    <mergeCell ref="L101:M101"/>
    <mergeCell ref="L102:M102"/>
    <mergeCell ref="J106:K106"/>
    <mergeCell ref="J107:K107"/>
    <mergeCell ref="Q144:R146"/>
    <mergeCell ref="G128:H128"/>
    <mergeCell ref="J128:K128"/>
    <mergeCell ref="A140:C143"/>
    <mergeCell ref="D140:F143"/>
    <mergeCell ref="G140:H143"/>
    <mergeCell ref="I140:J143"/>
    <mergeCell ref="K140:L143"/>
    <mergeCell ref="J116:K116"/>
    <mergeCell ref="M116:N116"/>
    <mergeCell ref="J117:K117"/>
    <mergeCell ref="J121:K121"/>
    <mergeCell ref="G125:H125"/>
    <mergeCell ref="J125:K125"/>
    <mergeCell ref="M140:N143"/>
    <mergeCell ref="S144:V144"/>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s>
  <conditionalFormatting sqref="I47:J47 I90:J92 I129:J135">
    <cfRule type="cellIs" dxfId="88" priority="2" stopIfTrue="1" operator="equal">
      <formula>"Not suitable"</formula>
    </cfRule>
  </conditionalFormatting>
  <conditionalFormatting sqref="S43 S46 S86 S89 S125 S128">
    <cfRule type="cellIs" dxfId="87" priority="1" stopIfTrue="1" operator="equal">
      <formula>"Not satisfied"</formula>
    </cfRule>
  </conditionalFormatting>
  <dataValidations count="2">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30 IZ65630 SV65630 ACR65630 AMN65630 AWJ65630 BGF65630 BQB65630 BZX65630 CJT65630 CTP65630 DDL65630 DNH65630 DXD65630 EGZ65630 EQV65630 FAR65630 FKN65630 FUJ65630 GEF65630 GOB65630 GXX65630 HHT65630 HRP65630 IBL65630 ILH65630 IVD65630 JEZ65630 JOV65630 JYR65630 KIN65630 KSJ65630 LCF65630 LMB65630 LVX65630 MFT65630 MPP65630 MZL65630 NJH65630 NTD65630 OCZ65630 OMV65630 OWR65630 PGN65630 PQJ65630 QAF65630 QKB65630 QTX65630 RDT65630 RNP65630 RXL65630 SHH65630 SRD65630 TAZ65630 TKV65630 TUR65630 UEN65630 UOJ65630 UYF65630 VIB65630 VRX65630 WBT65630 WLP65630 WVL65630 D131166 IZ131166 SV131166 ACR131166 AMN131166 AWJ131166 BGF131166 BQB131166 BZX131166 CJT131166 CTP131166 DDL131166 DNH131166 DXD131166 EGZ131166 EQV131166 FAR131166 FKN131166 FUJ131166 GEF131166 GOB131166 GXX131166 HHT131166 HRP131166 IBL131166 ILH131166 IVD131166 JEZ131166 JOV131166 JYR131166 KIN131166 KSJ131166 LCF131166 LMB131166 LVX131166 MFT131166 MPP131166 MZL131166 NJH131166 NTD131166 OCZ131166 OMV131166 OWR131166 PGN131166 PQJ131166 QAF131166 QKB131166 QTX131166 RDT131166 RNP131166 RXL131166 SHH131166 SRD131166 TAZ131166 TKV131166 TUR131166 UEN131166 UOJ131166 UYF131166 VIB131166 VRX131166 WBT131166 WLP131166 WVL131166 D196702 IZ196702 SV196702 ACR196702 AMN196702 AWJ196702 BGF196702 BQB196702 BZX196702 CJT196702 CTP196702 DDL196702 DNH196702 DXD196702 EGZ196702 EQV196702 FAR196702 FKN196702 FUJ196702 GEF196702 GOB196702 GXX196702 HHT196702 HRP196702 IBL196702 ILH196702 IVD196702 JEZ196702 JOV196702 JYR196702 KIN196702 KSJ196702 LCF196702 LMB196702 LVX196702 MFT196702 MPP196702 MZL196702 NJH196702 NTD196702 OCZ196702 OMV196702 OWR196702 PGN196702 PQJ196702 QAF196702 QKB196702 QTX196702 RDT196702 RNP196702 RXL196702 SHH196702 SRD196702 TAZ196702 TKV196702 TUR196702 UEN196702 UOJ196702 UYF196702 VIB196702 VRX196702 WBT196702 WLP196702 WVL196702 D262238 IZ262238 SV262238 ACR262238 AMN262238 AWJ262238 BGF262238 BQB262238 BZX262238 CJT262238 CTP262238 DDL262238 DNH262238 DXD262238 EGZ262238 EQV262238 FAR262238 FKN262238 FUJ262238 GEF262238 GOB262238 GXX262238 HHT262238 HRP262238 IBL262238 ILH262238 IVD262238 JEZ262238 JOV262238 JYR262238 KIN262238 KSJ262238 LCF262238 LMB262238 LVX262238 MFT262238 MPP262238 MZL262238 NJH262238 NTD262238 OCZ262238 OMV262238 OWR262238 PGN262238 PQJ262238 QAF262238 QKB262238 QTX262238 RDT262238 RNP262238 RXL262238 SHH262238 SRD262238 TAZ262238 TKV262238 TUR262238 UEN262238 UOJ262238 UYF262238 VIB262238 VRX262238 WBT262238 WLP262238 WVL262238 D327774 IZ327774 SV327774 ACR327774 AMN327774 AWJ327774 BGF327774 BQB327774 BZX327774 CJT327774 CTP327774 DDL327774 DNH327774 DXD327774 EGZ327774 EQV327774 FAR327774 FKN327774 FUJ327774 GEF327774 GOB327774 GXX327774 HHT327774 HRP327774 IBL327774 ILH327774 IVD327774 JEZ327774 JOV327774 JYR327774 KIN327774 KSJ327774 LCF327774 LMB327774 LVX327774 MFT327774 MPP327774 MZL327774 NJH327774 NTD327774 OCZ327774 OMV327774 OWR327774 PGN327774 PQJ327774 QAF327774 QKB327774 QTX327774 RDT327774 RNP327774 RXL327774 SHH327774 SRD327774 TAZ327774 TKV327774 TUR327774 UEN327774 UOJ327774 UYF327774 VIB327774 VRX327774 WBT327774 WLP327774 WVL327774 D393310 IZ393310 SV393310 ACR393310 AMN393310 AWJ393310 BGF393310 BQB393310 BZX393310 CJT393310 CTP393310 DDL393310 DNH393310 DXD393310 EGZ393310 EQV393310 FAR393310 FKN393310 FUJ393310 GEF393310 GOB393310 GXX393310 HHT393310 HRP393310 IBL393310 ILH393310 IVD393310 JEZ393310 JOV393310 JYR393310 KIN393310 KSJ393310 LCF393310 LMB393310 LVX393310 MFT393310 MPP393310 MZL393310 NJH393310 NTD393310 OCZ393310 OMV393310 OWR393310 PGN393310 PQJ393310 QAF393310 QKB393310 QTX393310 RDT393310 RNP393310 RXL393310 SHH393310 SRD393310 TAZ393310 TKV393310 TUR393310 UEN393310 UOJ393310 UYF393310 VIB393310 VRX393310 WBT393310 WLP393310 WVL393310 D458846 IZ458846 SV458846 ACR458846 AMN458846 AWJ458846 BGF458846 BQB458846 BZX458846 CJT458846 CTP458846 DDL458846 DNH458846 DXD458846 EGZ458846 EQV458846 FAR458846 FKN458846 FUJ458846 GEF458846 GOB458846 GXX458846 HHT458846 HRP458846 IBL458846 ILH458846 IVD458846 JEZ458846 JOV458846 JYR458846 KIN458846 KSJ458846 LCF458846 LMB458846 LVX458846 MFT458846 MPP458846 MZL458846 NJH458846 NTD458846 OCZ458846 OMV458846 OWR458846 PGN458846 PQJ458846 QAF458846 QKB458846 QTX458846 RDT458846 RNP458846 RXL458846 SHH458846 SRD458846 TAZ458846 TKV458846 TUR458846 UEN458846 UOJ458846 UYF458846 VIB458846 VRX458846 WBT458846 WLP458846 WVL458846 D524382 IZ524382 SV524382 ACR524382 AMN524382 AWJ524382 BGF524382 BQB524382 BZX524382 CJT524382 CTP524382 DDL524382 DNH524382 DXD524382 EGZ524382 EQV524382 FAR524382 FKN524382 FUJ524382 GEF524382 GOB524382 GXX524382 HHT524382 HRP524382 IBL524382 ILH524382 IVD524382 JEZ524382 JOV524382 JYR524382 KIN524382 KSJ524382 LCF524382 LMB524382 LVX524382 MFT524382 MPP524382 MZL524382 NJH524382 NTD524382 OCZ524382 OMV524382 OWR524382 PGN524382 PQJ524382 QAF524382 QKB524382 QTX524382 RDT524382 RNP524382 RXL524382 SHH524382 SRD524382 TAZ524382 TKV524382 TUR524382 UEN524382 UOJ524382 UYF524382 VIB524382 VRX524382 WBT524382 WLP524382 WVL524382 D589918 IZ589918 SV589918 ACR589918 AMN589918 AWJ589918 BGF589918 BQB589918 BZX589918 CJT589918 CTP589918 DDL589918 DNH589918 DXD589918 EGZ589918 EQV589918 FAR589918 FKN589918 FUJ589918 GEF589918 GOB589918 GXX589918 HHT589918 HRP589918 IBL589918 ILH589918 IVD589918 JEZ589918 JOV589918 JYR589918 KIN589918 KSJ589918 LCF589918 LMB589918 LVX589918 MFT589918 MPP589918 MZL589918 NJH589918 NTD589918 OCZ589918 OMV589918 OWR589918 PGN589918 PQJ589918 QAF589918 QKB589918 QTX589918 RDT589918 RNP589918 RXL589918 SHH589918 SRD589918 TAZ589918 TKV589918 TUR589918 UEN589918 UOJ589918 UYF589918 VIB589918 VRX589918 WBT589918 WLP589918 WVL589918 D655454 IZ655454 SV655454 ACR655454 AMN655454 AWJ655454 BGF655454 BQB655454 BZX655454 CJT655454 CTP655454 DDL655454 DNH655454 DXD655454 EGZ655454 EQV655454 FAR655454 FKN655454 FUJ655454 GEF655454 GOB655454 GXX655454 HHT655454 HRP655454 IBL655454 ILH655454 IVD655454 JEZ655454 JOV655454 JYR655454 KIN655454 KSJ655454 LCF655454 LMB655454 LVX655454 MFT655454 MPP655454 MZL655454 NJH655454 NTD655454 OCZ655454 OMV655454 OWR655454 PGN655454 PQJ655454 QAF655454 QKB655454 QTX655454 RDT655454 RNP655454 RXL655454 SHH655454 SRD655454 TAZ655454 TKV655454 TUR655454 UEN655454 UOJ655454 UYF655454 VIB655454 VRX655454 WBT655454 WLP655454 WVL655454 D720990 IZ720990 SV720990 ACR720990 AMN720990 AWJ720990 BGF720990 BQB720990 BZX720990 CJT720990 CTP720990 DDL720990 DNH720990 DXD720990 EGZ720990 EQV720990 FAR720990 FKN720990 FUJ720990 GEF720990 GOB720990 GXX720990 HHT720990 HRP720990 IBL720990 ILH720990 IVD720990 JEZ720990 JOV720990 JYR720990 KIN720990 KSJ720990 LCF720990 LMB720990 LVX720990 MFT720990 MPP720990 MZL720990 NJH720990 NTD720990 OCZ720990 OMV720990 OWR720990 PGN720990 PQJ720990 QAF720990 QKB720990 QTX720990 RDT720990 RNP720990 RXL720990 SHH720990 SRD720990 TAZ720990 TKV720990 TUR720990 UEN720990 UOJ720990 UYF720990 VIB720990 VRX720990 WBT720990 WLP720990 WVL720990 D786526 IZ786526 SV786526 ACR786526 AMN786526 AWJ786526 BGF786526 BQB786526 BZX786526 CJT786526 CTP786526 DDL786526 DNH786526 DXD786526 EGZ786526 EQV786526 FAR786526 FKN786526 FUJ786526 GEF786526 GOB786526 GXX786526 HHT786526 HRP786526 IBL786526 ILH786526 IVD786526 JEZ786526 JOV786526 JYR786526 KIN786526 KSJ786526 LCF786526 LMB786526 LVX786526 MFT786526 MPP786526 MZL786526 NJH786526 NTD786526 OCZ786526 OMV786526 OWR786526 PGN786526 PQJ786526 QAF786526 QKB786526 QTX786526 RDT786526 RNP786526 RXL786526 SHH786526 SRD786526 TAZ786526 TKV786526 TUR786526 UEN786526 UOJ786526 UYF786526 VIB786526 VRX786526 WBT786526 WLP786526 WVL786526 D852062 IZ852062 SV852062 ACR852062 AMN852062 AWJ852062 BGF852062 BQB852062 BZX852062 CJT852062 CTP852062 DDL852062 DNH852062 DXD852062 EGZ852062 EQV852062 FAR852062 FKN852062 FUJ852062 GEF852062 GOB852062 GXX852062 HHT852062 HRP852062 IBL852062 ILH852062 IVD852062 JEZ852062 JOV852062 JYR852062 KIN852062 KSJ852062 LCF852062 LMB852062 LVX852062 MFT852062 MPP852062 MZL852062 NJH852062 NTD852062 OCZ852062 OMV852062 OWR852062 PGN852062 PQJ852062 QAF852062 QKB852062 QTX852062 RDT852062 RNP852062 RXL852062 SHH852062 SRD852062 TAZ852062 TKV852062 TUR852062 UEN852062 UOJ852062 UYF852062 VIB852062 VRX852062 WBT852062 WLP852062 WVL852062 D917598 IZ917598 SV917598 ACR917598 AMN917598 AWJ917598 BGF917598 BQB917598 BZX917598 CJT917598 CTP917598 DDL917598 DNH917598 DXD917598 EGZ917598 EQV917598 FAR917598 FKN917598 FUJ917598 GEF917598 GOB917598 GXX917598 HHT917598 HRP917598 IBL917598 ILH917598 IVD917598 JEZ917598 JOV917598 JYR917598 KIN917598 KSJ917598 LCF917598 LMB917598 LVX917598 MFT917598 MPP917598 MZL917598 NJH917598 NTD917598 OCZ917598 OMV917598 OWR917598 PGN917598 PQJ917598 QAF917598 QKB917598 QTX917598 RDT917598 RNP917598 RXL917598 SHH917598 SRD917598 TAZ917598 TKV917598 TUR917598 UEN917598 UOJ917598 UYF917598 VIB917598 VRX917598 WBT917598 WLP917598 WVL917598 D983134 IZ983134 SV983134 ACR983134 AMN983134 AWJ983134 BGF983134 BQB983134 BZX983134 CJT983134 CTP983134 DDL983134 DNH983134 DXD983134 EGZ983134 EQV983134 FAR983134 FKN983134 FUJ983134 GEF983134 GOB983134 GXX983134 HHT983134 HRP983134 IBL983134 ILH983134 IVD983134 JEZ983134 JOV983134 JYR983134 KIN983134 KSJ983134 LCF983134 LMB983134 LVX983134 MFT983134 MPP983134 MZL983134 NJH983134 NTD983134 OCZ983134 OMV983134 OWR983134 PGN983134 PQJ983134 QAF983134 QKB983134 QTX983134 RDT983134 RNP983134 RXL983134 SHH983134 SRD983134 TAZ983134 TKV983134 TUR983134 UEN983134 UOJ983134 UYF983134 VIB983134 VRX983134 WBT983134 WLP983134 WVL983134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4 IZ65584 SV65584 ACR65584 AMN65584 AWJ65584 BGF65584 BQB65584 BZX65584 CJT65584 CTP65584 DDL65584 DNH65584 DXD65584 EGZ65584 EQV65584 FAR65584 FKN65584 FUJ65584 GEF65584 GOB65584 GXX65584 HHT65584 HRP65584 IBL65584 ILH65584 IVD65584 JEZ65584 JOV65584 JYR65584 KIN65584 KSJ65584 LCF65584 LMB65584 LVX65584 MFT65584 MPP65584 MZL65584 NJH65584 NTD65584 OCZ65584 OMV65584 OWR65584 PGN65584 PQJ65584 QAF65584 QKB65584 QTX65584 RDT65584 RNP65584 RXL65584 SHH65584 SRD65584 TAZ65584 TKV65584 TUR65584 UEN65584 UOJ65584 UYF65584 VIB65584 VRX65584 WBT65584 WLP65584 WVL65584 D131120 IZ131120 SV131120 ACR131120 AMN131120 AWJ131120 BGF131120 BQB131120 BZX131120 CJT131120 CTP131120 DDL131120 DNH131120 DXD131120 EGZ131120 EQV131120 FAR131120 FKN131120 FUJ131120 GEF131120 GOB131120 GXX131120 HHT131120 HRP131120 IBL131120 ILH131120 IVD131120 JEZ131120 JOV131120 JYR131120 KIN131120 KSJ131120 LCF131120 LMB131120 LVX131120 MFT131120 MPP131120 MZL131120 NJH131120 NTD131120 OCZ131120 OMV131120 OWR131120 PGN131120 PQJ131120 QAF131120 QKB131120 QTX131120 RDT131120 RNP131120 RXL131120 SHH131120 SRD131120 TAZ131120 TKV131120 TUR131120 UEN131120 UOJ131120 UYF131120 VIB131120 VRX131120 WBT131120 WLP131120 WVL131120 D196656 IZ196656 SV196656 ACR196656 AMN196656 AWJ196656 BGF196656 BQB196656 BZX196656 CJT196656 CTP196656 DDL196656 DNH196656 DXD196656 EGZ196656 EQV196656 FAR196656 FKN196656 FUJ196656 GEF196656 GOB196656 GXX196656 HHT196656 HRP196656 IBL196656 ILH196656 IVD196656 JEZ196656 JOV196656 JYR196656 KIN196656 KSJ196656 LCF196656 LMB196656 LVX196656 MFT196656 MPP196656 MZL196656 NJH196656 NTD196656 OCZ196656 OMV196656 OWR196656 PGN196656 PQJ196656 QAF196656 QKB196656 QTX196656 RDT196656 RNP196656 RXL196656 SHH196656 SRD196656 TAZ196656 TKV196656 TUR196656 UEN196656 UOJ196656 UYF196656 VIB196656 VRX196656 WBT196656 WLP196656 WVL196656 D262192 IZ262192 SV262192 ACR262192 AMN262192 AWJ262192 BGF262192 BQB262192 BZX262192 CJT262192 CTP262192 DDL262192 DNH262192 DXD262192 EGZ262192 EQV262192 FAR262192 FKN262192 FUJ262192 GEF262192 GOB262192 GXX262192 HHT262192 HRP262192 IBL262192 ILH262192 IVD262192 JEZ262192 JOV262192 JYR262192 KIN262192 KSJ262192 LCF262192 LMB262192 LVX262192 MFT262192 MPP262192 MZL262192 NJH262192 NTD262192 OCZ262192 OMV262192 OWR262192 PGN262192 PQJ262192 QAF262192 QKB262192 QTX262192 RDT262192 RNP262192 RXL262192 SHH262192 SRD262192 TAZ262192 TKV262192 TUR262192 UEN262192 UOJ262192 UYF262192 VIB262192 VRX262192 WBT262192 WLP262192 WVL262192 D327728 IZ327728 SV327728 ACR327728 AMN327728 AWJ327728 BGF327728 BQB327728 BZX327728 CJT327728 CTP327728 DDL327728 DNH327728 DXD327728 EGZ327728 EQV327728 FAR327728 FKN327728 FUJ327728 GEF327728 GOB327728 GXX327728 HHT327728 HRP327728 IBL327728 ILH327728 IVD327728 JEZ327728 JOV327728 JYR327728 KIN327728 KSJ327728 LCF327728 LMB327728 LVX327728 MFT327728 MPP327728 MZL327728 NJH327728 NTD327728 OCZ327728 OMV327728 OWR327728 PGN327728 PQJ327728 QAF327728 QKB327728 QTX327728 RDT327728 RNP327728 RXL327728 SHH327728 SRD327728 TAZ327728 TKV327728 TUR327728 UEN327728 UOJ327728 UYF327728 VIB327728 VRX327728 WBT327728 WLP327728 WVL327728 D393264 IZ393264 SV393264 ACR393264 AMN393264 AWJ393264 BGF393264 BQB393264 BZX393264 CJT393264 CTP393264 DDL393264 DNH393264 DXD393264 EGZ393264 EQV393264 FAR393264 FKN393264 FUJ393264 GEF393264 GOB393264 GXX393264 HHT393264 HRP393264 IBL393264 ILH393264 IVD393264 JEZ393264 JOV393264 JYR393264 KIN393264 KSJ393264 LCF393264 LMB393264 LVX393264 MFT393264 MPP393264 MZL393264 NJH393264 NTD393264 OCZ393264 OMV393264 OWR393264 PGN393264 PQJ393264 QAF393264 QKB393264 QTX393264 RDT393264 RNP393264 RXL393264 SHH393264 SRD393264 TAZ393264 TKV393264 TUR393264 UEN393264 UOJ393264 UYF393264 VIB393264 VRX393264 WBT393264 WLP393264 WVL393264 D458800 IZ458800 SV458800 ACR458800 AMN458800 AWJ458800 BGF458800 BQB458800 BZX458800 CJT458800 CTP458800 DDL458800 DNH458800 DXD458800 EGZ458800 EQV458800 FAR458800 FKN458800 FUJ458800 GEF458800 GOB458800 GXX458800 HHT458800 HRP458800 IBL458800 ILH458800 IVD458800 JEZ458800 JOV458800 JYR458800 KIN458800 KSJ458800 LCF458800 LMB458800 LVX458800 MFT458800 MPP458800 MZL458800 NJH458800 NTD458800 OCZ458800 OMV458800 OWR458800 PGN458800 PQJ458800 QAF458800 QKB458800 QTX458800 RDT458800 RNP458800 RXL458800 SHH458800 SRD458800 TAZ458800 TKV458800 TUR458800 UEN458800 UOJ458800 UYF458800 VIB458800 VRX458800 WBT458800 WLP458800 WVL458800 D524336 IZ524336 SV524336 ACR524336 AMN524336 AWJ524336 BGF524336 BQB524336 BZX524336 CJT524336 CTP524336 DDL524336 DNH524336 DXD524336 EGZ524336 EQV524336 FAR524336 FKN524336 FUJ524336 GEF524336 GOB524336 GXX524336 HHT524336 HRP524336 IBL524336 ILH524336 IVD524336 JEZ524336 JOV524336 JYR524336 KIN524336 KSJ524336 LCF524336 LMB524336 LVX524336 MFT524336 MPP524336 MZL524336 NJH524336 NTD524336 OCZ524336 OMV524336 OWR524336 PGN524336 PQJ524336 QAF524336 QKB524336 QTX524336 RDT524336 RNP524336 RXL524336 SHH524336 SRD524336 TAZ524336 TKV524336 TUR524336 UEN524336 UOJ524336 UYF524336 VIB524336 VRX524336 WBT524336 WLP524336 WVL524336 D589872 IZ589872 SV589872 ACR589872 AMN589872 AWJ589872 BGF589872 BQB589872 BZX589872 CJT589872 CTP589872 DDL589872 DNH589872 DXD589872 EGZ589872 EQV589872 FAR589872 FKN589872 FUJ589872 GEF589872 GOB589872 GXX589872 HHT589872 HRP589872 IBL589872 ILH589872 IVD589872 JEZ589872 JOV589872 JYR589872 KIN589872 KSJ589872 LCF589872 LMB589872 LVX589872 MFT589872 MPP589872 MZL589872 NJH589872 NTD589872 OCZ589872 OMV589872 OWR589872 PGN589872 PQJ589872 QAF589872 QKB589872 QTX589872 RDT589872 RNP589872 RXL589872 SHH589872 SRD589872 TAZ589872 TKV589872 TUR589872 UEN589872 UOJ589872 UYF589872 VIB589872 VRX589872 WBT589872 WLP589872 WVL589872 D655408 IZ655408 SV655408 ACR655408 AMN655408 AWJ655408 BGF655408 BQB655408 BZX655408 CJT655408 CTP655408 DDL655408 DNH655408 DXD655408 EGZ655408 EQV655408 FAR655408 FKN655408 FUJ655408 GEF655408 GOB655408 GXX655408 HHT655408 HRP655408 IBL655408 ILH655408 IVD655408 JEZ655408 JOV655408 JYR655408 KIN655408 KSJ655408 LCF655408 LMB655408 LVX655408 MFT655408 MPP655408 MZL655408 NJH655408 NTD655408 OCZ655408 OMV655408 OWR655408 PGN655408 PQJ655408 QAF655408 QKB655408 QTX655408 RDT655408 RNP655408 RXL655408 SHH655408 SRD655408 TAZ655408 TKV655408 TUR655408 UEN655408 UOJ655408 UYF655408 VIB655408 VRX655408 WBT655408 WLP655408 WVL655408 D720944 IZ720944 SV720944 ACR720944 AMN720944 AWJ720944 BGF720944 BQB720944 BZX720944 CJT720944 CTP720944 DDL720944 DNH720944 DXD720944 EGZ720944 EQV720944 FAR720944 FKN720944 FUJ720944 GEF720944 GOB720944 GXX720944 HHT720944 HRP720944 IBL720944 ILH720944 IVD720944 JEZ720944 JOV720944 JYR720944 KIN720944 KSJ720944 LCF720944 LMB720944 LVX720944 MFT720944 MPP720944 MZL720944 NJH720944 NTD720944 OCZ720944 OMV720944 OWR720944 PGN720944 PQJ720944 QAF720944 QKB720944 QTX720944 RDT720944 RNP720944 RXL720944 SHH720944 SRD720944 TAZ720944 TKV720944 TUR720944 UEN720944 UOJ720944 UYF720944 VIB720944 VRX720944 WBT720944 WLP720944 WVL720944 D786480 IZ786480 SV786480 ACR786480 AMN786480 AWJ786480 BGF786480 BQB786480 BZX786480 CJT786480 CTP786480 DDL786480 DNH786480 DXD786480 EGZ786480 EQV786480 FAR786480 FKN786480 FUJ786480 GEF786480 GOB786480 GXX786480 HHT786480 HRP786480 IBL786480 ILH786480 IVD786480 JEZ786480 JOV786480 JYR786480 KIN786480 KSJ786480 LCF786480 LMB786480 LVX786480 MFT786480 MPP786480 MZL786480 NJH786480 NTD786480 OCZ786480 OMV786480 OWR786480 PGN786480 PQJ786480 QAF786480 QKB786480 QTX786480 RDT786480 RNP786480 RXL786480 SHH786480 SRD786480 TAZ786480 TKV786480 TUR786480 UEN786480 UOJ786480 UYF786480 VIB786480 VRX786480 WBT786480 WLP786480 WVL786480 D852016 IZ852016 SV852016 ACR852016 AMN852016 AWJ852016 BGF852016 BQB852016 BZX852016 CJT852016 CTP852016 DDL852016 DNH852016 DXD852016 EGZ852016 EQV852016 FAR852016 FKN852016 FUJ852016 GEF852016 GOB852016 GXX852016 HHT852016 HRP852016 IBL852016 ILH852016 IVD852016 JEZ852016 JOV852016 JYR852016 KIN852016 KSJ852016 LCF852016 LMB852016 LVX852016 MFT852016 MPP852016 MZL852016 NJH852016 NTD852016 OCZ852016 OMV852016 OWR852016 PGN852016 PQJ852016 QAF852016 QKB852016 QTX852016 RDT852016 RNP852016 RXL852016 SHH852016 SRD852016 TAZ852016 TKV852016 TUR852016 UEN852016 UOJ852016 UYF852016 VIB852016 VRX852016 WBT852016 WLP852016 WVL852016 D917552 IZ917552 SV917552 ACR917552 AMN917552 AWJ917552 BGF917552 BQB917552 BZX917552 CJT917552 CTP917552 DDL917552 DNH917552 DXD917552 EGZ917552 EQV917552 FAR917552 FKN917552 FUJ917552 GEF917552 GOB917552 GXX917552 HHT917552 HRP917552 IBL917552 ILH917552 IVD917552 JEZ917552 JOV917552 JYR917552 KIN917552 KSJ917552 LCF917552 LMB917552 LVX917552 MFT917552 MPP917552 MZL917552 NJH917552 NTD917552 OCZ917552 OMV917552 OWR917552 PGN917552 PQJ917552 QAF917552 QKB917552 QTX917552 RDT917552 RNP917552 RXL917552 SHH917552 SRD917552 TAZ917552 TKV917552 TUR917552 UEN917552 UOJ917552 UYF917552 VIB917552 VRX917552 WBT917552 WLP917552 WVL917552 D983088 IZ983088 SV983088 ACR983088 AMN983088 AWJ983088 BGF983088 BQB983088 BZX983088 CJT983088 CTP983088 DDL983088 DNH983088 DXD983088 EGZ983088 EQV983088 FAR983088 FKN983088 FUJ983088 GEF983088 GOB983088 GXX983088 HHT983088 HRP983088 IBL983088 ILH983088 IVD983088 JEZ983088 JOV983088 JYR983088 KIN983088 KSJ983088 LCF983088 LMB983088 LVX983088 MFT983088 MPP983088 MZL983088 NJH983088 NTD983088 OCZ983088 OMV983088 OWR983088 PGN983088 PQJ983088 QAF983088 QKB983088 QTX983088 RDT983088 RNP983088 RXL983088 SHH983088 SRD983088 TAZ983088 TKV983088 TUR983088 UEN983088 UOJ983088 UYF983088 VIB983088 VRX983088 WBT983088 WLP983088 WVL983088" xr:uid="{B532FCEB-4F6C-4893-B04C-6BBC22635C74}">
      <formula1>"Core1,Core2,Core3"</formula1>
    </dataValidation>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40:E65541 IZ65540:JA65541 SV65540:SW65541 ACR65540:ACS65541 AMN65540:AMO65541 AWJ65540:AWK65541 BGF65540:BGG65541 BQB65540:BQC65541 BZX65540:BZY65541 CJT65540:CJU65541 CTP65540:CTQ65541 DDL65540:DDM65541 DNH65540:DNI65541 DXD65540:DXE65541 EGZ65540:EHA65541 EQV65540:EQW65541 FAR65540:FAS65541 FKN65540:FKO65541 FUJ65540:FUK65541 GEF65540:GEG65541 GOB65540:GOC65541 GXX65540:GXY65541 HHT65540:HHU65541 HRP65540:HRQ65541 IBL65540:IBM65541 ILH65540:ILI65541 IVD65540:IVE65541 JEZ65540:JFA65541 JOV65540:JOW65541 JYR65540:JYS65541 KIN65540:KIO65541 KSJ65540:KSK65541 LCF65540:LCG65541 LMB65540:LMC65541 LVX65540:LVY65541 MFT65540:MFU65541 MPP65540:MPQ65541 MZL65540:MZM65541 NJH65540:NJI65541 NTD65540:NTE65541 OCZ65540:ODA65541 OMV65540:OMW65541 OWR65540:OWS65541 PGN65540:PGO65541 PQJ65540:PQK65541 QAF65540:QAG65541 QKB65540:QKC65541 QTX65540:QTY65541 RDT65540:RDU65541 RNP65540:RNQ65541 RXL65540:RXM65541 SHH65540:SHI65541 SRD65540:SRE65541 TAZ65540:TBA65541 TKV65540:TKW65541 TUR65540:TUS65541 UEN65540:UEO65541 UOJ65540:UOK65541 UYF65540:UYG65541 VIB65540:VIC65541 VRX65540:VRY65541 WBT65540:WBU65541 WLP65540:WLQ65541 WVL65540:WVM65541 D131076:E131077 IZ131076:JA131077 SV131076:SW131077 ACR131076:ACS131077 AMN131076:AMO131077 AWJ131076:AWK131077 BGF131076:BGG131077 BQB131076:BQC131077 BZX131076:BZY131077 CJT131076:CJU131077 CTP131076:CTQ131077 DDL131076:DDM131077 DNH131076:DNI131077 DXD131076:DXE131077 EGZ131076:EHA131077 EQV131076:EQW131077 FAR131076:FAS131077 FKN131076:FKO131077 FUJ131076:FUK131077 GEF131076:GEG131077 GOB131076:GOC131077 GXX131076:GXY131077 HHT131076:HHU131077 HRP131076:HRQ131077 IBL131076:IBM131077 ILH131076:ILI131077 IVD131076:IVE131077 JEZ131076:JFA131077 JOV131076:JOW131077 JYR131076:JYS131077 KIN131076:KIO131077 KSJ131076:KSK131077 LCF131076:LCG131077 LMB131076:LMC131077 LVX131076:LVY131077 MFT131076:MFU131077 MPP131076:MPQ131077 MZL131076:MZM131077 NJH131076:NJI131077 NTD131076:NTE131077 OCZ131076:ODA131077 OMV131076:OMW131077 OWR131076:OWS131077 PGN131076:PGO131077 PQJ131076:PQK131077 QAF131076:QAG131077 QKB131076:QKC131077 QTX131076:QTY131077 RDT131076:RDU131077 RNP131076:RNQ131077 RXL131076:RXM131077 SHH131076:SHI131077 SRD131076:SRE131077 TAZ131076:TBA131077 TKV131076:TKW131077 TUR131076:TUS131077 UEN131076:UEO131077 UOJ131076:UOK131077 UYF131076:UYG131077 VIB131076:VIC131077 VRX131076:VRY131077 WBT131076:WBU131077 WLP131076:WLQ131077 WVL131076:WVM131077 D196612:E196613 IZ196612:JA196613 SV196612:SW196613 ACR196612:ACS196613 AMN196612:AMO196613 AWJ196612:AWK196613 BGF196612:BGG196613 BQB196612:BQC196613 BZX196612:BZY196613 CJT196612:CJU196613 CTP196612:CTQ196613 DDL196612:DDM196613 DNH196612:DNI196613 DXD196612:DXE196613 EGZ196612:EHA196613 EQV196612:EQW196613 FAR196612:FAS196613 FKN196612:FKO196613 FUJ196612:FUK196613 GEF196612:GEG196613 GOB196612:GOC196613 GXX196612:GXY196613 HHT196612:HHU196613 HRP196612:HRQ196613 IBL196612:IBM196613 ILH196612:ILI196613 IVD196612:IVE196613 JEZ196612:JFA196613 JOV196612:JOW196613 JYR196612:JYS196613 KIN196612:KIO196613 KSJ196612:KSK196613 LCF196612:LCG196613 LMB196612:LMC196613 LVX196612:LVY196613 MFT196612:MFU196613 MPP196612:MPQ196613 MZL196612:MZM196613 NJH196612:NJI196613 NTD196612:NTE196613 OCZ196612:ODA196613 OMV196612:OMW196613 OWR196612:OWS196613 PGN196612:PGO196613 PQJ196612:PQK196613 QAF196612:QAG196613 QKB196612:QKC196613 QTX196612:QTY196613 RDT196612:RDU196613 RNP196612:RNQ196613 RXL196612:RXM196613 SHH196612:SHI196613 SRD196612:SRE196613 TAZ196612:TBA196613 TKV196612:TKW196613 TUR196612:TUS196613 UEN196612:UEO196613 UOJ196612:UOK196613 UYF196612:UYG196613 VIB196612:VIC196613 VRX196612:VRY196613 WBT196612:WBU196613 WLP196612:WLQ196613 WVL196612:WVM196613 D262148:E262149 IZ262148:JA262149 SV262148:SW262149 ACR262148:ACS262149 AMN262148:AMO262149 AWJ262148:AWK262149 BGF262148:BGG262149 BQB262148:BQC262149 BZX262148:BZY262149 CJT262148:CJU262149 CTP262148:CTQ262149 DDL262148:DDM262149 DNH262148:DNI262149 DXD262148:DXE262149 EGZ262148:EHA262149 EQV262148:EQW262149 FAR262148:FAS262149 FKN262148:FKO262149 FUJ262148:FUK262149 GEF262148:GEG262149 GOB262148:GOC262149 GXX262148:GXY262149 HHT262148:HHU262149 HRP262148:HRQ262149 IBL262148:IBM262149 ILH262148:ILI262149 IVD262148:IVE262149 JEZ262148:JFA262149 JOV262148:JOW262149 JYR262148:JYS262149 KIN262148:KIO262149 KSJ262148:KSK262149 LCF262148:LCG262149 LMB262148:LMC262149 LVX262148:LVY262149 MFT262148:MFU262149 MPP262148:MPQ262149 MZL262148:MZM262149 NJH262148:NJI262149 NTD262148:NTE262149 OCZ262148:ODA262149 OMV262148:OMW262149 OWR262148:OWS262149 PGN262148:PGO262149 PQJ262148:PQK262149 QAF262148:QAG262149 QKB262148:QKC262149 QTX262148:QTY262149 RDT262148:RDU262149 RNP262148:RNQ262149 RXL262148:RXM262149 SHH262148:SHI262149 SRD262148:SRE262149 TAZ262148:TBA262149 TKV262148:TKW262149 TUR262148:TUS262149 UEN262148:UEO262149 UOJ262148:UOK262149 UYF262148:UYG262149 VIB262148:VIC262149 VRX262148:VRY262149 WBT262148:WBU262149 WLP262148:WLQ262149 WVL262148:WVM262149 D327684:E327685 IZ327684:JA327685 SV327684:SW327685 ACR327684:ACS327685 AMN327684:AMO327685 AWJ327684:AWK327685 BGF327684:BGG327685 BQB327684:BQC327685 BZX327684:BZY327685 CJT327684:CJU327685 CTP327684:CTQ327685 DDL327684:DDM327685 DNH327684:DNI327685 DXD327684:DXE327685 EGZ327684:EHA327685 EQV327684:EQW327685 FAR327684:FAS327685 FKN327684:FKO327685 FUJ327684:FUK327685 GEF327684:GEG327685 GOB327684:GOC327685 GXX327684:GXY327685 HHT327684:HHU327685 HRP327684:HRQ327685 IBL327684:IBM327685 ILH327684:ILI327685 IVD327684:IVE327685 JEZ327684:JFA327685 JOV327684:JOW327685 JYR327684:JYS327685 KIN327684:KIO327685 KSJ327684:KSK327685 LCF327684:LCG327685 LMB327684:LMC327685 LVX327684:LVY327685 MFT327684:MFU327685 MPP327684:MPQ327685 MZL327684:MZM327685 NJH327684:NJI327685 NTD327684:NTE327685 OCZ327684:ODA327685 OMV327684:OMW327685 OWR327684:OWS327685 PGN327684:PGO327685 PQJ327684:PQK327685 QAF327684:QAG327685 QKB327684:QKC327685 QTX327684:QTY327685 RDT327684:RDU327685 RNP327684:RNQ327685 RXL327684:RXM327685 SHH327684:SHI327685 SRD327684:SRE327685 TAZ327684:TBA327685 TKV327684:TKW327685 TUR327684:TUS327685 UEN327684:UEO327685 UOJ327684:UOK327685 UYF327684:UYG327685 VIB327684:VIC327685 VRX327684:VRY327685 WBT327684:WBU327685 WLP327684:WLQ327685 WVL327684:WVM327685 D393220:E393221 IZ393220:JA393221 SV393220:SW393221 ACR393220:ACS393221 AMN393220:AMO393221 AWJ393220:AWK393221 BGF393220:BGG393221 BQB393220:BQC393221 BZX393220:BZY393221 CJT393220:CJU393221 CTP393220:CTQ393221 DDL393220:DDM393221 DNH393220:DNI393221 DXD393220:DXE393221 EGZ393220:EHA393221 EQV393220:EQW393221 FAR393220:FAS393221 FKN393220:FKO393221 FUJ393220:FUK393221 GEF393220:GEG393221 GOB393220:GOC393221 GXX393220:GXY393221 HHT393220:HHU393221 HRP393220:HRQ393221 IBL393220:IBM393221 ILH393220:ILI393221 IVD393220:IVE393221 JEZ393220:JFA393221 JOV393220:JOW393221 JYR393220:JYS393221 KIN393220:KIO393221 KSJ393220:KSK393221 LCF393220:LCG393221 LMB393220:LMC393221 LVX393220:LVY393221 MFT393220:MFU393221 MPP393220:MPQ393221 MZL393220:MZM393221 NJH393220:NJI393221 NTD393220:NTE393221 OCZ393220:ODA393221 OMV393220:OMW393221 OWR393220:OWS393221 PGN393220:PGO393221 PQJ393220:PQK393221 QAF393220:QAG393221 QKB393220:QKC393221 QTX393220:QTY393221 RDT393220:RDU393221 RNP393220:RNQ393221 RXL393220:RXM393221 SHH393220:SHI393221 SRD393220:SRE393221 TAZ393220:TBA393221 TKV393220:TKW393221 TUR393220:TUS393221 UEN393220:UEO393221 UOJ393220:UOK393221 UYF393220:UYG393221 VIB393220:VIC393221 VRX393220:VRY393221 WBT393220:WBU393221 WLP393220:WLQ393221 WVL393220:WVM393221 D458756:E458757 IZ458756:JA458757 SV458756:SW458757 ACR458756:ACS458757 AMN458756:AMO458757 AWJ458756:AWK458757 BGF458756:BGG458757 BQB458756:BQC458757 BZX458756:BZY458757 CJT458756:CJU458757 CTP458756:CTQ458757 DDL458756:DDM458757 DNH458756:DNI458757 DXD458756:DXE458757 EGZ458756:EHA458757 EQV458756:EQW458757 FAR458756:FAS458757 FKN458756:FKO458757 FUJ458756:FUK458757 GEF458756:GEG458757 GOB458756:GOC458757 GXX458756:GXY458757 HHT458756:HHU458757 HRP458756:HRQ458757 IBL458756:IBM458757 ILH458756:ILI458757 IVD458756:IVE458757 JEZ458756:JFA458757 JOV458756:JOW458757 JYR458756:JYS458757 KIN458756:KIO458757 KSJ458756:KSK458757 LCF458756:LCG458757 LMB458756:LMC458757 LVX458756:LVY458757 MFT458756:MFU458757 MPP458756:MPQ458757 MZL458756:MZM458757 NJH458756:NJI458757 NTD458756:NTE458757 OCZ458756:ODA458757 OMV458756:OMW458757 OWR458756:OWS458757 PGN458756:PGO458757 PQJ458756:PQK458757 QAF458756:QAG458757 QKB458756:QKC458757 QTX458756:QTY458757 RDT458756:RDU458757 RNP458756:RNQ458757 RXL458756:RXM458757 SHH458756:SHI458757 SRD458756:SRE458757 TAZ458756:TBA458757 TKV458756:TKW458757 TUR458756:TUS458757 UEN458756:UEO458757 UOJ458756:UOK458757 UYF458756:UYG458757 VIB458756:VIC458757 VRX458756:VRY458757 WBT458756:WBU458757 WLP458756:WLQ458757 WVL458756:WVM458757 D524292:E524293 IZ524292:JA524293 SV524292:SW524293 ACR524292:ACS524293 AMN524292:AMO524293 AWJ524292:AWK524293 BGF524292:BGG524293 BQB524292:BQC524293 BZX524292:BZY524293 CJT524292:CJU524293 CTP524292:CTQ524293 DDL524292:DDM524293 DNH524292:DNI524293 DXD524292:DXE524293 EGZ524292:EHA524293 EQV524292:EQW524293 FAR524292:FAS524293 FKN524292:FKO524293 FUJ524292:FUK524293 GEF524292:GEG524293 GOB524292:GOC524293 GXX524292:GXY524293 HHT524292:HHU524293 HRP524292:HRQ524293 IBL524292:IBM524293 ILH524292:ILI524293 IVD524292:IVE524293 JEZ524292:JFA524293 JOV524292:JOW524293 JYR524292:JYS524293 KIN524292:KIO524293 KSJ524292:KSK524293 LCF524292:LCG524293 LMB524292:LMC524293 LVX524292:LVY524293 MFT524292:MFU524293 MPP524292:MPQ524293 MZL524292:MZM524293 NJH524292:NJI524293 NTD524292:NTE524293 OCZ524292:ODA524293 OMV524292:OMW524293 OWR524292:OWS524293 PGN524292:PGO524293 PQJ524292:PQK524293 QAF524292:QAG524293 QKB524292:QKC524293 QTX524292:QTY524293 RDT524292:RDU524293 RNP524292:RNQ524293 RXL524292:RXM524293 SHH524292:SHI524293 SRD524292:SRE524293 TAZ524292:TBA524293 TKV524292:TKW524293 TUR524292:TUS524293 UEN524292:UEO524293 UOJ524292:UOK524293 UYF524292:UYG524293 VIB524292:VIC524293 VRX524292:VRY524293 WBT524292:WBU524293 WLP524292:WLQ524293 WVL524292:WVM524293 D589828:E589829 IZ589828:JA589829 SV589828:SW589829 ACR589828:ACS589829 AMN589828:AMO589829 AWJ589828:AWK589829 BGF589828:BGG589829 BQB589828:BQC589829 BZX589828:BZY589829 CJT589828:CJU589829 CTP589828:CTQ589829 DDL589828:DDM589829 DNH589828:DNI589829 DXD589828:DXE589829 EGZ589828:EHA589829 EQV589828:EQW589829 FAR589828:FAS589829 FKN589828:FKO589829 FUJ589828:FUK589829 GEF589828:GEG589829 GOB589828:GOC589829 GXX589828:GXY589829 HHT589828:HHU589829 HRP589828:HRQ589829 IBL589828:IBM589829 ILH589828:ILI589829 IVD589828:IVE589829 JEZ589828:JFA589829 JOV589828:JOW589829 JYR589828:JYS589829 KIN589828:KIO589829 KSJ589828:KSK589829 LCF589828:LCG589829 LMB589828:LMC589829 LVX589828:LVY589829 MFT589828:MFU589829 MPP589828:MPQ589829 MZL589828:MZM589829 NJH589828:NJI589829 NTD589828:NTE589829 OCZ589828:ODA589829 OMV589828:OMW589829 OWR589828:OWS589829 PGN589828:PGO589829 PQJ589828:PQK589829 QAF589828:QAG589829 QKB589828:QKC589829 QTX589828:QTY589829 RDT589828:RDU589829 RNP589828:RNQ589829 RXL589828:RXM589829 SHH589828:SHI589829 SRD589828:SRE589829 TAZ589828:TBA589829 TKV589828:TKW589829 TUR589828:TUS589829 UEN589828:UEO589829 UOJ589828:UOK589829 UYF589828:UYG589829 VIB589828:VIC589829 VRX589828:VRY589829 WBT589828:WBU589829 WLP589828:WLQ589829 WVL589828:WVM589829 D655364:E655365 IZ655364:JA655365 SV655364:SW655365 ACR655364:ACS655365 AMN655364:AMO655365 AWJ655364:AWK655365 BGF655364:BGG655365 BQB655364:BQC655365 BZX655364:BZY655365 CJT655364:CJU655365 CTP655364:CTQ655365 DDL655364:DDM655365 DNH655364:DNI655365 DXD655364:DXE655365 EGZ655364:EHA655365 EQV655364:EQW655365 FAR655364:FAS655365 FKN655364:FKO655365 FUJ655364:FUK655365 GEF655364:GEG655365 GOB655364:GOC655365 GXX655364:GXY655365 HHT655364:HHU655365 HRP655364:HRQ655365 IBL655364:IBM655365 ILH655364:ILI655365 IVD655364:IVE655365 JEZ655364:JFA655365 JOV655364:JOW655365 JYR655364:JYS655365 KIN655364:KIO655365 KSJ655364:KSK655365 LCF655364:LCG655365 LMB655364:LMC655365 LVX655364:LVY655365 MFT655364:MFU655365 MPP655364:MPQ655365 MZL655364:MZM655365 NJH655364:NJI655365 NTD655364:NTE655365 OCZ655364:ODA655365 OMV655364:OMW655365 OWR655364:OWS655365 PGN655364:PGO655365 PQJ655364:PQK655365 QAF655364:QAG655365 QKB655364:QKC655365 QTX655364:QTY655365 RDT655364:RDU655365 RNP655364:RNQ655365 RXL655364:RXM655365 SHH655364:SHI655365 SRD655364:SRE655365 TAZ655364:TBA655365 TKV655364:TKW655365 TUR655364:TUS655365 UEN655364:UEO655365 UOJ655364:UOK655365 UYF655364:UYG655365 VIB655364:VIC655365 VRX655364:VRY655365 WBT655364:WBU655365 WLP655364:WLQ655365 WVL655364:WVM655365 D720900:E720901 IZ720900:JA720901 SV720900:SW720901 ACR720900:ACS720901 AMN720900:AMO720901 AWJ720900:AWK720901 BGF720900:BGG720901 BQB720900:BQC720901 BZX720900:BZY720901 CJT720900:CJU720901 CTP720900:CTQ720901 DDL720900:DDM720901 DNH720900:DNI720901 DXD720900:DXE720901 EGZ720900:EHA720901 EQV720900:EQW720901 FAR720900:FAS720901 FKN720900:FKO720901 FUJ720900:FUK720901 GEF720900:GEG720901 GOB720900:GOC720901 GXX720900:GXY720901 HHT720900:HHU720901 HRP720900:HRQ720901 IBL720900:IBM720901 ILH720900:ILI720901 IVD720900:IVE720901 JEZ720900:JFA720901 JOV720900:JOW720901 JYR720900:JYS720901 KIN720900:KIO720901 KSJ720900:KSK720901 LCF720900:LCG720901 LMB720900:LMC720901 LVX720900:LVY720901 MFT720900:MFU720901 MPP720900:MPQ720901 MZL720900:MZM720901 NJH720900:NJI720901 NTD720900:NTE720901 OCZ720900:ODA720901 OMV720900:OMW720901 OWR720900:OWS720901 PGN720900:PGO720901 PQJ720900:PQK720901 QAF720900:QAG720901 QKB720900:QKC720901 QTX720900:QTY720901 RDT720900:RDU720901 RNP720900:RNQ720901 RXL720900:RXM720901 SHH720900:SHI720901 SRD720900:SRE720901 TAZ720900:TBA720901 TKV720900:TKW720901 TUR720900:TUS720901 UEN720900:UEO720901 UOJ720900:UOK720901 UYF720900:UYG720901 VIB720900:VIC720901 VRX720900:VRY720901 WBT720900:WBU720901 WLP720900:WLQ720901 WVL720900:WVM720901 D786436:E786437 IZ786436:JA786437 SV786436:SW786437 ACR786436:ACS786437 AMN786436:AMO786437 AWJ786436:AWK786437 BGF786436:BGG786437 BQB786436:BQC786437 BZX786436:BZY786437 CJT786436:CJU786437 CTP786436:CTQ786437 DDL786436:DDM786437 DNH786436:DNI786437 DXD786436:DXE786437 EGZ786436:EHA786437 EQV786436:EQW786437 FAR786436:FAS786437 FKN786436:FKO786437 FUJ786436:FUK786437 GEF786436:GEG786437 GOB786436:GOC786437 GXX786436:GXY786437 HHT786436:HHU786437 HRP786436:HRQ786437 IBL786436:IBM786437 ILH786436:ILI786437 IVD786436:IVE786437 JEZ786436:JFA786437 JOV786436:JOW786437 JYR786436:JYS786437 KIN786436:KIO786437 KSJ786436:KSK786437 LCF786436:LCG786437 LMB786436:LMC786437 LVX786436:LVY786437 MFT786436:MFU786437 MPP786436:MPQ786437 MZL786436:MZM786437 NJH786436:NJI786437 NTD786436:NTE786437 OCZ786436:ODA786437 OMV786436:OMW786437 OWR786436:OWS786437 PGN786436:PGO786437 PQJ786436:PQK786437 QAF786436:QAG786437 QKB786436:QKC786437 QTX786436:QTY786437 RDT786436:RDU786437 RNP786436:RNQ786437 RXL786436:RXM786437 SHH786436:SHI786437 SRD786436:SRE786437 TAZ786436:TBA786437 TKV786436:TKW786437 TUR786436:TUS786437 UEN786436:UEO786437 UOJ786436:UOK786437 UYF786436:UYG786437 VIB786436:VIC786437 VRX786436:VRY786437 WBT786436:WBU786437 WLP786436:WLQ786437 WVL786436:WVM786437 D851972:E851973 IZ851972:JA851973 SV851972:SW851973 ACR851972:ACS851973 AMN851972:AMO851973 AWJ851972:AWK851973 BGF851972:BGG851973 BQB851972:BQC851973 BZX851972:BZY851973 CJT851972:CJU851973 CTP851972:CTQ851973 DDL851972:DDM851973 DNH851972:DNI851973 DXD851972:DXE851973 EGZ851972:EHA851973 EQV851972:EQW851973 FAR851972:FAS851973 FKN851972:FKO851973 FUJ851972:FUK851973 GEF851972:GEG851973 GOB851972:GOC851973 GXX851972:GXY851973 HHT851972:HHU851973 HRP851972:HRQ851973 IBL851972:IBM851973 ILH851972:ILI851973 IVD851972:IVE851973 JEZ851972:JFA851973 JOV851972:JOW851973 JYR851972:JYS851973 KIN851972:KIO851973 KSJ851972:KSK851973 LCF851972:LCG851973 LMB851972:LMC851973 LVX851972:LVY851973 MFT851972:MFU851973 MPP851972:MPQ851973 MZL851972:MZM851973 NJH851972:NJI851973 NTD851972:NTE851973 OCZ851972:ODA851973 OMV851972:OMW851973 OWR851972:OWS851973 PGN851972:PGO851973 PQJ851972:PQK851973 QAF851972:QAG851973 QKB851972:QKC851973 QTX851972:QTY851973 RDT851972:RDU851973 RNP851972:RNQ851973 RXL851972:RXM851973 SHH851972:SHI851973 SRD851972:SRE851973 TAZ851972:TBA851973 TKV851972:TKW851973 TUR851972:TUS851973 UEN851972:UEO851973 UOJ851972:UOK851973 UYF851972:UYG851973 VIB851972:VIC851973 VRX851972:VRY851973 WBT851972:WBU851973 WLP851972:WLQ851973 WVL851972:WVM851973 D917508:E917509 IZ917508:JA917509 SV917508:SW917509 ACR917508:ACS917509 AMN917508:AMO917509 AWJ917508:AWK917509 BGF917508:BGG917509 BQB917508:BQC917509 BZX917508:BZY917509 CJT917508:CJU917509 CTP917508:CTQ917509 DDL917508:DDM917509 DNH917508:DNI917509 DXD917508:DXE917509 EGZ917508:EHA917509 EQV917508:EQW917509 FAR917508:FAS917509 FKN917508:FKO917509 FUJ917508:FUK917509 GEF917508:GEG917509 GOB917508:GOC917509 GXX917508:GXY917509 HHT917508:HHU917509 HRP917508:HRQ917509 IBL917508:IBM917509 ILH917508:ILI917509 IVD917508:IVE917509 JEZ917508:JFA917509 JOV917508:JOW917509 JYR917508:JYS917509 KIN917508:KIO917509 KSJ917508:KSK917509 LCF917508:LCG917509 LMB917508:LMC917509 LVX917508:LVY917509 MFT917508:MFU917509 MPP917508:MPQ917509 MZL917508:MZM917509 NJH917508:NJI917509 NTD917508:NTE917509 OCZ917508:ODA917509 OMV917508:OMW917509 OWR917508:OWS917509 PGN917508:PGO917509 PQJ917508:PQK917509 QAF917508:QAG917509 QKB917508:QKC917509 QTX917508:QTY917509 RDT917508:RDU917509 RNP917508:RNQ917509 RXL917508:RXM917509 SHH917508:SHI917509 SRD917508:SRE917509 TAZ917508:TBA917509 TKV917508:TKW917509 TUR917508:TUS917509 UEN917508:UEO917509 UOJ917508:UOK917509 UYF917508:UYG917509 VIB917508:VIC917509 VRX917508:VRY917509 WBT917508:WBU917509 WLP917508:WLQ917509 WVL917508:WVM917509 D983044:E983045 IZ983044:JA983045 SV983044:SW983045 ACR983044:ACS983045 AMN983044:AMO983045 AWJ983044:AWK983045 BGF983044:BGG983045 BQB983044:BQC983045 BZX983044:BZY983045 CJT983044:CJU983045 CTP983044:CTQ983045 DDL983044:DDM983045 DNH983044:DNI983045 DXD983044:DXE983045 EGZ983044:EHA983045 EQV983044:EQW983045 FAR983044:FAS983045 FKN983044:FKO983045 FUJ983044:FUK983045 GEF983044:GEG983045 GOB983044:GOC983045 GXX983044:GXY983045 HHT983044:HHU983045 HRP983044:HRQ983045 IBL983044:IBM983045 ILH983044:ILI983045 IVD983044:IVE983045 JEZ983044:JFA983045 JOV983044:JOW983045 JYR983044:JYS983045 KIN983044:KIO983045 KSJ983044:KSK983045 LCF983044:LCG983045 LMB983044:LMC983045 LVX983044:LVY983045 MFT983044:MFU983045 MPP983044:MPQ983045 MZL983044:MZM983045 NJH983044:NJI983045 NTD983044:NTE983045 OCZ983044:ODA983045 OMV983044:OMW983045 OWR983044:OWS983045 PGN983044:PGO983045 PQJ983044:PQK983045 QAF983044:QAG983045 QKB983044:QKC983045 QTX983044:QTY983045 RDT983044:RDU983045 RNP983044:RNQ983045 RXL983044:RXM983045 SHH983044:SHI983045 SRD983044:SRE983045 TAZ983044:TBA983045 TKV983044:TKW983045 TUR983044:TUS983045 UEN983044:UEO983045 UOJ983044:UOK983045 UYF983044:UYG983045 VIB983044:VIC983045 VRX983044:VRY983045 WBT983044:WBU983045 WLP983044:WLQ983045 WVL983044:WVM983045" xr:uid="{9EA25773-E2A0-40E5-9F07-55BACFCE94D3}">
      <formula1>"Core1,Core2,Core3,Core4,Core5"</formula1>
    </dataValidation>
  </dataValidations>
  <printOptions horizontalCentered="1" verticalCentered="1"/>
  <pageMargins left="0.5" right="0.5" top="0.5" bottom="0.5" header="0" footer="0"/>
  <pageSetup paperSize="9" scale="99" orientation="portrait" r:id="rId1"/>
  <headerFooter alignWithMargins="0"/>
  <rowBreaks count="2" manualBreakCount="2">
    <brk id="48" min="5" max="21" man="1"/>
    <brk id="91" min="5" max="21" man="1"/>
  </rowBreak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1F7E0-89B2-417D-B36C-ADBE0C8CE47A}">
  <sheetPr codeName="Sheet181">
    <tabColor rgb="FF99CCFF"/>
  </sheetPr>
  <dimension ref="A1:Y44"/>
  <sheetViews>
    <sheetView view="pageBreakPreview"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828</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073"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F1DC6-BA81-494D-8B24-2C92C0DFD608}">
  <sheetPr codeName="Sheet48">
    <tabColor rgb="FFFFFF00"/>
  </sheetPr>
  <dimension ref="A1:Y300"/>
  <sheetViews>
    <sheetView showZeros="0" view="pageBreakPreview" topLeftCell="A61" zoomScaleNormal="100" zoomScaleSheetLayoutView="100" workbookViewId="0">
      <selection activeCell="K13" sqref="K13"/>
    </sheetView>
  </sheetViews>
  <sheetFormatPr defaultColWidth="4.33203125" defaultRowHeight="18" customHeight="1"/>
  <cols>
    <col min="1" max="16384" width="4.33203125" style="30"/>
  </cols>
  <sheetData>
    <row r="1" spans="1:24" ht="18" customHeight="1">
      <c r="A1" s="717" t="s">
        <v>0</v>
      </c>
      <c r="B1" s="718"/>
      <c r="C1" s="718"/>
      <c r="D1" s="718"/>
      <c r="E1" s="718"/>
      <c r="F1" s="718"/>
      <c r="G1" s="719"/>
      <c r="H1" s="726" t="str">
        <f>[3]Title!H1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[3]Title!H2</f>
        <v>ADEQUACY CHECK</v>
      </c>
      <c r="I2" s="730"/>
      <c r="J2" s="730"/>
      <c r="K2" s="730"/>
      <c r="L2" s="730"/>
      <c r="M2" s="730"/>
      <c r="N2" s="731"/>
      <c r="O2" s="702" t="str">
        <f>Title!O2</f>
        <v>Date</v>
      </c>
      <c r="P2" s="703"/>
      <c r="Q2" s="704"/>
      <c r="R2" s="732">
        <f>Title!R2</f>
        <v>46106</v>
      </c>
      <c r="S2" s="706"/>
      <c r="T2" s="706"/>
      <c r="U2" s="706"/>
      <c r="V2" s="707"/>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1055" t="str">
        <f>Title!R3</f>
        <v>-</v>
      </c>
      <c r="S3" s="1056"/>
      <c r="T3" s="1056"/>
      <c r="U3" s="1056"/>
      <c r="V3" s="1057"/>
      <c r="W3" s="14"/>
      <c r="X3" s="14"/>
    </row>
    <row r="4" spans="1:24"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14"/>
      <c r="X4" s="14"/>
    </row>
    <row r="5" spans="1:24" ht="18" customHeight="1">
      <c r="A5" s="708" t="str">
        <f>[3]Title!A5</f>
        <v>Prep. By</v>
      </c>
      <c r="B5" s="709"/>
      <c r="C5" s="25" t="str">
        <f>[3]Title!C5</f>
        <v>AK</v>
      </c>
      <c r="D5" s="708" t="str">
        <f>[3]Title!D5</f>
        <v>Checked By</v>
      </c>
      <c r="E5" s="710"/>
      <c r="F5" s="709"/>
      <c r="G5" s="25" t="str">
        <f>[3]Title!G5</f>
        <v>LN</v>
      </c>
      <c r="H5" s="973" t="s">
        <v>926</v>
      </c>
      <c r="I5" s="974"/>
      <c r="J5" s="974"/>
      <c r="K5" s="974"/>
      <c r="L5" s="974"/>
      <c r="M5" s="974"/>
      <c r="N5" s="975"/>
      <c r="O5" s="714" t="str">
        <f>Title!O5</f>
        <v>Contractor</v>
      </c>
      <c r="P5" s="715"/>
      <c r="Q5" s="716"/>
      <c r="R5" s="705" t="str">
        <f>Title!R5</f>
        <v>HITACHI</v>
      </c>
      <c r="S5" s="706"/>
      <c r="T5" s="706"/>
      <c r="U5" s="706"/>
      <c r="V5" s="707"/>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940" t="s">
        <v>120</v>
      </c>
      <c r="C7" s="941"/>
      <c r="D7" s="940" t="s">
        <v>396</v>
      </c>
      <c r="E7" s="941"/>
      <c r="F7" s="267"/>
      <c r="H7" s="638"/>
      <c r="I7" s="639"/>
      <c r="J7" s="639"/>
      <c r="K7" s="639"/>
      <c r="L7" s="639"/>
      <c r="M7" s="639"/>
      <c r="P7" s="198"/>
      <c r="S7" s="199" t="s">
        <v>398</v>
      </c>
      <c r="T7" s="940" t="s">
        <v>928</v>
      </c>
      <c r="U7" s="941"/>
      <c r="V7" s="197"/>
    </row>
    <row r="8" spans="1:24" ht="18" customHeight="1">
      <c r="A8" s="196"/>
      <c r="B8"/>
      <c r="C8"/>
      <c r="D8"/>
      <c r="E8"/>
      <c r="F8" s="267"/>
      <c r="T8"/>
      <c r="U8"/>
      <c r="V8" s="197"/>
    </row>
    <row r="9" spans="1:24" ht="18" customHeight="1">
      <c r="A9" s="196"/>
      <c r="H9" s="662" t="s">
        <v>401</v>
      </c>
      <c r="I9" s="662"/>
      <c r="J9" s="701" t="s">
        <v>402</v>
      </c>
      <c r="K9" s="701"/>
      <c r="L9" s="701" t="s">
        <v>403</v>
      </c>
      <c r="M9" s="701"/>
      <c r="T9"/>
      <c r="U9"/>
      <c r="V9" s="197"/>
    </row>
    <row r="10" spans="1:24" ht="18" customHeight="1">
      <c r="A10" s="196"/>
      <c r="B10" s="47" t="s">
        <v>404</v>
      </c>
      <c r="H10" s="942">
        <v>1250</v>
      </c>
      <c r="I10" s="943"/>
      <c r="J10" s="940" t="s">
        <v>7</v>
      </c>
      <c r="K10" s="941"/>
      <c r="L10" s="940" t="s">
        <v>7</v>
      </c>
      <c r="M10" s="941"/>
      <c r="N10" s="203" t="s">
        <v>353</v>
      </c>
      <c r="O10" s="515">
        <v>1</v>
      </c>
      <c r="P10" s="27" t="s">
        <v>9</v>
      </c>
      <c r="R10" s="267"/>
      <c r="S10" s="267"/>
      <c r="V10" s="197"/>
    </row>
    <row r="11" spans="1:24" ht="18" customHeight="1">
      <c r="A11" s="196"/>
      <c r="B11" s="47" t="s">
        <v>405</v>
      </c>
      <c r="H11" s="940" t="s">
        <v>849</v>
      </c>
      <c r="I11" s="941"/>
      <c r="V11" s="197"/>
    </row>
    <row r="12" spans="1:24" ht="18" customHeight="1">
      <c r="A12" s="196"/>
      <c r="B12" s="47" t="s">
        <v>407</v>
      </c>
      <c r="G12" s="120" t="s">
        <v>508</v>
      </c>
      <c r="H12" s="940">
        <v>5</v>
      </c>
      <c r="I12" s="941"/>
      <c r="J12" s="204" t="s">
        <v>344</v>
      </c>
      <c r="V12" s="197"/>
    </row>
    <row r="13" spans="1:24" ht="18" customHeight="1">
      <c r="A13" s="196"/>
      <c r="B13" s="47" t="s">
        <v>409</v>
      </c>
      <c r="G13" s="120" t="s">
        <v>509</v>
      </c>
      <c r="H13" s="940">
        <v>750</v>
      </c>
      <c r="I13" s="941"/>
      <c r="J13" s="14" t="s">
        <v>316</v>
      </c>
      <c r="V13" s="197"/>
      <c r="W13" s="30" t="str">
        <f>G56</f>
        <v>Suitably Dimentioned</v>
      </c>
    </row>
    <row r="14" spans="1:24" ht="18" customHeight="1">
      <c r="A14" s="196"/>
      <c r="B14" s="14" t="s">
        <v>412</v>
      </c>
      <c r="G14" s="120" t="s">
        <v>413</v>
      </c>
      <c r="H14" s="940">
        <v>60</v>
      </c>
      <c r="I14" s="941"/>
      <c r="J14" s="14" t="s">
        <v>414</v>
      </c>
      <c r="V14" s="197"/>
    </row>
    <row r="15" spans="1:24" ht="18" customHeight="1">
      <c r="A15" s="196"/>
      <c r="V15" s="197"/>
    </row>
    <row r="16" spans="1:24" ht="18" customHeight="1">
      <c r="A16" s="205" t="s">
        <v>415</v>
      </c>
      <c r="V16" s="197"/>
    </row>
    <row r="17" spans="1:22" ht="18" customHeight="1">
      <c r="A17" s="196"/>
      <c r="V17" s="197"/>
    </row>
    <row r="18" spans="1:22" ht="18" customHeight="1">
      <c r="A18" s="196"/>
      <c r="B18" s="141" t="s">
        <v>416</v>
      </c>
      <c r="C18" s="285"/>
      <c r="D18" s="146" t="str">
        <f>T7</f>
        <v>REF650</v>
      </c>
      <c r="E18" s="239"/>
      <c r="F18" s="239"/>
      <c r="G18" s="239"/>
      <c r="H18" s="145"/>
      <c r="I18" s="272" t="s">
        <v>138</v>
      </c>
      <c r="J18" s="948">
        <f>'CT-VT Burdens'!Q48</f>
        <v>0.02</v>
      </c>
      <c r="K18" s="949"/>
      <c r="L18" s="3" t="s">
        <v>168</v>
      </c>
      <c r="N18" s="209" t="s">
        <v>521</v>
      </c>
      <c r="V18" s="197"/>
    </row>
    <row r="19" spans="1:22" ht="18" customHeight="1">
      <c r="A19" s="196"/>
      <c r="B19" s="96" t="s">
        <v>416</v>
      </c>
      <c r="D19" s="308">
        <f>T8</f>
        <v>0</v>
      </c>
      <c r="I19" s="189" t="s">
        <v>138</v>
      </c>
      <c r="J19" s="976"/>
      <c r="K19" s="977"/>
      <c r="L19" s="210" t="s">
        <v>168</v>
      </c>
      <c r="P19" s="256"/>
      <c r="V19" s="197"/>
    </row>
    <row r="20" spans="1:22" ht="18" customHeight="1">
      <c r="A20" s="196"/>
      <c r="B20" s="96" t="s">
        <v>416</v>
      </c>
      <c r="C20" s="14"/>
      <c r="D20" s="47">
        <f>T9</f>
        <v>0</v>
      </c>
      <c r="E20" s="14"/>
      <c r="G20" s="211"/>
      <c r="H20" s="27"/>
      <c r="I20" s="101" t="s">
        <v>138</v>
      </c>
      <c r="J20" s="971"/>
      <c r="K20" s="972"/>
      <c r="L20" s="214" t="s">
        <v>168</v>
      </c>
      <c r="N20" s="28" t="s">
        <v>502</v>
      </c>
      <c r="O20" s="27" t="s">
        <v>138</v>
      </c>
      <c r="P20" s="27" t="s">
        <v>522</v>
      </c>
      <c r="Q20" s="27" t="s">
        <v>326</v>
      </c>
      <c r="R20" s="27" t="s">
        <v>522</v>
      </c>
      <c r="S20" s="27" t="s">
        <v>326</v>
      </c>
      <c r="T20" s="27" t="s">
        <v>431</v>
      </c>
      <c r="V20" s="197"/>
    </row>
    <row r="21" spans="1:22" ht="18" customHeight="1">
      <c r="A21" s="196"/>
      <c r="B21" s="196" t="s">
        <v>423</v>
      </c>
      <c r="C21" s="14"/>
      <c r="D21" s="14"/>
      <c r="E21" s="14"/>
      <c r="H21" s="27"/>
      <c r="I21" s="101" t="s">
        <v>138</v>
      </c>
      <c r="J21" s="950">
        <f>'CT-VT Burdens'!S39</f>
        <v>2.7035014500000001</v>
      </c>
      <c r="K21" s="951"/>
      <c r="L21" s="309" t="s">
        <v>168</v>
      </c>
      <c r="O21" s="27" t="s">
        <v>138</v>
      </c>
      <c r="P21" s="27">
        <f>O10</f>
        <v>1</v>
      </c>
      <c r="Q21" s="27" t="s">
        <v>326</v>
      </c>
      <c r="R21" s="27">
        <f>O10</f>
        <v>1</v>
      </c>
      <c r="S21" s="27" t="s">
        <v>326</v>
      </c>
      <c r="T21" s="27">
        <f>H12</f>
        <v>5</v>
      </c>
      <c r="V21" s="197"/>
    </row>
    <row r="22" spans="1:22" ht="18" customHeight="1">
      <c r="A22" s="196"/>
      <c r="B22" s="1" t="s">
        <v>424</v>
      </c>
      <c r="C22" s="2"/>
      <c r="D22" s="2"/>
      <c r="E22" s="2"/>
      <c r="F22" s="208"/>
      <c r="G22" s="208"/>
      <c r="H22" s="236" t="s">
        <v>523</v>
      </c>
      <c r="I22" s="195" t="s">
        <v>138</v>
      </c>
      <c r="J22" s="648">
        <f>SUM(J18:J21)</f>
        <v>2.7235014500000001</v>
      </c>
      <c r="K22" s="649"/>
      <c r="L22" s="3" t="s">
        <v>168</v>
      </c>
      <c r="O22" s="27" t="s">
        <v>138</v>
      </c>
      <c r="P22" s="637">
        <f>P21*R21*T21</f>
        <v>5</v>
      </c>
      <c r="Q22" s="639"/>
      <c r="R22" s="27" t="s">
        <v>168</v>
      </c>
      <c r="S22" s="27"/>
      <c r="T22" s="27"/>
      <c r="V22" s="197"/>
    </row>
    <row r="23" spans="1:22" ht="18" customHeight="1">
      <c r="A23" s="196"/>
      <c r="B23" s="47"/>
      <c r="C23" s="47"/>
      <c r="D23" s="47"/>
      <c r="E23" s="47"/>
      <c r="H23" s="27"/>
      <c r="I23" s="28"/>
      <c r="J23" s="211"/>
      <c r="L23" s="47"/>
      <c r="O23" s="27"/>
      <c r="P23" s="223"/>
      <c r="Q23" s="27"/>
      <c r="R23" s="216"/>
      <c r="S23" s="27"/>
      <c r="V23" s="197"/>
    </row>
    <row r="24" spans="1:22" ht="18" customHeight="1">
      <c r="A24" s="964" t="s">
        <v>547</v>
      </c>
      <c r="B24" s="965"/>
      <c r="C24" s="965"/>
      <c r="D24" s="965"/>
      <c r="E24" s="965"/>
      <c r="F24" s="965"/>
      <c r="G24" s="965"/>
      <c r="H24" s="965"/>
      <c r="I24" s="965"/>
      <c r="J24" s="965"/>
      <c r="K24" s="965"/>
      <c r="L24" s="965"/>
      <c r="M24" s="965"/>
      <c r="N24" s="965"/>
      <c r="O24" s="965"/>
      <c r="P24" s="965"/>
      <c r="Q24" s="965"/>
      <c r="R24" s="965"/>
      <c r="S24" s="965"/>
      <c r="T24" s="965"/>
      <c r="U24" s="965"/>
      <c r="V24" s="966"/>
    </row>
    <row r="25" spans="1:22" ht="18" customHeight="1">
      <c r="A25" s="967"/>
      <c r="B25" s="965"/>
      <c r="C25" s="965"/>
      <c r="D25" s="965"/>
      <c r="E25" s="965"/>
      <c r="F25" s="965"/>
      <c r="G25" s="965"/>
      <c r="H25" s="965"/>
      <c r="I25" s="965"/>
      <c r="J25" s="965"/>
      <c r="K25" s="965"/>
      <c r="L25" s="965"/>
      <c r="M25" s="965"/>
      <c r="N25" s="965"/>
      <c r="O25" s="965"/>
      <c r="P25" s="965"/>
      <c r="Q25" s="965"/>
      <c r="R25" s="965"/>
      <c r="S25" s="965"/>
      <c r="T25" s="965"/>
      <c r="U25" s="965"/>
      <c r="V25" s="966"/>
    </row>
    <row r="26" spans="1:22" ht="18" customHeight="1">
      <c r="A26" s="196"/>
      <c r="Q26" s="223"/>
      <c r="R26" s="204"/>
      <c r="V26" s="197"/>
    </row>
    <row r="27" spans="1:22" ht="18" customHeight="1">
      <c r="A27" s="196"/>
      <c r="C27" s="28" t="s">
        <v>484</v>
      </c>
      <c r="D27" s="28" t="s">
        <v>138</v>
      </c>
      <c r="E27" s="28" t="s">
        <v>548</v>
      </c>
      <c r="F27" s="28" t="s">
        <v>504</v>
      </c>
      <c r="G27" s="28" t="s">
        <v>358</v>
      </c>
      <c r="H27" s="28" t="s">
        <v>502</v>
      </c>
      <c r="I27" s="28" t="s">
        <v>549</v>
      </c>
      <c r="J27" s="28" t="s">
        <v>506</v>
      </c>
      <c r="K27" s="28" t="s">
        <v>550</v>
      </c>
      <c r="L27" s="28" t="s">
        <v>522</v>
      </c>
      <c r="M27" s="28" t="s">
        <v>326</v>
      </c>
      <c r="N27" s="28">
        <v>1.3</v>
      </c>
      <c r="O27" s="47" t="s">
        <v>361</v>
      </c>
      <c r="V27" s="197"/>
    </row>
    <row r="28" spans="1:22" ht="18" customHeight="1">
      <c r="A28" s="572" t="s">
        <v>551</v>
      </c>
      <c r="C28" s="28"/>
      <c r="D28" s="28"/>
      <c r="E28" s="14"/>
      <c r="F28" s="14"/>
      <c r="G28" s="14"/>
      <c r="H28" s="14"/>
      <c r="I28" s="14"/>
      <c r="J28" s="14"/>
      <c r="K28" s="14"/>
      <c r="L28" s="14"/>
      <c r="M28" s="14"/>
      <c r="N28" s="14"/>
      <c r="O28" s="14"/>
      <c r="V28" s="197"/>
    </row>
    <row r="29" spans="1:22" ht="18" customHeight="1">
      <c r="A29" s="196"/>
      <c r="C29" s="28" t="s">
        <v>504</v>
      </c>
      <c r="D29" s="28" t="s">
        <v>138</v>
      </c>
      <c r="E29" s="28" t="s">
        <v>548</v>
      </c>
      <c r="F29" s="28">
        <v>1.3</v>
      </c>
      <c r="G29" s="28" t="s">
        <v>326</v>
      </c>
      <c r="H29" s="638" t="s">
        <v>484</v>
      </c>
      <c r="I29" s="920"/>
      <c r="J29" s="28" t="s">
        <v>326</v>
      </c>
      <c r="K29" s="28" t="s">
        <v>522</v>
      </c>
      <c r="L29" s="28" t="s">
        <v>552</v>
      </c>
      <c r="M29" s="28" t="s">
        <v>506</v>
      </c>
      <c r="N29" s="47" t="s">
        <v>553</v>
      </c>
      <c r="O29" s="28" t="s">
        <v>502</v>
      </c>
      <c r="V29" s="197"/>
    </row>
    <row r="30" spans="1:22" ht="18" customHeight="1">
      <c r="A30" s="196"/>
      <c r="V30" s="197"/>
    </row>
    <row r="31" spans="1:22" ht="18" customHeight="1">
      <c r="A31" s="180"/>
      <c r="B31" s="5"/>
      <c r="C31" s="47" t="s">
        <v>554</v>
      </c>
      <c r="D31" s="14"/>
      <c r="E31" s="14"/>
      <c r="F31" s="14"/>
      <c r="G31" s="14"/>
      <c r="H31" s="291"/>
      <c r="I31" s="120"/>
      <c r="J31" s="291"/>
      <c r="K31" s="291"/>
      <c r="L31" s="14"/>
      <c r="M31" s="14"/>
      <c r="N31" s="14"/>
      <c r="O31" s="14"/>
      <c r="P31" s="14"/>
      <c r="Q31" s="120" t="s">
        <v>555</v>
      </c>
      <c r="R31" s="102" t="s">
        <v>138</v>
      </c>
      <c r="S31" s="638">
        <f>'Parameters &amp; Fault Cal. (4)'!Q10 *1000</f>
        <v>40000</v>
      </c>
      <c r="T31" s="638"/>
      <c r="U31" s="47" t="s">
        <v>9</v>
      </c>
      <c r="V31" s="197"/>
    </row>
    <row r="32" spans="1:22" ht="18" customHeight="1">
      <c r="A32" s="180"/>
      <c r="B32" s="5"/>
      <c r="C32" s="47" t="s">
        <v>556</v>
      </c>
      <c r="D32" s="14"/>
      <c r="E32" s="14"/>
      <c r="F32" s="18"/>
      <c r="G32" s="18"/>
      <c r="H32" s="291"/>
      <c r="I32" s="120"/>
      <c r="J32" s="291"/>
      <c r="K32" s="291"/>
      <c r="L32" s="14"/>
      <c r="M32" s="14"/>
      <c r="N32" s="14"/>
      <c r="O32" s="14"/>
      <c r="P32" s="14"/>
      <c r="Q32" s="120" t="s">
        <v>434</v>
      </c>
      <c r="R32" s="102" t="s">
        <v>138</v>
      </c>
      <c r="S32" s="638">
        <f>H10</f>
        <v>1250</v>
      </c>
      <c r="T32" s="638"/>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638">
        <f>H13</f>
        <v>750</v>
      </c>
      <c r="T33" s="638"/>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641">
        <f>P22</f>
        <v>5</v>
      </c>
      <c r="T34" s="638"/>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641">
        <f>J22</f>
        <v>2.7235014500000001</v>
      </c>
      <c r="T35" s="638"/>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638">
        <f>O10</f>
        <v>1</v>
      </c>
      <c r="T36" s="638"/>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638">
        <v>20</v>
      </c>
      <c r="T37" s="638"/>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639">
        <f>E42</f>
        <v>43.75</v>
      </c>
      <c r="T38" s="639"/>
      <c r="U38" s="291"/>
      <c r="V38" s="312"/>
      <c r="W38" s="291"/>
      <c r="X38" s="291"/>
      <c r="Y38" s="291"/>
    </row>
    <row r="39" spans="1:25" ht="18" customHeight="1">
      <c r="A39" s="196"/>
      <c r="V39" s="197"/>
    </row>
    <row r="40" spans="1:25" ht="18" customHeight="1">
      <c r="A40" s="196"/>
      <c r="C40" s="28" t="s">
        <v>504</v>
      </c>
      <c r="D40" s="28" t="s">
        <v>138</v>
      </c>
      <c r="E40" s="28" t="s">
        <v>548</v>
      </c>
      <c r="F40" s="233">
        <v>1.3</v>
      </c>
      <c r="G40" s="233" t="s">
        <v>326</v>
      </c>
      <c r="H40" s="861" t="s">
        <v>484</v>
      </c>
      <c r="I40" s="968"/>
      <c r="J40" s="233" t="s">
        <v>326</v>
      </c>
      <c r="K40" s="233" t="s">
        <v>522</v>
      </c>
      <c r="L40" s="233" t="s">
        <v>552</v>
      </c>
      <c r="M40" s="233" t="s">
        <v>506</v>
      </c>
      <c r="N40" s="560" t="s">
        <v>553</v>
      </c>
      <c r="O40" s="233" t="s">
        <v>502</v>
      </c>
      <c r="V40" s="197"/>
    </row>
    <row r="41" spans="1:25" ht="18" customHeight="1">
      <c r="A41" s="196"/>
      <c r="C41" s="120"/>
      <c r="D41" s="27" t="s">
        <v>138</v>
      </c>
      <c r="E41" s="27" t="s">
        <v>548</v>
      </c>
      <c r="F41" s="257">
        <v>1.3</v>
      </c>
      <c r="G41" s="257" t="s">
        <v>326</v>
      </c>
      <c r="H41" s="969">
        <f>S33</f>
        <v>750</v>
      </c>
      <c r="I41" s="970"/>
      <c r="J41" s="257" t="s">
        <v>326</v>
      </c>
      <c r="K41" s="257">
        <f>S36</f>
        <v>1</v>
      </c>
      <c r="L41" s="257" t="s">
        <v>552</v>
      </c>
      <c r="M41" s="257">
        <f>S37</f>
        <v>20</v>
      </c>
      <c r="N41" s="474" t="s">
        <v>553</v>
      </c>
      <c r="O41" s="516">
        <f>S34</f>
        <v>5</v>
      </c>
      <c r="V41" s="197"/>
    </row>
    <row r="42" spans="1:25" ht="18" customHeight="1">
      <c r="A42" s="196"/>
      <c r="D42" s="27" t="s">
        <v>138</v>
      </c>
      <c r="E42" s="639">
        <f>((F41*H41)/(K41*M41))-O41</f>
        <v>43.75</v>
      </c>
      <c r="F42" s="639"/>
      <c r="G42" s="27" t="s">
        <v>168</v>
      </c>
      <c r="V42" s="197"/>
    </row>
    <row r="43" spans="1:25" ht="18" customHeight="1">
      <c r="A43" s="196"/>
      <c r="D43" s="27"/>
      <c r="E43" s="27"/>
      <c r="F43" s="27"/>
      <c r="G43" s="27"/>
      <c r="V43" s="197"/>
    </row>
    <row r="44" spans="1:25" ht="18" customHeight="1">
      <c r="A44" s="196"/>
      <c r="D44" s="27"/>
      <c r="E44" s="27"/>
      <c r="F44" s="27"/>
      <c r="G44" s="27"/>
      <c r="V44" s="197"/>
    </row>
    <row r="45" spans="1:25" s="208" customFormat="1" ht="18" customHeight="1">
      <c r="A45" s="302"/>
      <c r="D45" s="319"/>
      <c r="E45" s="319"/>
      <c r="F45" s="319"/>
      <c r="G45" s="319"/>
      <c r="V45" s="303"/>
    </row>
    <row r="46" spans="1:25" ht="18" customHeight="1">
      <c r="A46" s="196"/>
      <c r="E46" s="256" t="s">
        <v>123</v>
      </c>
      <c r="F46" s="27" t="s">
        <v>138</v>
      </c>
      <c r="G46" s="638" t="s">
        <v>555</v>
      </c>
      <c r="H46" s="638"/>
      <c r="I46" s="203" t="s">
        <v>353</v>
      </c>
      <c r="J46" s="639" t="s">
        <v>434</v>
      </c>
      <c r="K46" s="639"/>
      <c r="V46" s="197"/>
    </row>
    <row r="47" spans="1:25" ht="18" customHeight="1">
      <c r="A47" s="196"/>
      <c r="F47" s="27" t="s">
        <v>138</v>
      </c>
      <c r="G47" s="639">
        <f>S31</f>
        <v>40000</v>
      </c>
      <c r="H47" s="639"/>
      <c r="I47" s="203" t="s">
        <v>353</v>
      </c>
      <c r="J47" s="639">
        <f>S32</f>
        <v>1250</v>
      </c>
      <c r="K47" s="639"/>
      <c r="V47" s="197"/>
    </row>
    <row r="48" spans="1:25" ht="18" customHeight="1">
      <c r="A48" s="196"/>
      <c r="F48" s="27" t="s">
        <v>138</v>
      </c>
      <c r="G48" s="637">
        <f>G47/J47</f>
        <v>32</v>
      </c>
      <c r="H48" s="637"/>
      <c r="I48" s="27"/>
      <c r="J48" s="27"/>
      <c r="K48" s="27"/>
      <c r="V48" s="197"/>
    </row>
    <row r="49" spans="1:22" ht="18" customHeight="1">
      <c r="A49" s="196"/>
      <c r="V49" s="197"/>
    </row>
    <row r="50" spans="1:22" ht="18" customHeight="1">
      <c r="A50" s="196"/>
      <c r="E50" s="256" t="s">
        <v>564</v>
      </c>
      <c r="F50" s="27" t="s">
        <v>138</v>
      </c>
      <c r="G50" s="257" t="s">
        <v>506</v>
      </c>
      <c r="H50" s="257" t="s">
        <v>565</v>
      </c>
      <c r="I50" s="233" t="s">
        <v>502</v>
      </c>
      <c r="J50" s="233" t="s">
        <v>358</v>
      </c>
      <c r="K50" s="233" t="s">
        <v>504</v>
      </c>
      <c r="L50" s="233" t="s">
        <v>550</v>
      </c>
      <c r="M50" s="233" t="s">
        <v>502</v>
      </c>
      <c r="N50" s="233" t="s">
        <v>358</v>
      </c>
      <c r="O50" s="233" t="s">
        <v>523</v>
      </c>
      <c r="P50" s="27" t="s">
        <v>361</v>
      </c>
      <c r="V50" s="197"/>
    </row>
    <row r="51" spans="1:22" ht="18" customHeight="1">
      <c r="A51" s="196"/>
      <c r="F51" s="27" t="s">
        <v>138</v>
      </c>
      <c r="G51" s="257">
        <f>S37</f>
        <v>20</v>
      </c>
      <c r="H51" s="257" t="s">
        <v>565</v>
      </c>
      <c r="I51" s="313">
        <f>S34</f>
        <v>5</v>
      </c>
      <c r="J51" s="257" t="s">
        <v>358</v>
      </c>
      <c r="K51" s="313">
        <f>E42</f>
        <v>43.75</v>
      </c>
      <c r="L51" s="257" t="s">
        <v>550</v>
      </c>
      <c r="M51" s="313">
        <f>S34</f>
        <v>5</v>
      </c>
      <c r="N51" s="257" t="s">
        <v>358</v>
      </c>
      <c r="O51" s="313">
        <f>S35</f>
        <v>2.7235014500000001</v>
      </c>
      <c r="P51" s="27" t="s">
        <v>361</v>
      </c>
      <c r="V51" s="197"/>
    </row>
    <row r="52" spans="1:22" ht="18" customHeight="1">
      <c r="A52" s="196"/>
      <c r="F52" s="27" t="s">
        <v>138</v>
      </c>
      <c r="G52" s="640">
        <f>G51*((I51+K51)/(M51+O51))</f>
        <v>126.23808078653238</v>
      </c>
      <c r="H52" s="640"/>
      <c r="I52" s="254"/>
      <c r="J52" s="254"/>
      <c r="K52" s="254"/>
      <c r="L52" s="254"/>
      <c r="M52" s="254"/>
      <c r="N52" s="254"/>
      <c r="O52" s="254"/>
      <c r="V52" s="197"/>
    </row>
    <row r="53" spans="1:22" ht="18" customHeight="1">
      <c r="A53" s="196"/>
      <c r="V53" s="197"/>
    </row>
    <row r="54" spans="1:22" ht="18" customHeight="1">
      <c r="A54" s="196"/>
      <c r="E54" s="256" t="s">
        <v>566</v>
      </c>
      <c r="F54" s="27" t="str">
        <f>IF(D55&gt;G55,"&gt;","&lt;")</f>
        <v>&gt;</v>
      </c>
      <c r="G54" s="308" t="s">
        <v>123</v>
      </c>
      <c r="V54" s="197"/>
    </row>
    <row r="55" spans="1:22" ht="18" customHeight="1">
      <c r="A55" s="196"/>
      <c r="D55" s="637">
        <f>G52</f>
        <v>126.23808078653238</v>
      </c>
      <c r="E55" s="637"/>
      <c r="F55" s="27" t="str">
        <f>F54</f>
        <v>&gt;</v>
      </c>
      <c r="G55" s="637">
        <f>G48</f>
        <v>32</v>
      </c>
      <c r="H55" s="637"/>
      <c r="V55" s="197"/>
    </row>
    <row r="56" spans="1:22" ht="18" customHeight="1">
      <c r="A56" s="196"/>
      <c r="E56" s="256" t="s">
        <v>489</v>
      </c>
      <c r="G56" s="18" t="str">
        <f>IF(F54="&gt;","Suitably Dimentioned","Under Dimentioned")</f>
        <v>Suitably Dimentioned</v>
      </c>
      <c r="V56" s="197"/>
    </row>
    <row r="57" spans="1:22" ht="18" customHeight="1">
      <c r="A57" s="196"/>
      <c r="V57" s="197"/>
    </row>
    <row r="58" spans="1:22" ht="18" customHeight="1">
      <c r="A58" s="196"/>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3" ht="18" customHeight="1">
      <c r="A81" s="196"/>
      <c r="V81" s="197"/>
    </row>
    <row r="82" spans="1:23" ht="18" customHeight="1">
      <c r="A82" s="196"/>
      <c r="V82" s="197"/>
    </row>
    <row r="83" spans="1:23" ht="18" customHeight="1">
      <c r="A83" s="196"/>
      <c r="V83" s="197"/>
    </row>
    <row r="84" spans="1:23" ht="18" customHeight="1">
      <c r="A84" s="196"/>
      <c r="V84" s="197"/>
    </row>
    <row r="85" spans="1:23" s="208" customFormat="1" ht="18" customHeight="1">
      <c r="A85" s="302"/>
      <c r="V85" s="303"/>
    </row>
    <row r="86" spans="1:23" s="14" customFormat="1" ht="18" hidden="1" customHeight="1">
      <c r="A86" s="274"/>
      <c r="B86" s="271"/>
      <c r="C86" s="271"/>
      <c r="D86" s="271"/>
      <c r="E86" s="271"/>
      <c r="F86" s="271"/>
      <c r="G86" s="271"/>
      <c r="H86" s="271"/>
      <c r="I86" s="271"/>
      <c r="J86" s="271"/>
      <c r="K86" s="271"/>
      <c r="L86" s="271"/>
      <c r="M86" s="271"/>
      <c r="N86" s="271"/>
      <c r="O86" s="271"/>
      <c r="P86" s="271"/>
      <c r="Q86" s="594"/>
      <c r="R86" s="241"/>
      <c r="S86" s="595"/>
      <c r="T86" s="271"/>
      <c r="U86" s="271"/>
      <c r="V86" s="596"/>
    </row>
    <row r="87" spans="1:23" ht="18" hidden="1" customHeight="1">
      <c r="A87" s="238"/>
      <c r="B87" s="239"/>
      <c r="C87" s="239"/>
      <c r="D87" s="239"/>
      <c r="E87" s="239"/>
      <c r="F87" s="239"/>
      <c r="G87" s="239"/>
      <c r="H87" s="239"/>
      <c r="I87" s="239"/>
      <c r="J87" s="239"/>
      <c r="K87" s="239"/>
      <c r="L87" s="239"/>
      <c r="M87" s="239"/>
      <c r="N87" s="239"/>
      <c r="O87" s="239"/>
      <c r="P87" s="239"/>
      <c r="Q87" s="239"/>
      <c r="R87" s="239"/>
      <c r="S87" s="239"/>
      <c r="T87" s="239"/>
      <c r="U87" s="239"/>
      <c r="V87" s="240"/>
    </row>
    <row r="88" spans="1:23" ht="18" hidden="1" customHeight="1">
      <c r="A88" s="196"/>
      <c r="B88" s="650" t="str">
        <f>B7</f>
        <v>T1</v>
      </c>
      <c r="C88" s="651"/>
      <c r="D88" s="663" t="str">
        <f>D7</f>
        <v>Core1</v>
      </c>
      <c r="E88" s="664"/>
      <c r="F88" s="267"/>
      <c r="H88" s="639">
        <f>H7</f>
        <v>0</v>
      </c>
      <c r="I88" s="639"/>
      <c r="J88" s="639"/>
      <c r="K88" s="639"/>
      <c r="L88" s="639"/>
      <c r="M88" s="639"/>
      <c r="P88" s="198"/>
      <c r="S88" s="199" t="s">
        <v>398</v>
      </c>
      <c r="T88" s="658" t="str">
        <f>T7</f>
        <v>REF650</v>
      </c>
      <c r="U88" s="659"/>
      <c r="V88" s="197"/>
    </row>
    <row r="89" spans="1:23" ht="18" hidden="1" customHeight="1">
      <c r="A89" s="196"/>
      <c r="B89" s="660">
        <f>B8</f>
        <v>0</v>
      </c>
      <c r="C89" s="660"/>
      <c r="D89" s="665"/>
      <c r="E89" s="666"/>
      <c r="F89" s="267"/>
      <c r="T89" s="658">
        <f>T8</f>
        <v>0</v>
      </c>
      <c r="U89" s="659"/>
      <c r="V89" s="197"/>
    </row>
    <row r="90" spans="1:23" ht="18" hidden="1" customHeight="1">
      <c r="A90" s="196"/>
      <c r="H90" s="661" t="s">
        <v>401</v>
      </c>
      <c r="I90" s="661"/>
      <c r="J90" s="662" t="s">
        <v>402</v>
      </c>
      <c r="K90" s="662"/>
      <c r="L90" s="701" t="s">
        <v>403</v>
      </c>
      <c r="M90" s="701"/>
      <c r="T90" s="658">
        <f>T9</f>
        <v>0</v>
      </c>
      <c r="U90" s="659"/>
      <c r="V90" s="197"/>
    </row>
    <row r="91" spans="1:23" ht="18" hidden="1" customHeight="1">
      <c r="A91" s="196"/>
      <c r="B91" s="47" t="s">
        <v>404</v>
      </c>
      <c r="H91" s="650">
        <f>H10</f>
        <v>1250</v>
      </c>
      <c r="I91" s="651"/>
      <c r="J91" s="652" t="str">
        <f>J10</f>
        <v>-</v>
      </c>
      <c r="K91" s="653"/>
      <c r="L91" s="650" t="str">
        <f>L10</f>
        <v>-</v>
      </c>
      <c r="M91" s="651"/>
      <c r="N91" s="203" t="s">
        <v>353</v>
      </c>
      <c r="O91" s="268">
        <f>O10</f>
        <v>1</v>
      </c>
      <c r="P91" s="27" t="s">
        <v>9</v>
      </c>
      <c r="R91" s="267"/>
      <c r="S91" s="267"/>
      <c r="V91" s="197"/>
    </row>
    <row r="92" spans="1:23" ht="18" hidden="1" customHeight="1">
      <c r="A92" s="196"/>
      <c r="B92" s="47" t="s">
        <v>405</v>
      </c>
      <c r="H92" s="14"/>
      <c r="I92" s="14"/>
      <c r="J92" s="650" t="str">
        <f>H11</f>
        <v>PX-B</v>
      </c>
      <c r="K92" s="651"/>
      <c r="L92" s="14"/>
      <c r="M92" s="14"/>
      <c r="V92" s="197"/>
    </row>
    <row r="93" spans="1:23" ht="18" hidden="1" customHeight="1">
      <c r="A93" s="196"/>
      <c r="B93" s="47" t="s">
        <v>407</v>
      </c>
      <c r="I93" s="120" t="s">
        <v>508</v>
      </c>
      <c r="J93" s="940">
        <v>5</v>
      </c>
      <c r="K93" s="941"/>
      <c r="L93" s="204" t="s">
        <v>344</v>
      </c>
      <c r="V93" s="197"/>
    </row>
    <row r="94" spans="1:23" ht="18" hidden="1" customHeight="1">
      <c r="A94" s="196"/>
      <c r="B94" s="47" t="s">
        <v>409</v>
      </c>
      <c r="I94" s="120" t="s">
        <v>509</v>
      </c>
      <c r="J94" s="940">
        <v>500</v>
      </c>
      <c r="K94" s="941"/>
      <c r="L94" s="14" t="s">
        <v>316</v>
      </c>
      <c r="T94" s="307"/>
      <c r="U94" s="18"/>
      <c r="V94" s="197"/>
      <c r="W94" s="30" t="e">
        <f>G142</f>
        <v>#VALUE!</v>
      </c>
    </row>
    <row r="95" spans="1:23" ht="18" hidden="1" customHeight="1">
      <c r="A95" s="196"/>
      <c r="B95" s="14" t="s">
        <v>412</v>
      </c>
      <c r="I95" s="120" t="s">
        <v>413</v>
      </c>
      <c r="J95" s="940">
        <v>50</v>
      </c>
      <c r="K95" s="941"/>
      <c r="L95" s="14" t="s">
        <v>414</v>
      </c>
      <c r="V95" s="197"/>
    </row>
    <row r="96" spans="1:23" ht="18" hidden="1" customHeight="1">
      <c r="A96" s="196"/>
      <c r="V96" s="197"/>
    </row>
    <row r="97" spans="1:22" ht="18" hidden="1" customHeight="1">
      <c r="A97" s="205" t="s">
        <v>415</v>
      </c>
      <c r="V97" s="197"/>
    </row>
    <row r="98" spans="1:22" ht="18" hidden="1" customHeight="1">
      <c r="A98" s="196"/>
      <c r="V98" s="197"/>
    </row>
    <row r="99" spans="1:22" ht="18" hidden="1" customHeight="1">
      <c r="A99" s="196"/>
      <c r="B99" s="141" t="s">
        <v>416</v>
      </c>
      <c r="C99" s="285"/>
      <c r="D99" s="146" t="str">
        <f>T88</f>
        <v>REF650</v>
      </c>
      <c r="E99" s="239"/>
      <c r="F99" s="239"/>
      <c r="G99" s="239"/>
      <c r="H99" s="145"/>
      <c r="I99" s="272" t="s">
        <v>138</v>
      </c>
      <c r="J99" s="648">
        <f>J18</f>
        <v>0.02</v>
      </c>
      <c r="K99" s="649"/>
      <c r="L99" s="3" t="s">
        <v>168</v>
      </c>
      <c r="N99" s="209" t="s">
        <v>521</v>
      </c>
      <c r="V99" s="197"/>
    </row>
    <row r="100" spans="1:22" ht="18" hidden="1" customHeight="1">
      <c r="A100" s="196"/>
      <c r="B100" s="96" t="s">
        <v>416</v>
      </c>
      <c r="D100" s="308">
        <f>T89</f>
        <v>0</v>
      </c>
      <c r="I100" s="189" t="s">
        <v>138</v>
      </c>
      <c r="J100" s="642">
        <f>J19</f>
        <v>0</v>
      </c>
      <c r="K100" s="643"/>
      <c r="L100" s="210" t="s">
        <v>168</v>
      </c>
      <c r="P100" s="256"/>
      <c r="V100" s="197"/>
    </row>
    <row r="101" spans="1:22" ht="18" hidden="1" customHeight="1">
      <c r="A101" s="196"/>
      <c r="B101" s="96" t="s">
        <v>416</v>
      </c>
      <c r="C101" s="14"/>
      <c r="D101" s="47">
        <f>T90</f>
        <v>0</v>
      </c>
      <c r="E101" s="14"/>
      <c r="G101" s="211"/>
      <c r="H101" s="27"/>
      <c r="I101" s="101" t="s">
        <v>138</v>
      </c>
      <c r="J101" s="644">
        <f>J20</f>
        <v>0</v>
      </c>
      <c r="K101" s="645"/>
      <c r="L101" s="214" t="s">
        <v>168</v>
      </c>
      <c r="N101" s="28" t="s">
        <v>502</v>
      </c>
      <c r="O101" s="27" t="s">
        <v>138</v>
      </c>
      <c r="P101" s="27" t="s">
        <v>522</v>
      </c>
      <c r="Q101" s="27" t="s">
        <v>326</v>
      </c>
      <c r="R101" s="27" t="s">
        <v>522</v>
      </c>
      <c r="S101" s="27" t="s">
        <v>326</v>
      </c>
      <c r="T101" s="27" t="s">
        <v>431</v>
      </c>
      <c r="V101" s="197"/>
    </row>
    <row r="102" spans="1:22" ht="18" hidden="1" customHeight="1">
      <c r="A102" s="196"/>
      <c r="B102" s="196" t="s">
        <v>423</v>
      </c>
      <c r="C102" s="14"/>
      <c r="D102" s="14"/>
      <c r="E102" s="14"/>
      <c r="H102" s="27"/>
      <c r="I102" s="101" t="s">
        <v>138</v>
      </c>
      <c r="J102" s="646">
        <f>J21</f>
        <v>2.7035014500000001</v>
      </c>
      <c r="K102" s="647"/>
      <c r="L102" s="309" t="s">
        <v>168</v>
      </c>
      <c r="O102" s="27" t="s">
        <v>138</v>
      </c>
      <c r="P102" s="27">
        <f>O91</f>
        <v>1</v>
      </c>
      <c r="Q102" s="27" t="s">
        <v>326</v>
      </c>
      <c r="R102" s="27">
        <f>O91</f>
        <v>1</v>
      </c>
      <c r="S102" s="27" t="s">
        <v>326</v>
      </c>
      <c r="T102" s="27">
        <f>J93</f>
        <v>5</v>
      </c>
      <c r="V102" s="197"/>
    </row>
    <row r="103" spans="1:22" ht="18" hidden="1" customHeight="1">
      <c r="A103" s="196"/>
      <c r="B103" s="1" t="s">
        <v>424</v>
      </c>
      <c r="C103" s="2"/>
      <c r="D103" s="2"/>
      <c r="E103" s="2"/>
      <c r="F103" s="208"/>
      <c r="G103" s="208"/>
      <c r="H103" s="236" t="s">
        <v>523</v>
      </c>
      <c r="I103" s="195" t="s">
        <v>138</v>
      </c>
      <c r="J103" s="648">
        <f>SUM(J99:J102)</f>
        <v>2.7235014500000001</v>
      </c>
      <c r="K103" s="649"/>
      <c r="L103" s="3" t="s">
        <v>168</v>
      </c>
      <c r="O103" s="27" t="s">
        <v>138</v>
      </c>
      <c r="P103" s="637">
        <f>P102*R102*T102</f>
        <v>5</v>
      </c>
      <c r="Q103" s="639"/>
      <c r="R103" s="27" t="s">
        <v>168</v>
      </c>
      <c r="S103" s="27"/>
      <c r="T103" s="27"/>
      <c r="V103" s="197"/>
    </row>
    <row r="104" spans="1:22" ht="18" hidden="1" customHeight="1">
      <c r="A104" s="196"/>
      <c r="B104" s="47"/>
      <c r="C104" s="47"/>
      <c r="D104" s="47"/>
      <c r="E104" s="47"/>
      <c r="H104" s="27"/>
      <c r="I104" s="28"/>
      <c r="J104" s="211"/>
      <c r="L104" s="47"/>
      <c r="O104" s="27"/>
      <c r="P104" s="223"/>
      <c r="Q104" s="27"/>
      <c r="R104" s="216"/>
      <c r="S104" s="27"/>
      <c r="V104" s="197"/>
    </row>
    <row r="105" spans="1:22" ht="18" hidden="1" customHeight="1">
      <c r="A105" s="964" t="s">
        <v>547</v>
      </c>
      <c r="B105" s="965"/>
      <c r="C105" s="965"/>
      <c r="D105" s="965"/>
      <c r="E105" s="965"/>
      <c r="F105" s="965"/>
      <c r="G105" s="965"/>
      <c r="H105" s="965"/>
      <c r="I105" s="965"/>
      <c r="J105" s="965"/>
      <c r="K105" s="965"/>
      <c r="L105" s="965"/>
      <c r="M105" s="965"/>
      <c r="N105" s="965"/>
      <c r="O105" s="965"/>
      <c r="P105" s="965"/>
      <c r="Q105" s="965"/>
      <c r="R105" s="965"/>
      <c r="S105" s="965"/>
      <c r="T105" s="965"/>
      <c r="U105" s="965"/>
      <c r="V105" s="966"/>
    </row>
    <row r="106" spans="1:22" ht="18" hidden="1" customHeight="1">
      <c r="A106" s="967"/>
      <c r="B106" s="965"/>
      <c r="C106" s="965"/>
      <c r="D106" s="965"/>
      <c r="E106" s="965"/>
      <c r="F106" s="965"/>
      <c r="G106" s="965"/>
      <c r="H106" s="965"/>
      <c r="I106" s="965"/>
      <c r="J106" s="965"/>
      <c r="K106" s="965"/>
      <c r="L106" s="965"/>
      <c r="M106" s="965"/>
      <c r="N106" s="965"/>
      <c r="O106" s="965"/>
      <c r="P106" s="965"/>
      <c r="Q106" s="965"/>
      <c r="R106" s="965"/>
      <c r="S106" s="965"/>
      <c r="T106" s="965"/>
      <c r="U106" s="965"/>
      <c r="V106" s="966"/>
    </row>
    <row r="107" spans="1:22" ht="18" hidden="1" customHeight="1">
      <c r="A107" s="196"/>
      <c r="Q107" s="223"/>
      <c r="R107" s="204"/>
      <c r="V107" s="197"/>
    </row>
    <row r="108" spans="1:22" ht="18" hidden="1" customHeight="1">
      <c r="A108" s="196"/>
      <c r="C108" s="28" t="s">
        <v>484</v>
      </c>
      <c r="D108" s="28" t="s">
        <v>138</v>
      </c>
      <c r="E108" s="28" t="s">
        <v>548</v>
      </c>
      <c r="F108" s="28" t="s">
        <v>504</v>
      </c>
      <c r="G108" s="28" t="s">
        <v>358</v>
      </c>
      <c r="H108" s="28" t="s">
        <v>502</v>
      </c>
      <c r="I108" s="28" t="s">
        <v>549</v>
      </c>
      <c r="J108" s="28" t="s">
        <v>506</v>
      </c>
      <c r="K108" s="28" t="s">
        <v>550</v>
      </c>
      <c r="L108" s="28" t="s">
        <v>522</v>
      </c>
      <c r="M108" s="28" t="s">
        <v>326</v>
      </c>
      <c r="N108" s="28">
        <v>1.3</v>
      </c>
      <c r="O108" s="47" t="s">
        <v>361</v>
      </c>
      <c r="V108" s="197"/>
    </row>
    <row r="109" spans="1:22" ht="18" hidden="1" customHeight="1">
      <c r="A109" s="572" t="s">
        <v>551</v>
      </c>
      <c r="C109" s="28"/>
      <c r="D109" s="28"/>
      <c r="E109" s="14"/>
      <c r="F109" s="14"/>
      <c r="G109" s="14"/>
      <c r="H109" s="14"/>
      <c r="I109" s="14"/>
      <c r="J109" s="14"/>
      <c r="K109" s="14"/>
      <c r="L109" s="14"/>
      <c r="M109" s="14"/>
      <c r="N109" s="14"/>
      <c r="O109" s="14"/>
      <c r="V109" s="197"/>
    </row>
    <row r="110" spans="1:22" ht="18" hidden="1" customHeight="1">
      <c r="A110" s="196"/>
      <c r="C110" s="28" t="s">
        <v>504</v>
      </c>
      <c r="D110" s="28" t="s">
        <v>138</v>
      </c>
      <c r="E110" s="28" t="s">
        <v>548</v>
      </c>
      <c r="F110" s="28">
        <v>1.3</v>
      </c>
      <c r="G110" s="28" t="s">
        <v>326</v>
      </c>
      <c r="H110" s="638" t="s">
        <v>484</v>
      </c>
      <c r="I110" s="920"/>
      <c r="J110" s="28" t="s">
        <v>326</v>
      </c>
      <c r="K110" s="28" t="s">
        <v>522</v>
      </c>
      <c r="L110" s="28" t="s">
        <v>552</v>
      </c>
      <c r="M110" s="28" t="s">
        <v>506</v>
      </c>
      <c r="N110" s="47" t="s">
        <v>553</v>
      </c>
      <c r="O110" s="120" t="s">
        <v>502</v>
      </c>
      <c r="V110" s="197"/>
    </row>
    <row r="111" spans="1:22" ht="18" hidden="1" customHeight="1">
      <c r="A111" s="196"/>
      <c r="V111" s="197"/>
    </row>
    <row r="112" spans="1:22" ht="18" hidden="1" customHeight="1">
      <c r="A112" s="180"/>
      <c r="B112" s="5"/>
      <c r="C112" s="47" t="s">
        <v>554</v>
      </c>
      <c r="D112" s="14"/>
      <c r="E112" s="14"/>
      <c r="F112" s="14"/>
      <c r="G112" s="14"/>
      <c r="H112" s="291"/>
      <c r="I112" s="120"/>
      <c r="J112" s="291"/>
      <c r="K112" s="291"/>
      <c r="L112" s="14"/>
      <c r="M112" s="14"/>
      <c r="N112" s="14"/>
      <c r="O112" s="14"/>
      <c r="P112" s="14"/>
      <c r="Q112" s="120" t="s">
        <v>555</v>
      </c>
      <c r="R112" s="102" t="s">
        <v>138</v>
      </c>
      <c r="S112" s="638">
        <v>40000</v>
      </c>
      <c r="T112" s="638"/>
      <c r="U112" s="47" t="s">
        <v>9</v>
      </c>
      <c r="V112" s="197"/>
    </row>
    <row r="113" spans="1:25" ht="18" hidden="1" customHeight="1">
      <c r="A113" s="180"/>
      <c r="B113" s="5"/>
      <c r="C113" s="47" t="s">
        <v>556</v>
      </c>
      <c r="D113" s="14"/>
      <c r="E113" s="14"/>
      <c r="F113" s="18"/>
      <c r="G113" s="18"/>
      <c r="H113" s="291"/>
      <c r="I113" s="120"/>
      <c r="J113" s="291"/>
      <c r="K113" s="291"/>
      <c r="L113" s="14"/>
      <c r="M113" s="14"/>
      <c r="N113" s="14"/>
      <c r="O113" s="14"/>
      <c r="P113" s="14"/>
      <c r="Q113" s="120" t="s">
        <v>434</v>
      </c>
      <c r="R113" s="102" t="s">
        <v>138</v>
      </c>
      <c r="S113" s="638" t="str">
        <f>J91</f>
        <v>-</v>
      </c>
      <c r="T113" s="638"/>
      <c r="U113" s="14" t="s">
        <v>9</v>
      </c>
      <c r="V113" s="197"/>
    </row>
    <row r="114" spans="1:25" ht="18" hidden="1" customHeight="1">
      <c r="A114" s="180"/>
      <c r="B114" s="5"/>
      <c r="C114" s="47" t="s">
        <v>557</v>
      </c>
      <c r="D114" s="14"/>
      <c r="E114" s="14"/>
      <c r="F114" s="18"/>
      <c r="G114" s="18"/>
      <c r="H114" s="291"/>
      <c r="I114" s="120"/>
      <c r="J114" s="291"/>
      <c r="K114" s="291"/>
      <c r="L114" s="14"/>
      <c r="M114" s="14"/>
      <c r="N114" s="14"/>
      <c r="O114" s="14"/>
      <c r="P114" s="14"/>
      <c r="Q114" s="120" t="s">
        <v>484</v>
      </c>
      <c r="R114" s="102" t="s">
        <v>138</v>
      </c>
      <c r="S114" s="638">
        <f>J94</f>
        <v>500</v>
      </c>
      <c r="T114" s="638"/>
      <c r="U114" s="14" t="s">
        <v>316</v>
      </c>
      <c r="V114" s="197"/>
    </row>
    <row r="115" spans="1:25" ht="18" hidden="1" customHeight="1">
      <c r="A115" s="180"/>
      <c r="B115" s="5"/>
      <c r="C115" s="47" t="s">
        <v>558</v>
      </c>
      <c r="D115" s="14"/>
      <c r="E115" s="14"/>
      <c r="F115" s="18"/>
      <c r="G115" s="18"/>
      <c r="H115" s="291"/>
      <c r="I115" s="120"/>
      <c r="J115" s="291"/>
      <c r="K115" s="291"/>
      <c r="L115" s="14"/>
      <c r="M115" s="14"/>
      <c r="N115" s="14"/>
      <c r="O115" s="14"/>
      <c r="P115" s="14"/>
      <c r="Q115" s="120" t="s">
        <v>502</v>
      </c>
      <c r="R115" s="102" t="s">
        <v>138</v>
      </c>
      <c r="S115" s="641">
        <f>P103</f>
        <v>5</v>
      </c>
      <c r="T115" s="638"/>
      <c r="U115" s="14" t="s">
        <v>168</v>
      </c>
      <c r="V115" s="197"/>
      <c r="W115" s="291"/>
      <c r="X115" s="291"/>
      <c r="Y115" s="291"/>
    </row>
    <row r="116" spans="1:25" ht="18" hidden="1" customHeight="1">
      <c r="A116" s="180"/>
      <c r="B116" s="5"/>
      <c r="C116" s="47" t="s">
        <v>559</v>
      </c>
      <c r="D116" s="14"/>
      <c r="E116" s="14"/>
      <c r="F116" s="18"/>
      <c r="G116" s="18"/>
      <c r="H116" s="291"/>
      <c r="I116" s="120"/>
      <c r="J116" s="291"/>
      <c r="K116" s="291"/>
      <c r="L116" s="14"/>
      <c r="M116" s="14"/>
      <c r="N116" s="14"/>
      <c r="O116" s="14"/>
      <c r="P116" s="14"/>
      <c r="Q116" s="120" t="s">
        <v>523</v>
      </c>
      <c r="R116" s="102" t="s">
        <v>138</v>
      </c>
      <c r="S116" s="641">
        <f>J103</f>
        <v>2.7235014500000001</v>
      </c>
      <c r="T116" s="638"/>
      <c r="U116" s="14" t="s">
        <v>168</v>
      </c>
      <c r="V116" s="197"/>
      <c r="X116" s="291"/>
      <c r="Y116" s="291"/>
    </row>
    <row r="117" spans="1:25" ht="18" hidden="1" customHeight="1">
      <c r="A117" s="180"/>
      <c r="B117" s="5"/>
      <c r="C117" s="47" t="s">
        <v>560</v>
      </c>
      <c r="D117" s="14"/>
      <c r="E117" s="14"/>
      <c r="F117" s="14"/>
      <c r="G117" s="14"/>
      <c r="H117" s="291"/>
      <c r="I117" s="120"/>
      <c r="J117" s="291"/>
      <c r="K117" s="291"/>
      <c r="L117" s="14"/>
      <c r="M117" s="14"/>
      <c r="N117" s="14"/>
      <c r="O117" s="14"/>
      <c r="P117" s="14"/>
      <c r="Q117" s="120" t="s">
        <v>522</v>
      </c>
      <c r="R117" s="102" t="s">
        <v>138</v>
      </c>
      <c r="S117" s="638">
        <f>O91</f>
        <v>1</v>
      </c>
      <c r="T117" s="638"/>
      <c r="U117" s="14" t="s">
        <v>9</v>
      </c>
      <c r="V117" s="197"/>
      <c r="X117" s="291"/>
      <c r="Y117" s="291"/>
    </row>
    <row r="118" spans="1:25" ht="18" hidden="1" customHeight="1">
      <c r="A118" s="180"/>
      <c r="B118" s="5"/>
      <c r="C118" s="47" t="s">
        <v>561</v>
      </c>
      <c r="D118" s="14"/>
      <c r="E118" s="14"/>
      <c r="F118" s="14"/>
      <c r="G118" s="14"/>
      <c r="H118" s="291"/>
      <c r="I118" s="120"/>
      <c r="J118" s="291"/>
      <c r="K118" s="291"/>
      <c r="L118" s="14"/>
      <c r="M118" s="14"/>
      <c r="N118" s="14"/>
      <c r="O118" s="14"/>
      <c r="P118" s="14"/>
      <c r="Q118" s="120" t="s">
        <v>506</v>
      </c>
      <c r="R118" s="102" t="s">
        <v>138</v>
      </c>
      <c r="S118" s="638">
        <v>20</v>
      </c>
      <c r="T118" s="638"/>
      <c r="U118" s="47"/>
      <c r="V118" s="197"/>
    </row>
    <row r="119" spans="1:25" ht="18" hidden="1" customHeight="1">
      <c r="A119" s="311"/>
      <c r="B119" s="291"/>
      <c r="C119" s="47" t="s">
        <v>503</v>
      </c>
      <c r="D119" s="14"/>
      <c r="E119" s="14"/>
      <c r="F119" s="14"/>
      <c r="G119" s="14"/>
      <c r="H119" s="291"/>
      <c r="I119" s="120"/>
      <c r="J119" s="291"/>
      <c r="K119" s="291"/>
      <c r="L119" s="14"/>
      <c r="M119" s="14"/>
      <c r="N119" s="291"/>
      <c r="O119" s="291"/>
      <c r="P119" s="14"/>
      <c r="Q119" s="120" t="s">
        <v>504</v>
      </c>
      <c r="R119" s="14"/>
      <c r="S119" s="291"/>
      <c r="T119" s="291"/>
      <c r="U119" s="291"/>
      <c r="V119" s="312"/>
      <c r="W119" s="291"/>
      <c r="X119" s="291"/>
      <c r="Y119" s="291"/>
    </row>
    <row r="120" spans="1:25" ht="18" hidden="1" customHeight="1">
      <c r="A120" s="196"/>
      <c r="V120" s="197"/>
    </row>
    <row r="121" spans="1:25" ht="18" hidden="1" customHeight="1">
      <c r="A121" s="196"/>
      <c r="C121" s="28" t="s">
        <v>504</v>
      </c>
      <c r="D121" s="28" t="s">
        <v>138</v>
      </c>
      <c r="E121" s="28" t="s">
        <v>548</v>
      </c>
      <c r="F121" s="233">
        <v>1.3</v>
      </c>
      <c r="G121" s="233" t="s">
        <v>326</v>
      </c>
      <c r="H121" s="861" t="s">
        <v>484</v>
      </c>
      <c r="I121" s="968"/>
      <c r="J121" s="233" t="s">
        <v>326</v>
      </c>
      <c r="K121" s="233" t="s">
        <v>522</v>
      </c>
      <c r="L121" s="233" t="s">
        <v>552</v>
      </c>
      <c r="M121" s="233" t="s">
        <v>506</v>
      </c>
      <c r="N121" s="560" t="s">
        <v>553</v>
      </c>
      <c r="O121" s="233" t="s">
        <v>502</v>
      </c>
      <c r="V121" s="197"/>
    </row>
    <row r="122" spans="1:25" ht="18" hidden="1" customHeight="1">
      <c r="A122" s="196"/>
      <c r="C122" s="120"/>
      <c r="D122" s="27" t="s">
        <v>138</v>
      </c>
      <c r="E122" s="27" t="s">
        <v>548</v>
      </c>
      <c r="F122" s="257">
        <v>1.3</v>
      </c>
      <c r="G122" s="257" t="s">
        <v>326</v>
      </c>
      <c r="H122" s="969">
        <f>S114</f>
        <v>500</v>
      </c>
      <c r="I122" s="970"/>
      <c r="J122" s="257" t="s">
        <v>326</v>
      </c>
      <c r="K122" s="257">
        <f>S117</f>
        <v>1</v>
      </c>
      <c r="L122" s="257" t="s">
        <v>552</v>
      </c>
      <c r="M122" s="257">
        <f>S118</f>
        <v>20</v>
      </c>
      <c r="N122" s="474" t="s">
        <v>553</v>
      </c>
      <c r="O122" s="516">
        <f>S115</f>
        <v>5</v>
      </c>
      <c r="V122" s="197"/>
    </row>
    <row r="123" spans="1:25" ht="18" hidden="1" customHeight="1">
      <c r="A123" s="196"/>
      <c r="D123" s="27" t="s">
        <v>138</v>
      </c>
      <c r="E123" s="639">
        <f>((F122*H122)/(K122*M122))-O122</f>
        <v>27.5</v>
      </c>
      <c r="F123" s="639"/>
      <c r="G123" s="27" t="s">
        <v>168</v>
      </c>
      <c r="V123" s="197"/>
    </row>
    <row r="124" spans="1:25" ht="18" hidden="1" customHeight="1">
      <c r="A124" s="196"/>
      <c r="D124" s="27"/>
      <c r="E124" s="27"/>
      <c r="F124" s="27"/>
      <c r="G124" s="27"/>
      <c r="V124" s="197"/>
    </row>
    <row r="125" spans="1:25" ht="18" hidden="1" customHeight="1">
      <c r="A125" s="196"/>
      <c r="D125" s="27"/>
      <c r="E125" s="27"/>
      <c r="F125" s="27"/>
      <c r="G125" s="27"/>
      <c r="V125" s="197"/>
    </row>
    <row r="126" spans="1:25" ht="18" hidden="1" customHeight="1">
      <c r="A126" s="196"/>
      <c r="D126" s="27"/>
      <c r="E126" s="27"/>
      <c r="F126" s="27"/>
      <c r="G126" s="27"/>
      <c r="V126" s="197"/>
    </row>
    <row r="127" spans="1:25" ht="18" hidden="1" customHeight="1">
      <c r="A127" s="196"/>
      <c r="D127" s="27"/>
      <c r="E127" s="27"/>
      <c r="F127" s="27"/>
      <c r="G127" s="27"/>
      <c r="V127" s="197"/>
    </row>
    <row r="128" spans="1:25" ht="18" hidden="1" customHeight="1">
      <c r="A128" s="196"/>
      <c r="D128" s="27"/>
      <c r="E128" s="27"/>
      <c r="F128" s="27"/>
      <c r="G128" s="27"/>
      <c r="V128" s="197"/>
    </row>
    <row r="129" spans="1:22" ht="18" hidden="1" customHeight="1">
      <c r="A129" s="196"/>
      <c r="V129" s="197"/>
    </row>
    <row r="130" spans="1:22" s="14" customFormat="1" ht="18" hidden="1" customHeight="1">
      <c r="A130" s="206"/>
      <c r="B130" s="207"/>
      <c r="C130" s="207"/>
      <c r="D130" s="207"/>
      <c r="E130" s="207"/>
      <c r="F130" s="207"/>
      <c r="G130" s="207"/>
      <c r="H130" s="207"/>
      <c r="I130" s="207"/>
      <c r="J130" s="207"/>
      <c r="K130" s="207"/>
      <c r="L130" s="207"/>
      <c r="M130" s="207"/>
      <c r="N130" s="207"/>
      <c r="O130" s="207"/>
      <c r="P130" s="207"/>
      <c r="Q130" s="236"/>
      <c r="R130" s="194"/>
      <c r="S130" s="237"/>
      <c r="T130" s="207"/>
      <c r="U130" s="207"/>
      <c r="V130" s="140" t="s">
        <v>563</v>
      </c>
    </row>
    <row r="131" spans="1:22" ht="18" hidden="1" customHeight="1">
      <c r="A131" s="238"/>
      <c r="B131" s="239"/>
      <c r="C131" s="239"/>
      <c r="D131" s="239"/>
      <c r="E131" s="239"/>
      <c r="F131" s="239"/>
      <c r="G131" s="239"/>
      <c r="H131" s="239"/>
      <c r="I131" s="239"/>
      <c r="J131" s="239"/>
      <c r="K131" s="239"/>
      <c r="L131" s="239"/>
      <c r="M131" s="239"/>
      <c r="N131" s="239"/>
      <c r="O131" s="239"/>
      <c r="P131" s="239"/>
      <c r="Q131" s="239"/>
      <c r="R131" s="239"/>
      <c r="S131" s="239"/>
      <c r="T131" s="239"/>
      <c r="U131" s="239"/>
      <c r="V131" s="240"/>
    </row>
    <row r="132" spans="1:22" ht="18" hidden="1" customHeight="1">
      <c r="A132" s="196"/>
      <c r="E132" s="256" t="s">
        <v>123</v>
      </c>
      <c r="F132" s="27" t="s">
        <v>138</v>
      </c>
      <c r="G132" s="638" t="s">
        <v>555</v>
      </c>
      <c r="H132" s="638"/>
      <c r="I132" s="203" t="s">
        <v>353</v>
      </c>
      <c r="J132" s="639" t="s">
        <v>434</v>
      </c>
      <c r="K132" s="639"/>
      <c r="V132" s="197"/>
    </row>
    <row r="133" spans="1:22" ht="18" hidden="1" customHeight="1">
      <c r="A133" s="196"/>
      <c r="F133" s="27" t="s">
        <v>138</v>
      </c>
      <c r="G133" s="639">
        <f>S112</f>
        <v>40000</v>
      </c>
      <c r="H133" s="639"/>
      <c r="I133" s="203" t="s">
        <v>353</v>
      </c>
      <c r="J133" s="639" t="str">
        <f>S113</f>
        <v>-</v>
      </c>
      <c r="K133" s="639"/>
      <c r="V133" s="197"/>
    </row>
    <row r="134" spans="1:22" ht="18" hidden="1" customHeight="1">
      <c r="A134" s="196"/>
      <c r="F134" s="27" t="s">
        <v>138</v>
      </c>
      <c r="G134" s="637" t="e">
        <f>G133/J133</f>
        <v>#VALUE!</v>
      </c>
      <c r="H134" s="637"/>
      <c r="I134" s="27"/>
      <c r="J134" s="27"/>
      <c r="K134" s="27"/>
      <c r="V134" s="197"/>
    </row>
    <row r="135" spans="1:22" ht="18" hidden="1" customHeight="1">
      <c r="A135" s="196"/>
      <c r="V135" s="197"/>
    </row>
    <row r="136" spans="1:22" ht="18" hidden="1" customHeight="1">
      <c r="A136" s="196"/>
      <c r="E136" s="256" t="s">
        <v>564</v>
      </c>
      <c r="F136" s="27" t="s">
        <v>138</v>
      </c>
      <c r="G136" s="233" t="s">
        <v>506</v>
      </c>
      <c r="H136" s="233" t="s">
        <v>565</v>
      </c>
      <c r="I136" s="233" t="s">
        <v>502</v>
      </c>
      <c r="J136" s="233" t="s">
        <v>358</v>
      </c>
      <c r="K136" s="233" t="s">
        <v>504</v>
      </c>
      <c r="L136" s="233" t="s">
        <v>550</v>
      </c>
      <c r="M136" s="233" t="s">
        <v>502</v>
      </c>
      <c r="N136" s="233" t="s">
        <v>358</v>
      </c>
      <c r="O136" s="233" t="s">
        <v>523</v>
      </c>
      <c r="P136" s="27" t="s">
        <v>361</v>
      </c>
      <c r="V136" s="197"/>
    </row>
    <row r="137" spans="1:22" ht="18" hidden="1" customHeight="1">
      <c r="A137" s="196"/>
      <c r="F137" s="27" t="s">
        <v>138</v>
      </c>
      <c r="G137" s="257">
        <f>S118</f>
        <v>20</v>
      </c>
      <c r="H137" s="257" t="s">
        <v>565</v>
      </c>
      <c r="I137" s="313">
        <f>S115</f>
        <v>5</v>
      </c>
      <c r="J137" s="257" t="s">
        <v>358</v>
      </c>
      <c r="K137" s="313">
        <f>E123</f>
        <v>27.5</v>
      </c>
      <c r="L137" s="257" t="s">
        <v>550</v>
      </c>
      <c r="M137" s="313">
        <f>S115</f>
        <v>5</v>
      </c>
      <c r="N137" s="257" t="s">
        <v>358</v>
      </c>
      <c r="O137" s="313">
        <f>S116</f>
        <v>2.7235014500000001</v>
      </c>
      <c r="P137" s="27" t="s">
        <v>361</v>
      </c>
      <c r="V137" s="197"/>
    </row>
    <row r="138" spans="1:22" ht="18" hidden="1" customHeight="1">
      <c r="A138" s="196"/>
      <c r="F138" s="27" t="s">
        <v>138</v>
      </c>
      <c r="G138" s="640">
        <f>G137*((I137+K137)/(M137+O137))</f>
        <v>84.158720524354905</v>
      </c>
      <c r="H138" s="640"/>
      <c r="I138" s="254"/>
      <c r="J138" s="254"/>
      <c r="K138" s="254"/>
      <c r="L138" s="254"/>
      <c r="M138" s="254"/>
      <c r="N138" s="254"/>
      <c r="O138" s="254"/>
      <c r="V138" s="197"/>
    </row>
    <row r="139" spans="1:22" ht="18" hidden="1" customHeight="1">
      <c r="A139" s="196"/>
      <c r="V139" s="197"/>
    </row>
    <row r="140" spans="1:22" ht="18" hidden="1" customHeight="1">
      <c r="A140" s="196"/>
      <c r="E140" s="256" t="s">
        <v>566</v>
      </c>
      <c r="F140" s="27" t="e">
        <f>IF(D141&gt;G141,"&gt;","&lt;")</f>
        <v>#VALUE!</v>
      </c>
      <c r="G140" s="308" t="s">
        <v>123</v>
      </c>
      <c r="V140" s="197"/>
    </row>
    <row r="141" spans="1:22" ht="18" hidden="1" customHeight="1">
      <c r="A141" s="196"/>
      <c r="D141" s="637">
        <f>G138</f>
        <v>84.158720524354905</v>
      </c>
      <c r="E141" s="637"/>
      <c r="F141" s="27" t="e">
        <f>F140</f>
        <v>#VALUE!</v>
      </c>
      <c r="G141" s="637" t="e">
        <f>G134</f>
        <v>#VALUE!</v>
      </c>
      <c r="H141" s="637"/>
      <c r="V141" s="197"/>
    </row>
    <row r="142" spans="1:22" ht="18" hidden="1" customHeight="1">
      <c r="A142" s="196"/>
      <c r="E142" s="256" t="s">
        <v>489</v>
      </c>
      <c r="G142" s="18" t="e">
        <f>IF(F140="&gt;","Suitably Dimentioned","Under Dimentioned")</f>
        <v>#VALUE!</v>
      </c>
      <c r="V142" s="197"/>
    </row>
    <row r="143" spans="1:22" ht="18" hidden="1" customHeight="1">
      <c r="A143" s="196"/>
      <c r="V143" s="197"/>
    </row>
    <row r="144" spans="1:22" ht="18" hidden="1" customHeight="1">
      <c r="A144" s="196"/>
      <c r="V144" s="197"/>
    </row>
    <row r="145" spans="1:22" ht="18" hidden="1" customHeight="1">
      <c r="A145" s="196"/>
      <c r="V145" s="197"/>
    </row>
    <row r="146" spans="1:22" ht="18" hidden="1" customHeight="1">
      <c r="A146" s="196"/>
      <c r="V146" s="197"/>
    </row>
    <row r="147" spans="1:22" ht="18" hidden="1" customHeight="1">
      <c r="A147" s="196"/>
      <c r="V147" s="197"/>
    </row>
    <row r="148" spans="1:22" ht="18" hidden="1" customHeight="1">
      <c r="A148" s="196"/>
      <c r="V148" s="197"/>
    </row>
    <row r="149" spans="1:22" ht="18" hidden="1" customHeight="1">
      <c r="A149" s="196"/>
      <c r="V149" s="197"/>
    </row>
    <row r="150" spans="1:22" ht="18" hidden="1" customHeight="1">
      <c r="A150" s="196"/>
      <c r="V150" s="197"/>
    </row>
    <row r="151" spans="1:22" ht="18" hidden="1" customHeight="1">
      <c r="A151" s="196"/>
      <c r="V151" s="197"/>
    </row>
    <row r="152" spans="1:22" ht="18" hidden="1" customHeight="1">
      <c r="A152" s="196"/>
      <c r="V152" s="197"/>
    </row>
    <row r="153" spans="1:22" ht="18" hidden="1" customHeight="1">
      <c r="A153" s="196"/>
      <c r="V153" s="197"/>
    </row>
    <row r="154" spans="1:22" ht="18" hidden="1" customHeight="1">
      <c r="A154" s="196"/>
      <c r="V154" s="197"/>
    </row>
    <row r="155" spans="1:22" ht="18" hidden="1" customHeight="1">
      <c r="A155" s="196"/>
      <c r="V155" s="197"/>
    </row>
    <row r="156" spans="1:22" ht="18" hidden="1" customHeight="1">
      <c r="A156" s="196"/>
      <c r="V156" s="197"/>
    </row>
    <row r="157" spans="1:22" ht="18" hidden="1" customHeight="1">
      <c r="A157" s="196"/>
      <c r="V157" s="197"/>
    </row>
    <row r="158" spans="1:22" ht="18" hidden="1" customHeight="1">
      <c r="A158" s="196"/>
      <c r="V158" s="197"/>
    </row>
    <row r="159" spans="1:22" ht="18" hidden="1" customHeight="1">
      <c r="A159" s="196"/>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s="14" customFormat="1" ht="18" hidden="1" customHeight="1">
      <c r="A174" s="206"/>
      <c r="B174" s="207"/>
      <c r="C174" s="207"/>
      <c r="D174" s="207"/>
      <c r="E174" s="207"/>
      <c r="F174" s="207"/>
      <c r="G174" s="207"/>
      <c r="H174" s="207"/>
      <c r="I174" s="207"/>
      <c r="J174" s="207"/>
      <c r="K174" s="207"/>
      <c r="L174" s="207"/>
      <c r="M174" s="207"/>
      <c r="N174" s="207"/>
      <c r="O174" s="207"/>
      <c r="P174" s="207"/>
      <c r="Q174" s="236"/>
      <c r="R174" s="194"/>
      <c r="S174" s="237"/>
      <c r="T174" s="207"/>
      <c r="U174" s="207"/>
      <c r="V174" s="140" t="s">
        <v>563</v>
      </c>
    </row>
    <row r="175" spans="1:22" ht="18" hidden="1" customHeight="1">
      <c r="A175" s="238"/>
      <c r="B175" s="239"/>
      <c r="C175" s="239"/>
      <c r="D175" s="239"/>
      <c r="E175" s="239"/>
      <c r="F175" s="239"/>
      <c r="G175" s="239"/>
      <c r="H175" s="239"/>
      <c r="I175" s="239"/>
      <c r="J175" s="239"/>
      <c r="K175" s="239"/>
      <c r="L175" s="239"/>
      <c r="M175" s="239"/>
      <c r="N175" s="239"/>
      <c r="O175" s="239"/>
      <c r="P175" s="239"/>
      <c r="Q175" s="239"/>
      <c r="R175" s="239"/>
      <c r="S175" s="239"/>
      <c r="T175" s="239"/>
      <c r="U175" s="239"/>
      <c r="V175" s="240"/>
    </row>
    <row r="176" spans="1:22" ht="18" hidden="1" customHeight="1">
      <c r="A176" s="196"/>
      <c r="B176" s="650" t="str">
        <f>B88</f>
        <v>T1</v>
      </c>
      <c r="C176" s="651"/>
      <c r="D176" s="663" t="str">
        <f>D88</f>
        <v>Core1</v>
      </c>
      <c r="E176" s="664"/>
      <c r="F176" s="267"/>
      <c r="H176" s="639">
        <f>H88</f>
        <v>0</v>
      </c>
      <c r="I176" s="639"/>
      <c r="J176" s="639"/>
      <c r="K176" s="639"/>
      <c r="L176" s="639"/>
      <c r="M176" s="639"/>
      <c r="P176" s="198"/>
      <c r="S176" s="199" t="s">
        <v>398</v>
      </c>
      <c r="T176" s="658" t="str">
        <f>T88</f>
        <v>REF650</v>
      </c>
      <c r="U176" s="659"/>
      <c r="V176" s="197"/>
    </row>
    <row r="177" spans="1:23" ht="18" hidden="1" customHeight="1">
      <c r="A177" s="196"/>
      <c r="B177" s="660">
        <f>B89</f>
        <v>0</v>
      </c>
      <c r="C177" s="660"/>
      <c r="D177" s="665"/>
      <c r="E177" s="666"/>
      <c r="F177" s="267"/>
      <c r="T177" s="658">
        <f>T89</f>
        <v>0</v>
      </c>
      <c r="U177" s="659"/>
      <c r="V177" s="197"/>
    </row>
    <row r="178" spans="1:23" ht="18" hidden="1" customHeight="1">
      <c r="A178" s="196"/>
      <c r="H178" s="661" t="s">
        <v>401</v>
      </c>
      <c r="I178" s="661"/>
      <c r="J178" s="661" t="s">
        <v>402</v>
      </c>
      <c r="K178" s="661"/>
      <c r="L178" s="662" t="s">
        <v>403</v>
      </c>
      <c r="M178" s="662"/>
      <c r="T178" s="658">
        <f>T90</f>
        <v>0</v>
      </c>
      <c r="U178" s="659"/>
      <c r="V178" s="197"/>
    </row>
    <row r="179" spans="1:23" ht="18" hidden="1" customHeight="1">
      <c r="A179" s="196"/>
      <c r="B179" s="47" t="s">
        <v>404</v>
      </c>
      <c r="H179" s="650">
        <f>H91</f>
        <v>1250</v>
      </c>
      <c r="I179" s="651"/>
      <c r="J179" s="650" t="str">
        <f>J91</f>
        <v>-</v>
      </c>
      <c r="K179" s="651"/>
      <c r="L179" s="652" t="str">
        <f>L91</f>
        <v>-</v>
      </c>
      <c r="M179" s="653"/>
      <c r="N179" s="203" t="s">
        <v>353</v>
      </c>
      <c r="O179" s="268">
        <f>O91</f>
        <v>1</v>
      </c>
      <c r="P179" s="27" t="s">
        <v>9</v>
      </c>
      <c r="R179" s="267"/>
      <c r="S179" s="267"/>
      <c r="V179" s="197"/>
    </row>
    <row r="180" spans="1:23" ht="18" hidden="1" customHeight="1">
      <c r="A180" s="196"/>
      <c r="B180" s="47" t="s">
        <v>405</v>
      </c>
      <c r="H180" s="14"/>
      <c r="I180" s="14"/>
      <c r="L180" s="650" t="str">
        <f>J92</f>
        <v>PX-B</v>
      </c>
      <c r="M180" s="651"/>
      <c r="V180" s="197"/>
    </row>
    <row r="181" spans="1:23" ht="18" hidden="1" customHeight="1">
      <c r="A181" s="196"/>
      <c r="B181" s="47" t="s">
        <v>407</v>
      </c>
      <c r="K181" s="120" t="s">
        <v>508</v>
      </c>
      <c r="L181" s="940">
        <v>3</v>
      </c>
      <c r="M181" s="941"/>
      <c r="N181" s="204" t="s">
        <v>344</v>
      </c>
      <c r="V181" s="197"/>
    </row>
    <row r="182" spans="1:23" ht="18" hidden="1" customHeight="1">
      <c r="A182" s="196"/>
      <c r="B182" s="47" t="s">
        <v>409</v>
      </c>
      <c r="K182" s="120" t="s">
        <v>509</v>
      </c>
      <c r="L182" s="940">
        <v>300</v>
      </c>
      <c r="M182" s="941"/>
      <c r="N182" s="14" t="s">
        <v>316</v>
      </c>
      <c r="T182" s="307"/>
      <c r="U182" s="18"/>
      <c r="V182" s="197"/>
      <c r="W182" s="30" t="e">
        <f>G230</f>
        <v>#VALUE!</v>
      </c>
    </row>
    <row r="183" spans="1:23" ht="18" hidden="1" customHeight="1">
      <c r="A183" s="196"/>
      <c r="B183" s="14" t="s">
        <v>412</v>
      </c>
      <c r="K183" s="120" t="s">
        <v>413</v>
      </c>
      <c r="L183" s="940">
        <v>75</v>
      </c>
      <c r="M183" s="941"/>
      <c r="N183" s="14" t="s">
        <v>414</v>
      </c>
      <c r="V183" s="197"/>
    </row>
    <row r="184" spans="1:23" ht="18" hidden="1" customHeight="1">
      <c r="A184" s="196"/>
      <c r="V184" s="197"/>
    </row>
    <row r="185" spans="1:23" ht="18" hidden="1" customHeight="1">
      <c r="A185" s="205" t="s">
        <v>415</v>
      </c>
      <c r="V185" s="197"/>
    </row>
    <row r="186" spans="1:23" ht="18" hidden="1" customHeight="1">
      <c r="A186" s="196"/>
      <c r="V186" s="197"/>
    </row>
    <row r="187" spans="1:23" ht="18" hidden="1" customHeight="1">
      <c r="A187" s="196"/>
      <c r="B187" s="141" t="s">
        <v>416</v>
      </c>
      <c r="C187" s="285"/>
      <c r="D187" s="146" t="str">
        <f>T176</f>
        <v>REF650</v>
      </c>
      <c r="E187" s="239"/>
      <c r="F187" s="239"/>
      <c r="G187" s="239"/>
      <c r="H187" s="145"/>
      <c r="I187" s="272" t="s">
        <v>138</v>
      </c>
      <c r="J187" s="648">
        <f>J99</f>
        <v>0.02</v>
      </c>
      <c r="K187" s="649"/>
      <c r="L187" s="3" t="s">
        <v>168</v>
      </c>
      <c r="N187" s="209" t="s">
        <v>521</v>
      </c>
      <c r="V187" s="197"/>
    </row>
    <row r="188" spans="1:23" ht="18" hidden="1" customHeight="1">
      <c r="A188" s="196"/>
      <c r="B188" s="96" t="s">
        <v>416</v>
      </c>
      <c r="D188" s="308">
        <f>T177</f>
        <v>0</v>
      </c>
      <c r="I188" s="189" t="s">
        <v>138</v>
      </c>
      <c r="J188" s="642">
        <f>J100</f>
        <v>0</v>
      </c>
      <c r="K188" s="643"/>
      <c r="L188" s="210" t="s">
        <v>168</v>
      </c>
      <c r="P188" s="256"/>
      <c r="V188" s="197"/>
    </row>
    <row r="189" spans="1:23" ht="18" hidden="1" customHeight="1">
      <c r="A189" s="196"/>
      <c r="B189" s="96" t="s">
        <v>416</v>
      </c>
      <c r="C189" s="14"/>
      <c r="D189" s="47">
        <f>T178</f>
        <v>0</v>
      </c>
      <c r="E189" s="14"/>
      <c r="G189" s="211"/>
      <c r="H189" s="27"/>
      <c r="I189" s="101" t="s">
        <v>138</v>
      </c>
      <c r="J189" s="644">
        <f>J101</f>
        <v>0</v>
      </c>
      <c r="K189" s="645"/>
      <c r="L189" s="214" t="s">
        <v>168</v>
      </c>
      <c r="N189" s="28" t="s">
        <v>502</v>
      </c>
      <c r="O189" s="27" t="s">
        <v>138</v>
      </c>
      <c r="P189" s="27" t="s">
        <v>522</v>
      </c>
      <c r="Q189" s="27" t="s">
        <v>326</v>
      </c>
      <c r="R189" s="27" t="s">
        <v>522</v>
      </c>
      <c r="S189" s="27" t="s">
        <v>326</v>
      </c>
      <c r="T189" s="27" t="s">
        <v>431</v>
      </c>
      <c r="V189" s="197"/>
    </row>
    <row r="190" spans="1:23" ht="18" hidden="1" customHeight="1">
      <c r="A190" s="196"/>
      <c r="B190" s="196" t="s">
        <v>423</v>
      </c>
      <c r="C190" s="14"/>
      <c r="D190" s="14"/>
      <c r="E190" s="14"/>
      <c r="H190" s="27"/>
      <c r="I190" s="101" t="s">
        <v>138</v>
      </c>
      <c r="J190" s="646">
        <f>J102</f>
        <v>2.7035014500000001</v>
      </c>
      <c r="K190" s="647"/>
      <c r="L190" s="309" t="s">
        <v>168</v>
      </c>
      <c r="O190" s="27" t="s">
        <v>138</v>
      </c>
      <c r="P190" s="27">
        <f>O179</f>
        <v>1</v>
      </c>
      <c r="Q190" s="27" t="s">
        <v>326</v>
      </c>
      <c r="R190" s="27">
        <f>O179</f>
        <v>1</v>
      </c>
      <c r="S190" s="27" t="s">
        <v>326</v>
      </c>
      <c r="T190" s="27">
        <f>L181</f>
        <v>3</v>
      </c>
      <c r="V190" s="197"/>
    </row>
    <row r="191" spans="1:23" ht="18" hidden="1" customHeight="1">
      <c r="A191" s="196"/>
      <c r="B191" s="1" t="s">
        <v>424</v>
      </c>
      <c r="C191" s="2"/>
      <c r="D191" s="2"/>
      <c r="E191" s="2"/>
      <c r="F191" s="208"/>
      <c r="G191" s="208"/>
      <c r="H191" s="236" t="s">
        <v>523</v>
      </c>
      <c r="I191" s="195" t="s">
        <v>138</v>
      </c>
      <c r="J191" s="648">
        <f>SUM(J187:J190)</f>
        <v>2.7235014500000001</v>
      </c>
      <c r="K191" s="649"/>
      <c r="L191" s="3" t="s">
        <v>168</v>
      </c>
      <c r="O191" s="27" t="s">
        <v>138</v>
      </c>
      <c r="P191" s="637">
        <f>P190*R190*T190</f>
        <v>3</v>
      </c>
      <c r="Q191" s="639"/>
      <c r="R191" s="27" t="s">
        <v>168</v>
      </c>
      <c r="S191" s="27"/>
      <c r="T191" s="27"/>
      <c r="V191" s="197"/>
    </row>
    <row r="192" spans="1:23" ht="18" hidden="1" customHeight="1">
      <c r="A192" s="196"/>
      <c r="B192" s="47"/>
      <c r="C192" s="47"/>
      <c r="D192" s="47"/>
      <c r="E192" s="47"/>
      <c r="H192" s="27"/>
      <c r="I192" s="28"/>
      <c r="J192" s="211"/>
      <c r="L192" s="47"/>
      <c r="O192" s="27"/>
      <c r="P192" s="223"/>
      <c r="Q192" s="27"/>
      <c r="R192" s="216"/>
      <c r="S192" s="27"/>
      <c r="V192" s="197"/>
    </row>
    <row r="193" spans="1:25" ht="18" hidden="1" customHeight="1">
      <c r="A193" s="964" t="s">
        <v>547</v>
      </c>
      <c r="B193" s="965"/>
      <c r="C193" s="965"/>
      <c r="D193" s="965"/>
      <c r="E193" s="965"/>
      <c r="F193" s="965"/>
      <c r="G193" s="965"/>
      <c r="H193" s="965"/>
      <c r="I193" s="965"/>
      <c r="J193" s="965"/>
      <c r="K193" s="965"/>
      <c r="L193" s="965"/>
      <c r="M193" s="965"/>
      <c r="N193" s="965"/>
      <c r="O193" s="965"/>
      <c r="P193" s="965"/>
      <c r="Q193" s="965"/>
      <c r="R193" s="965"/>
      <c r="S193" s="965"/>
      <c r="T193" s="965"/>
      <c r="U193" s="965"/>
      <c r="V193" s="966"/>
    </row>
    <row r="194" spans="1:25" ht="18" hidden="1" customHeight="1">
      <c r="A194" s="967"/>
      <c r="B194" s="965"/>
      <c r="C194" s="965"/>
      <c r="D194" s="965"/>
      <c r="E194" s="965"/>
      <c r="F194" s="965"/>
      <c r="G194" s="965"/>
      <c r="H194" s="965"/>
      <c r="I194" s="965"/>
      <c r="J194" s="965"/>
      <c r="K194" s="965"/>
      <c r="L194" s="965"/>
      <c r="M194" s="965"/>
      <c r="N194" s="965"/>
      <c r="O194" s="965"/>
      <c r="P194" s="965"/>
      <c r="Q194" s="965"/>
      <c r="R194" s="965"/>
      <c r="S194" s="965"/>
      <c r="T194" s="965"/>
      <c r="U194" s="965"/>
      <c r="V194" s="966"/>
    </row>
    <row r="195" spans="1:25" ht="18" hidden="1" customHeight="1">
      <c r="A195" s="196"/>
      <c r="Q195" s="223"/>
      <c r="R195" s="204"/>
      <c r="V195" s="197"/>
    </row>
    <row r="196" spans="1:25" ht="18" hidden="1" customHeight="1">
      <c r="A196" s="196"/>
      <c r="C196" s="28" t="s">
        <v>484</v>
      </c>
      <c r="D196" s="28" t="s">
        <v>138</v>
      </c>
      <c r="E196" s="28" t="s">
        <v>548</v>
      </c>
      <c r="F196" s="28" t="s">
        <v>504</v>
      </c>
      <c r="G196" s="28" t="s">
        <v>358</v>
      </c>
      <c r="H196" s="28" t="s">
        <v>502</v>
      </c>
      <c r="I196" s="28" t="s">
        <v>549</v>
      </c>
      <c r="J196" s="28" t="s">
        <v>506</v>
      </c>
      <c r="K196" s="28" t="s">
        <v>550</v>
      </c>
      <c r="L196" s="28" t="s">
        <v>522</v>
      </c>
      <c r="M196" s="28" t="s">
        <v>326</v>
      </c>
      <c r="N196" s="28">
        <v>1.3</v>
      </c>
      <c r="O196" s="47" t="s">
        <v>361</v>
      </c>
      <c r="V196" s="197"/>
    </row>
    <row r="197" spans="1:25" ht="18" hidden="1" customHeight="1">
      <c r="A197" s="572" t="s">
        <v>551</v>
      </c>
      <c r="C197" s="28"/>
      <c r="D197" s="28"/>
      <c r="E197" s="14"/>
      <c r="F197" s="14"/>
      <c r="G197" s="14"/>
      <c r="H197" s="14"/>
      <c r="I197" s="14"/>
      <c r="J197" s="14"/>
      <c r="K197" s="14"/>
      <c r="L197" s="14"/>
      <c r="M197" s="14"/>
      <c r="N197" s="14"/>
      <c r="O197" s="14"/>
      <c r="V197" s="197"/>
    </row>
    <row r="198" spans="1:25" ht="18" hidden="1" customHeight="1">
      <c r="A198" s="196"/>
      <c r="C198" s="28" t="s">
        <v>504</v>
      </c>
      <c r="D198" s="28" t="s">
        <v>138</v>
      </c>
      <c r="E198" s="28" t="s">
        <v>548</v>
      </c>
      <c r="F198" s="28">
        <v>1.3</v>
      </c>
      <c r="G198" s="28" t="s">
        <v>326</v>
      </c>
      <c r="H198" s="638" t="s">
        <v>484</v>
      </c>
      <c r="I198" s="920"/>
      <c r="J198" s="28" t="s">
        <v>326</v>
      </c>
      <c r="K198" s="28" t="s">
        <v>522</v>
      </c>
      <c r="L198" s="28" t="s">
        <v>552</v>
      </c>
      <c r="M198" s="28" t="s">
        <v>506</v>
      </c>
      <c r="N198" s="47" t="s">
        <v>553</v>
      </c>
      <c r="O198" s="120" t="s">
        <v>502</v>
      </c>
      <c r="V198" s="197"/>
    </row>
    <row r="199" spans="1:25" ht="18" hidden="1" customHeight="1">
      <c r="A199" s="196"/>
      <c r="V199" s="197"/>
    </row>
    <row r="200" spans="1:25" ht="18" hidden="1" customHeight="1">
      <c r="A200" s="180"/>
      <c r="B200" s="5"/>
      <c r="C200" s="47" t="s">
        <v>554</v>
      </c>
      <c r="D200" s="14"/>
      <c r="E200" s="14"/>
      <c r="F200" s="14"/>
      <c r="G200" s="14"/>
      <c r="H200" s="291"/>
      <c r="I200" s="120"/>
      <c r="J200" s="291"/>
      <c r="K200" s="291"/>
      <c r="L200" s="14"/>
      <c r="M200" s="14"/>
      <c r="N200" s="14"/>
      <c r="O200" s="14"/>
      <c r="P200" s="14"/>
      <c r="Q200" s="120" t="s">
        <v>555</v>
      </c>
      <c r="R200" s="102" t="s">
        <v>138</v>
      </c>
      <c r="S200" s="638">
        <v>40000</v>
      </c>
      <c r="T200" s="638"/>
      <c r="U200" s="47" t="s">
        <v>9</v>
      </c>
      <c r="V200" s="197"/>
    </row>
    <row r="201" spans="1:25" ht="18" hidden="1" customHeight="1">
      <c r="A201" s="180"/>
      <c r="B201" s="5"/>
      <c r="C201" s="47" t="s">
        <v>556</v>
      </c>
      <c r="D201" s="14"/>
      <c r="E201" s="14"/>
      <c r="F201" s="18"/>
      <c r="G201" s="18"/>
      <c r="H201" s="291"/>
      <c r="I201" s="120"/>
      <c r="J201" s="291"/>
      <c r="K201" s="291"/>
      <c r="L201" s="14"/>
      <c r="M201" s="14"/>
      <c r="N201" s="14"/>
      <c r="O201" s="14"/>
      <c r="P201" s="14"/>
      <c r="Q201" s="120" t="s">
        <v>434</v>
      </c>
      <c r="R201" s="102" t="s">
        <v>138</v>
      </c>
      <c r="S201" s="638" t="str">
        <f>L179</f>
        <v>-</v>
      </c>
      <c r="T201" s="638"/>
      <c r="U201" s="14" t="s">
        <v>9</v>
      </c>
      <c r="V201" s="197"/>
    </row>
    <row r="202" spans="1:25" ht="18" hidden="1" customHeight="1">
      <c r="A202" s="180"/>
      <c r="B202" s="5"/>
      <c r="C202" s="47" t="s">
        <v>557</v>
      </c>
      <c r="D202" s="14"/>
      <c r="E202" s="14"/>
      <c r="F202" s="18"/>
      <c r="G202" s="18"/>
      <c r="H202" s="291"/>
      <c r="I202" s="120"/>
      <c r="J202" s="291"/>
      <c r="K202" s="291"/>
      <c r="L202" s="14"/>
      <c r="M202" s="14"/>
      <c r="N202" s="14"/>
      <c r="O202" s="14"/>
      <c r="P202" s="14"/>
      <c r="Q202" s="120" t="s">
        <v>484</v>
      </c>
      <c r="R202" s="102" t="s">
        <v>138</v>
      </c>
      <c r="S202" s="638">
        <f>L182</f>
        <v>300</v>
      </c>
      <c r="T202" s="638"/>
      <c r="U202" s="14" t="s">
        <v>316</v>
      </c>
      <c r="V202" s="197"/>
    </row>
    <row r="203" spans="1:25" ht="18" hidden="1" customHeight="1">
      <c r="A203" s="180"/>
      <c r="B203" s="5"/>
      <c r="C203" s="47" t="s">
        <v>558</v>
      </c>
      <c r="D203" s="14"/>
      <c r="E203" s="14"/>
      <c r="F203" s="18"/>
      <c r="G203" s="18"/>
      <c r="H203" s="291"/>
      <c r="I203" s="120"/>
      <c r="J203" s="291"/>
      <c r="K203" s="291"/>
      <c r="L203" s="14"/>
      <c r="M203" s="14"/>
      <c r="N203" s="14"/>
      <c r="O203" s="14"/>
      <c r="P203" s="14"/>
      <c r="Q203" s="120" t="s">
        <v>502</v>
      </c>
      <c r="R203" s="102" t="s">
        <v>138</v>
      </c>
      <c r="S203" s="641">
        <f>P191</f>
        <v>3</v>
      </c>
      <c r="T203" s="638"/>
      <c r="U203" s="14" t="s">
        <v>168</v>
      </c>
      <c r="V203" s="197"/>
      <c r="W203" s="291"/>
      <c r="X203" s="291"/>
      <c r="Y203" s="291"/>
    </row>
    <row r="204" spans="1:25" ht="18" hidden="1" customHeight="1">
      <c r="A204" s="180"/>
      <c r="B204" s="5"/>
      <c r="C204" s="47" t="s">
        <v>559</v>
      </c>
      <c r="D204" s="14"/>
      <c r="E204" s="14"/>
      <c r="F204" s="18"/>
      <c r="G204" s="18"/>
      <c r="H204" s="291"/>
      <c r="I204" s="120"/>
      <c r="J204" s="291"/>
      <c r="K204" s="291"/>
      <c r="L204" s="14"/>
      <c r="M204" s="14"/>
      <c r="N204" s="14"/>
      <c r="O204" s="14"/>
      <c r="P204" s="14"/>
      <c r="Q204" s="120" t="s">
        <v>523</v>
      </c>
      <c r="R204" s="102" t="s">
        <v>138</v>
      </c>
      <c r="S204" s="641">
        <f>J191</f>
        <v>2.7235014500000001</v>
      </c>
      <c r="T204" s="638"/>
      <c r="U204" s="14" t="s">
        <v>168</v>
      </c>
      <c r="V204" s="197"/>
      <c r="X204" s="291"/>
      <c r="Y204" s="291"/>
    </row>
    <row r="205" spans="1:25" ht="18" hidden="1" customHeight="1">
      <c r="A205" s="180"/>
      <c r="B205" s="5"/>
      <c r="C205" s="47" t="s">
        <v>560</v>
      </c>
      <c r="D205" s="14"/>
      <c r="E205" s="14"/>
      <c r="F205" s="14"/>
      <c r="G205" s="14"/>
      <c r="H205" s="291"/>
      <c r="I205" s="120"/>
      <c r="J205" s="291"/>
      <c r="K205" s="291"/>
      <c r="L205" s="14"/>
      <c r="M205" s="14"/>
      <c r="N205" s="14"/>
      <c r="O205" s="14"/>
      <c r="P205" s="14"/>
      <c r="Q205" s="120" t="s">
        <v>522</v>
      </c>
      <c r="R205" s="102" t="s">
        <v>138</v>
      </c>
      <c r="S205" s="638">
        <f>O179</f>
        <v>1</v>
      </c>
      <c r="T205" s="638"/>
      <c r="U205" s="14" t="s">
        <v>9</v>
      </c>
      <c r="V205" s="197"/>
      <c r="X205" s="291"/>
      <c r="Y205" s="291"/>
    </row>
    <row r="206" spans="1:25" ht="18" hidden="1" customHeight="1">
      <c r="A206" s="180"/>
      <c r="B206" s="5"/>
      <c r="C206" s="47" t="s">
        <v>561</v>
      </c>
      <c r="D206" s="14"/>
      <c r="E206" s="14"/>
      <c r="F206" s="14"/>
      <c r="G206" s="14"/>
      <c r="H206" s="291"/>
      <c r="I206" s="120"/>
      <c r="J206" s="291"/>
      <c r="K206" s="291"/>
      <c r="L206" s="14"/>
      <c r="M206" s="14"/>
      <c r="N206" s="14"/>
      <c r="O206" s="14"/>
      <c r="P206" s="14"/>
      <c r="Q206" s="120" t="s">
        <v>506</v>
      </c>
      <c r="R206" s="102" t="s">
        <v>138</v>
      </c>
      <c r="S206" s="638">
        <v>20</v>
      </c>
      <c r="T206" s="638"/>
      <c r="U206" s="47"/>
      <c r="V206" s="197"/>
    </row>
    <row r="207" spans="1:25" ht="18" hidden="1" customHeight="1">
      <c r="A207" s="311"/>
      <c r="B207" s="291"/>
      <c r="C207" s="47" t="s">
        <v>503</v>
      </c>
      <c r="D207" s="14"/>
      <c r="E207" s="14"/>
      <c r="F207" s="14"/>
      <c r="G207" s="14"/>
      <c r="H207" s="291"/>
      <c r="I207" s="120"/>
      <c r="J207" s="291"/>
      <c r="K207" s="291"/>
      <c r="L207" s="14"/>
      <c r="M207" s="14"/>
      <c r="N207" s="291"/>
      <c r="O207" s="291"/>
      <c r="P207" s="14"/>
      <c r="Q207" s="120" t="s">
        <v>504</v>
      </c>
      <c r="R207" s="14"/>
      <c r="S207" s="291"/>
      <c r="T207" s="291"/>
      <c r="U207" s="291"/>
      <c r="V207" s="312"/>
      <c r="W207" s="291"/>
      <c r="X207" s="291"/>
      <c r="Y207" s="291"/>
    </row>
    <row r="208" spans="1:25" ht="18" hidden="1" customHeight="1">
      <c r="A208" s="196"/>
      <c r="V208" s="197"/>
    </row>
    <row r="209" spans="1:22" ht="18" hidden="1" customHeight="1">
      <c r="A209" s="196"/>
      <c r="C209" s="28" t="s">
        <v>504</v>
      </c>
      <c r="D209" s="28" t="s">
        <v>138</v>
      </c>
      <c r="E209" s="28" t="s">
        <v>548</v>
      </c>
      <c r="F209" s="233">
        <v>1.3</v>
      </c>
      <c r="G209" s="233" t="s">
        <v>326</v>
      </c>
      <c r="H209" s="861" t="s">
        <v>484</v>
      </c>
      <c r="I209" s="968"/>
      <c r="J209" s="233" t="s">
        <v>326</v>
      </c>
      <c r="K209" s="233" t="s">
        <v>522</v>
      </c>
      <c r="L209" s="233" t="s">
        <v>552</v>
      </c>
      <c r="M209" s="233" t="s">
        <v>506</v>
      </c>
      <c r="N209" s="560" t="s">
        <v>553</v>
      </c>
      <c r="O209" s="233" t="s">
        <v>502</v>
      </c>
      <c r="V209" s="197"/>
    </row>
    <row r="210" spans="1:22" ht="18" hidden="1" customHeight="1">
      <c r="A210" s="196"/>
      <c r="C210" s="120"/>
      <c r="D210" s="27" t="s">
        <v>138</v>
      </c>
      <c r="E210" s="27" t="s">
        <v>548</v>
      </c>
      <c r="F210" s="257">
        <v>1.3</v>
      </c>
      <c r="G210" s="257" t="s">
        <v>326</v>
      </c>
      <c r="H210" s="969">
        <f>S202</f>
        <v>300</v>
      </c>
      <c r="I210" s="970"/>
      <c r="J210" s="257" t="s">
        <v>326</v>
      </c>
      <c r="K210" s="257">
        <f>S205</f>
        <v>1</v>
      </c>
      <c r="L210" s="257" t="s">
        <v>552</v>
      </c>
      <c r="M210" s="257">
        <f>S206</f>
        <v>20</v>
      </c>
      <c r="N210" s="474" t="s">
        <v>553</v>
      </c>
      <c r="O210" s="516">
        <f>S203</f>
        <v>3</v>
      </c>
      <c r="V210" s="197"/>
    </row>
    <row r="211" spans="1:22" ht="18" hidden="1" customHeight="1">
      <c r="A211" s="196"/>
      <c r="D211" s="27" t="s">
        <v>138</v>
      </c>
      <c r="E211" s="639">
        <f>((F210*H210)/(K210*M210))-O210</f>
        <v>16.5</v>
      </c>
      <c r="F211" s="639"/>
      <c r="G211" s="27" t="s">
        <v>168</v>
      </c>
      <c r="V211" s="197"/>
    </row>
    <row r="212" spans="1:22" ht="18" hidden="1" customHeight="1">
      <c r="A212" s="196"/>
      <c r="D212" s="27"/>
      <c r="E212" s="27"/>
      <c r="F212" s="27"/>
      <c r="G212" s="27"/>
      <c r="V212" s="197"/>
    </row>
    <row r="213" spans="1:22" ht="18" hidden="1" customHeight="1">
      <c r="A213" s="196"/>
      <c r="D213" s="27"/>
      <c r="E213" s="27"/>
      <c r="F213" s="27"/>
      <c r="G213" s="27"/>
      <c r="V213" s="197"/>
    </row>
    <row r="214" spans="1:22" ht="18" hidden="1" customHeight="1">
      <c r="A214" s="196"/>
      <c r="D214" s="27"/>
      <c r="E214" s="27"/>
      <c r="F214" s="27"/>
      <c r="G214" s="27"/>
      <c r="V214" s="197"/>
    </row>
    <row r="215" spans="1:22" ht="18" hidden="1" customHeight="1">
      <c r="A215" s="196"/>
      <c r="D215" s="27"/>
      <c r="E215" s="27"/>
      <c r="F215" s="27"/>
      <c r="G215" s="27"/>
      <c r="V215" s="197"/>
    </row>
    <row r="216" spans="1:22" ht="18" hidden="1" customHeight="1">
      <c r="A216" s="196"/>
      <c r="D216" s="27"/>
      <c r="E216" s="27"/>
      <c r="F216" s="27"/>
      <c r="G216" s="27"/>
      <c r="V216" s="197"/>
    </row>
    <row r="217" spans="1:22" ht="18" hidden="1" customHeight="1">
      <c r="A217" s="196"/>
      <c r="V217" s="197"/>
    </row>
    <row r="218" spans="1:22" s="14" customFormat="1" ht="18" hidden="1" customHeight="1">
      <c r="A218" s="206"/>
      <c r="B218" s="207"/>
      <c r="C218" s="207"/>
      <c r="D218" s="207"/>
      <c r="E218" s="207"/>
      <c r="F218" s="207"/>
      <c r="G218" s="207"/>
      <c r="H218" s="207"/>
      <c r="I218" s="207"/>
      <c r="J218" s="207"/>
      <c r="K218" s="207"/>
      <c r="L218" s="207"/>
      <c r="M218" s="207"/>
      <c r="N218" s="207"/>
      <c r="O218" s="207"/>
      <c r="P218" s="207"/>
      <c r="Q218" s="236"/>
      <c r="R218" s="194"/>
      <c r="S218" s="237"/>
      <c r="T218" s="207"/>
      <c r="U218" s="207"/>
      <c r="V218" s="140" t="s">
        <v>563</v>
      </c>
    </row>
    <row r="219" spans="1:22" ht="18" hidden="1" customHeight="1">
      <c r="A219" s="238"/>
      <c r="B219" s="239"/>
      <c r="C219" s="239"/>
      <c r="D219" s="239"/>
      <c r="E219" s="239"/>
      <c r="F219" s="239"/>
      <c r="G219" s="239"/>
      <c r="H219" s="239"/>
      <c r="I219" s="239"/>
      <c r="J219" s="239"/>
      <c r="K219" s="239"/>
      <c r="L219" s="239"/>
      <c r="M219" s="239"/>
      <c r="N219" s="239"/>
      <c r="O219" s="239"/>
      <c r="P219" s="239"/>
      <c r="Q219" s="239"/>
      <c r="R219" s="239"/>
      <c r="S219" s="239"/>
      <c r="T219" s="239"/>
      <c r="U219" s="239"/>
      <c r="V219" s="240"/>
    </row>
    <row r="220" spans="1:22" ht="18" hidden="1" customHeight="1">
      <c r="A220" s="196"/>
      <c r="E220" s="256" t="s">
        <v>123</v>
      </c>
      <c r="F220" s="27" t="s">
        <v>138</v>
      </c>
      <c r="G220" s="638" t="s">
        <v>555</v>
      </c>
      <c r="H220" s="638"/>
      <c r="I220" s="203" t="s">
        <v>353</v>
      </c>
      <c r="J220" s="639" t="s">
        <v>434</v>
      </c>
      <c r="K220" s="639"/>
      <c r="V220" s="197"/>
    </row>
    <row r="221" spans="1:22" ht="18" hidden="1" customHeight="1">
      <c r="A221" s="196"/>
      <c r="F221" s="27" t="s">
        <v>138</v>
      </c>
      <c r="G221" s="639">
        <f>S200</f>
        <v>40000</v>
      </c>
      <c r="H221" s="639"/>
      <c r="I221" s="203" t="s">
        <v>353</v>
      </c>
      <c r="J221" s="639" t="str">
        <f>S201</f>
        <v>-</v>
      </c>
      <c r="K221" s="639"/>
      <c r="V221" s="197"/>
    </row>
    <row r="222" spans="1:22" ht="18" hidden="1" customHeight="1">
      <c r="A222" s="196"/>
      <c r="F222" s="27" t="s">
        <v>138</v>
      </c>
      <c r="G222" s="637" t="e">
        <f>G221/J221</f>
        <v>#VALUE!</v>
      </c>
      <c r="H222" s="637"/>
      <c r="I222" s="27"/>
      <c r="J222" s="27"/>
      <c r="K222" s="27"/>
      <c r="V222" s="197"/>
    </row>
    <row r="223" spans="1:22" ht="18" hidden="1" customHeight="1">
      <c r="A223" s="196"/>
      <c r="V223" s="197"/>
    </row>
    <row r="224" spans="1:22" ht="18" hidden="1" customHeight="1">
      <c r="A224" s="196"/>
      <c r="E224" s="256" t="s">
        <v>564</v>
      </c>
      <c r="F224" s="27" t="s">
        <v>138</v>
      </c>
      <c r="G224" s="257" t="s">
        <v>506</v>
      </c>
      <c r="H224" s="257" t="s">
        <v>565</v>
      </c>
      <c r="I224" s="233" t="s">
        <v>502</v>
      </c>
      <c r="J224" s="233" t="s">
        <v>358</v>
      </c>
      <c r="K224" s="233" t="s">
        <v>504</v>
      </c>
      <c r="L224" s="233" t="s">
        <v>550</v>
      </c>
      <c r="M224" s="233" t="s">
        <v>502</v>
      </c>
      <c r="N224" s="233" t="s">
        <v>358</v>
      </c>
      <c r="O224" s="233" t="s">
        <v>523</v>
      </c>
      <c r="P224" s="27" t="s">
        <v>361</v>
      </c>
      <c r="V224" s="197"/>
    </row>
    <row r="225" spans="1:22" ht="18" hidden="1" customHeight="1">
      <c r="A225" s="196"/>
      <c r="F225" s="27" t="s">
        <v>138</v>
      </c>
      <c r="G225" s="257">
        <f>S206</f>
        <v>20</v>
      </c>
      <c r="H225" s="257" t="s">
        <v>565</v>
      </c>
      <c r="I225" s="313">
        <f>S203</f>
        <v>3</v>
      </c>
      <c r="J225" s="257" t="s">
        <v>358</v>
      </c>
      <c r="K225" s="313">
        <f>E211</f>
        <v>16.5</v>
      </c>
      <c r="L225" s="257" t="s">
        <v>550</v>
      </c>
      <c r="M225" s="313">
        <f>S203</f>
        <v>3</v>
      </c>
      <c r="N225" s="257" t="s">
        <v>358</v>
      </c>
      <c r="O225" s="313">
        <f>S204</f>
        <v>2.7235014500000001</v>
      </c>
      <c r="P225" s="27" t="s">
        <v>361</v>
      </c>
      <c r="V225" s="197"/>
    </row>
    <row r="226" spans="1:22" ht="18" hidden="1" customHeight="1">
      <c r="A226" s="196"/>
      <c r="F226" s="27" t="s">
        <v>138</v>
      </c>
      <c r="G226" s="640">
        <f>G225*((I225+K225)/(M225+O225))</f>
        <v>68.140106787253444</v>
      </c>
      <c r="H226" s="640"/>
      <c r="I226" s="254"/>
      <c r="J226" s="254"/>
      <c r="K226" s="254"/>
      <c r="L226" s="254"/>
      <c r="M226" s="254"/>
      <c r="N226" s="254"/>
      <c r="O226" s="254"/>
      <c r="V226" s="197"/>
    </row>
    <row r="227" spans="1:22" ht="18" hidden="1" customHeight="1">
      <c r="A227" s="196"/>
      <c r="V227" s="197"/>
    </row>
    <row r="228" spans="1:22" ht="18" hidden="1" customHeight="1">
      <c r="A228" s="196"/>
      <c r="E228" s="256" t="s">
        <v>566</v>
      </c>
      <c r="F228" s="27" t="e">
        <f>IF(D229&gt;G229,"&gt;","&lt;")</f>
        <v>#VALUE!</v>
      </c>
      <c r="G228" s="308" t="s">
        <v>123</v>
      </c>
      <c r="V228" s="197"/>
    </row>
    <row r="229" spans="1:22" ht="18" hidden="1" customHeight="1">
      <c r="A229" s="196"/>
      <c r="D229" s="637">
        <f>G226</f>
        <v>68.140106787253444</v>
      </c>
      <c r="E229" s="637"/>
      <c r="F229" s="27" t="e">
        <f>F228</f>
        <v>#VALUE!</v>
      </c>
      <c r="G229" s="637" t="e">
        <f>G222</f>
        <v>#VALUE!</v>
      </c>
      <c r="H229" s="637"/>
      <c r="V229" s="197"/>
    </row>
    <row r="230" spans="1:22" ht="18" hidden="1" customHeight="1">
      <c r="A230" s="196"/>
      <c r="E230" s="256" t="s">
        <v>489</v>
      </c>
      <c r="G230" s="18" t="e">
        <f>IF(F228="&gt;","Suitably Dimentioned","Under Dimentioned")</f>
        <v>#VALUE!</v>
      </c>
      <c r="V230" s="197"/>
    </row>
    <row r="231" spans="1:22" ht="18" hidden="1" customHeight="1">
      <c r="A231" s="196"/>
      <c r="V231" s="197"/>
    </row>
    <row r="232" spans="1:22" ht="18" hidden="1" customHeight="1">
      <c r="A232" s="196"/>
      <c r="V232" s="197"/>
    </row>
    <row r="233" spans="1:22" ht="18" hidden="1" customHeight="1">
      <c r="A233" s="196"/>
      <c r="V233" s="197"/>
    </row>
    <row r="234" spans="1:22" ht="18" hidden="1" customHeight="1">
      <c r="A234" s="196"/>
      <c r="V234" s="197"/>
    </row>
    <row r="235" spans="1:22" ht="18" hidden="1" customHeight="1">
      <c r="A235" s="196"/>
      <c r="V235" s="197"/>
    </row>
    <row r="236" spans="1:22" ht="18" hidden="1" customHeight="1">
      <c r="A236" s="196"/>
      <c r="V236" s="197"/>
    </row>
    <row r="237" spans="1:22" ht="18" hidden="1" customHeight="1">
      <c r="A237" s="196"/>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s="14" customFormat="1" ht="18" hidden="1" customHeight="1">
      <c r="A262" s="141"/>
      <c r="B262" s="285"/>
      <c r="C262" s="285"/>
      <c r="D262" s="285"/>
      <c r="E262" s="285"/>
      <c r="F262" s="285"/>
      <c r="G262" s="285"/>
      <c r="H262" s="285"/>
      <c r="I262" s="285"/>
      <c r="J262" s="285"/>
      <c r="K262" s="285"/>
      <c r="L262" s="285"/>
      <c r="M262" s="285"/>
      <c r="N262" s="285"/>
      <c r="O262" s="285"/>
      <c r="P262" s="285"/>
      <c r="Q262" s="286"/>
      <c r="R262" s="145"/>
      <c r="S262" s="287"/>
      <c r="T262" s="285"/>
      <c r="U262" s="285"/>
      <c r="V262" s="288" t="s">
        <v>563</v>
      </c>
    </row>
    <row r="263" spans="1:22" ht="18" customHeight="1">
      <c r="A263" s="196"/>
      <c r="V263" s="197"/>
    </row>
    <row r="264" spans="1:22" ht="18" customHeight="1">
      <c r="A264" s="465" t="s">
        <v>512</v>
      </c>
      <c r="B264" s="14"/>
      <c r="C264" s="14"/>
      <c r="D264" s="120"/>
      <c r="E264" s="120"/>
      <c r="F264" s="18"/>
      <c r="G264" s="18"/>
      <c r="H264" s="14"/>
      <c r="I264" s="14"/>
      <c r="J264" s="14"/>
      <c r="K264" s="14"/>
      <c r="L264" s="14"/>
      <c r="M264" s="14"/>
      <c r="N264" s="14"/>
      <c r="O264" s="14"/>
      <c r="P264" s="28"/>
      <c r="Q264" s="120"/>
      <c r="R264" s="47"/>
      <c r="S264" s="218"/>
      <c r="T264" s="271"/>
      <c r="U264" s="14"/>
      <c r="V264" s="97"/>
    </row>
    <row r="265" spans="1:22" ht="56.4" customHeight="1">
      <c r="A265" s="782" t="s">
        <v>97</v>
      </c>
      <c r="B265" s="782"/>
      <c r="C265" s="612"/>
      <c r="D265" s="782" t="s">
        <v>98</v>
      </c>
      <c r="E265" s="782"/>
      <c r="F265" s="782"/>
      <c r="G265" s="782" t="s">
        <v>99</v>
      </c>
      <c r="H265" s="782"/>
      <c r="I265" s="782" t="s">
        <v>100</v>
      </c>
      <c r="J265" s="782"/>
      <c r="K265" s="614" t="s">
        <v>101</v>
      </c>
      <c r="L265" s="615"/>
      <c r="M265" s="614" t="s">
        <v>102</v>
      </c>
      <c r="N265" s="615"/>
      <c r="O265" s="614" t="s">
        <v>103</v>
      </c>
      <c r="P265" s="615"/>
      <c r="Q265" s="614" t="s">
        <v>104</v>
      </c>
      <c r="R265" s="615"/>
      <c r="S265" s="782" t="s">
        <v>105</v>
      </c>
      <c r="T265" s="782"/>
      <c r="U265" s="782"/>
      <c r="V265" s="782"/>
    </row>
    <row r="266" spans="1:22" ht="18" customHeight="1">
      <c r="A266" s="612" t="str">
        <f>B7</f>
        <v>T1</v>
      </c>
      <c r="B266" s="623" t="str">
        <f>D7</f>
        <v>Core1</v>
      </c>
      <c r="C266" s="623"/>
      <c r="D266" s="613">
        <f>H10</f>
        <v>1250</v>
      </c>
      <c r="E266" s="613"/>
      <c r="F266" s="624">
        <f>O10</f>
        <v>1</v>
      </c>
      <c r="G266" s="627">
        <f>'CT-VT Burdens'!S19</f>
        <v>80</v>
      </c>
      <c r="H266" s="783">
        <f>'CT-VT Burdens'!S10</f>
        <v>2.5</v>
      </c>
      <c r="I266" s="783" t="str">
        <f>H11</f>
        <v>PX-B</v>
      </c>
      <c r="J266" s="783"/>
      <c r="K266" s="612">
        <f>H12</f>
        <v>5</v>
      </c>
      <c r="L266" s="612"/>
      <c r="M266" s="612">
        <f>H13</f>
        <v>750</v>
      </c>
      <c r="N266" s="612"/>
      <c r="O266" s="613">
        <f>H14</f>
        <v>60</v>
      </c>
      <c r="P266" s="613"/>
      <c r="Q266" s="629" t="str">
        <f>T7</f>
        <v>REF650</v>
      </c>
      <c r="R266" s="629"/>
      <c r="S266" s="628" t="str">
        <f>G56</f>
        <v>Suitably Dimentioned</v>
      </c>
      <c r="T266" s="628"/>
      <c r="U266" s="628"/>
      <c r="V266" s="628"/>
    </row>
    <row r="267" spans="1:22" ht="18" customHeight="1">
      <c r="A267" s="612"/>
      <c r="B267" s="623"/>
      <c r="C267" s="623"/>
      <c r="D267" s="613" t="s">
        <v>7</v>
      </c>
      <c r="E267" s="613"/>
      <c r="F267" s="625"/>
      <c r="G267" s="627"/>
      <c r="H267" s="613"/>
      <c r="I267" s="783"/>
      <c r="J267" s="783"/>
      <c r="K267" s="612" t="s">
        <v>7</v>
      </c>
      <c r="L267" s="612"/>
      <c r="M267" s="612" t="s">
        <v>7</v>
      </c>
      <c r="N267" s="612"/>
      <c r="O267" s="613" t="s">
        <v>7</v>
      </c>
      <c r="P267" s="613"/>
      <c r="Q267" s="629"/>
      <c r="R267" s="629"/>
      <c r="S267" s="628" t="s">
        <v>7</v>
      </c>
      <c r="T267" s="628"/>
      <c r="U267" s="628"/>
      <c r="V267" s="628"/>
    </row>
    <row r="268" spans="1:22" ht="18" customHeight="1">
      <c r="A268" s="612"/>
      <c r="B268" s="623"/>
      <c r="C268" s="623"/>
      <c r="D268" s="613" t="s">
        <v>7</v>
      </c>
      <c r="E268" s="613"/>
      <c r="F268" s="626"/>
      <c r="G268" s="627"/>
      <c r="H268" s="613"/>
      <c r="I268" s="783"/>
      <c r="J268" s="783"/>
      <c r="K268" s="612" t="s">
        <v>7</v>
      </c>
      <c r="L268" s="612"/>
      <c r="M268" s="612" t="s">
        <v>7</v>
      </c>
      <c r="N268" s="612"/>
      <c r="O268" s="613" t="s">
        <v>7</v>
      </c>
      <c r="P268" s="613"/>
      <c r="Q268" s="629"/>
      <c r="R268" s="629"/>
      <c r="S268" s="628" t="s">
        <v>7</v>
      </c>
      <c r="T268" s="628"/>
      <c r="U268" s="628"/>
      <c r="V268" s="628"/>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s="14" customFormat="1" ht="18" customHeight="1">
      <c r="A300" s="206"/>
      <c r="B300" s="207"/>
      <c r="C300" s="207"/>
      <c r="D300" s="207"/>
      <c r="E300" s="207"/>
      <c r="F300" s="207"/>
      <c r="G300" s="207"/>
      <c r="H300" s="207"/>
      <c r="I300" s="207"/>
      <c r="J300" s="207"/>
      <c r="K300" s="207"/>
      <c r="L300" s="207"/>
      <c r="M300" s="207"/>
      <c r="N300" s="207"/>
      <c r="O300" s="207"/>
      <c r="P300" s="207"/>
      <c r="Q300" s="236"/>
      <c r="R300" s="194"/>
      <c r="S300" s="237"/>
      <c r="T300" s="207"/>
      <c r="U300" s="207"/>
      <c r="V300" s="140"/>
    </row>
  </sheetData>
  <mergeCells count="175">
    <mergeCell ref="A1:G4"/>
    <mergeCell ref="H3:N4"/>
    <mergeCell ref="O3:Q3"/>
    <mergeCell ref="R3:V3"/>
    <mergeCell ref="O4:Q4"/>
    <mergeCell ref="R4:V4"/>
    <mergeCell ref="H1:N1"/>
    <mergeCell ref="O1:Q1"/>
    <mergeCell ref="R1:V1"/>
    <mergeCell ref="H2:N2"/>
    <mergeCell ref="O2:Q2"/>
    <mergeCell ref="R2:V2"/>
    <mergeCell ref="A5:B5"/>
    <mergeCell ref="D5:F5"/>
    <mergeCell ref="H5:N5"/>
    <mergeCell ref="O5:Q5"/>
    <mergeCell ref="R5:V5"/>
    <mergeCell ref="B7:C7"/>
    <mergeCell ref="D7:E7"/>
    <mergeCell ref="H7:M7"/>
    <mergeCell ref="T7:U7"/>
    <mergeCell ref="H11:I11"/>
    <mergeCell ref="H12:I12"/>
    <mergeCell ref="H13:I13"/>
    <mergeCell ref="H14:I14"/>
    <mergeCell ref="J18:K18"/>
    <mergeCell ref="J19:K19"/>
    <mergeCell ref="H9:I9"/>
    <mergeCell ref="J9:K9"/>
    <mergeCell ref="L9:M9"/>
    <mergeCell ref="H10:I10"/>
    <mergeCell ref="J10:K10"/>
    <mergeCell ref="L10:M10"/>
    <mergeCell ref="S31:T31"/>
    <mergeCell ref="S32:T32"/>
    <mergeCell ref="S33:T33"/>
    <mergeCell ref="S34:T34"/>
    <mergeCell ref="S35:T35"/>
    <mergeCell ref="S36:T36"/>
    <mergeCell ref="J20:K20"/>
    <mergeCell ref="J21:K21"/>
    <mergeCell ref="J22:K22"/>
    <mergeCell ref="P22:Q22"/>
    <mergeCell ref="A24:V25"/>
    <mergeCell ref="H29:I29"/>
    <mergeCell ref="G47:H47"/>
    <mergeCell ref="J47:K47"/>
    <mergeCell ref="G48:H48"/>
    <mergeCell ref="G52:H52"/>
    <mergeCell ref="D55:E55"/>
    <mergeCell ref="G55:H55"/>
    <mergeCell ref="S37:T37"/>
    <mergeCell ref="H40:I40"/>
    <mergeCell ref="H41:I41"/>
    <mergeCell ref="E42:F42"/>
    <mergeCell ref="G46:H46"/>
    <mergeCell ref="J46:K46"/>
    <mergeCell ref="S38:T38"/>
    <mergeCell ref="T90:U90"/>
    <mergeCell ref="H91:I91"/>
    <mergeCell ref="J91:K91"/>
    <mergeCell ref="L91:M91"/>
    <mergeCell ref="B88:C88"/>
    <mergeCell ref="D88:E89"/>
    <mergeCell ref="H88:M88"/>
    <mergeCell ref="T88:U88"/>
    <mergeCell ref="B89:C89"/>
    <mergeCell ref="T89:U89"/>
    <mergeCell ref="J92:K92"/>
    <mergeCell ref="J93:K93"/>
    <mergeCell ref="J94:K94"/>
    <mergeCell ref="J95:K95"/>
    <mergeCell ref="J99:K99"/>
    <mergeCell ref="J100:K100"/>
    <mergeCell ref="H90:I90"/>
    <mergeCell ref="J90:K90"/>
    <mergeCell ref="L90:M90"/>
    <mergeCell ref="S112:T112"/>
    <mergeCell ref="S113:T113"/>
    <mergeCell ref="S114:T114"/>
    <mergeCell ref="S115:T115"/>
    <mergeCell ref="S116:T116"/>
    <mergeCell ref="S117:T117"/>
    <mergeCell ref="J101:K101"/>
    <mergeCell ref="J102:K102"/>
    <mergeCell ref="J103:K103"/>
    <mergeCell ref="P103:Q103"/>
    <mergeCell ref="A105:V106"/>
    <mergeCell ref="H110:I110"/>
    <mergeCell ref="G133:H133"/>
    <mergeCell ref="J133:K133"/>
    <mergeCell ref="G134:H134"/>
    <mergeCell ref="G138:H138"/>
    <mergeCell ref="D141:E141"/>
    <mergeCell ref="G141:H141"/>
    <mergeCell ref="S118:T118"/>
    <mergeCell ref="H121:I121"/>
    <mergeCell ref="H122:I122"/>
    <mergeCell ref="E123:F123"/>
    <mergeCell ref="G132:H132"/>
    <mergeCell ref="J132:K132"/>
    <mergeCell ref="T178:U178"/>
    <mergeCell ref="H179:I179"/>
    <mergeCell ref="J179:K179"/>
    <mergeCell ref="L179:M179"/>
    <mergeCell ref="B176:C176"/>
    <mergeCell ref="D176:E177"/>
    <mergeCell ref="H176:M176"/>
    <mergeCell ref="T176:U176"/>
    <mergeCell ref="B177:C177"/>
    <mergeCell ref="T177:U177"/>
    <mergeCell ref="L180:M180"/>
    <mergeCell ref="L181:M181"/>
    <mergeCell ref="L182:M182"/>
    <mergeCell ref="L183:M183"/>
    <mergeCell ref="J187:K187"/>
    <mergeCell ref="J188:K188"/>
    <mergeCell ref="H178:I178"/>
    <mergeCell ref="J178:K178"/>
    <mergeCell ref="L178:M178"/>
    <mergeCell ref="S200:T200"/>
    <mergeCell ref="S201:T201"/>
    <mergeCell ref="S202:T202"/>
    <mergeCell ref="S203:T203"/>
    <mergeCell ref="S204:T204"/>
    <mergeCell ref="S205:T205"/>
    <mergeCell ref="J189:K189"/>
    <mergeCell ref="J190:K190"/>
    <mergeCell ref="J191:K191"/>
    <mergeCell ref="P191:Q191"/>
    <mergeCell ref="A193:V194"/>
    <mergeCell ref="H198:I198"/>
    <mergeCell ref="G221:H221"/>
    <mergeCell ref="J221:K221"/>
    <mergeCell ref="G222:H222"/>
    <mergeCell ref="G226:H226"/>
    <mergeCell ref="D229:E229"/>
    <mergeCell ref="G229:H229"/>
    <mergeCell ref="S206:T206"/>
    <mergeCell ref="H209:I209"/>
    <mergeCell ref="H210:I210"/>
    <mergeCell ref="E211:F211"/>
    <mergeCell ref="G220:H220"/>
    <mergeCell ref="J220:K220"/>
    <mergeCell ref="A266:A268"/>
    <mergeCell ref="B266:C268"/>
    <mergeCell ref="D266:E266"/>
    <mergeCell ref="F266:F268"/>
    <mergeCell ref="G266:G268"/>
    <mergeCell ref="H266:H268"/>
    <mergeCell ref="I266:J268"/>
    <mergeCell ref="A265:C265"/>
    <mergeCell ref="D265:F265"/>
    <mergeCell ref="G265:H265"/>
    <mergeCell ref="I265:J265"/>
    <mergeCell ref="D268:E268"/>
    <mergeCell ref="Q266:R268"/>
    <mergeCell ref="S266:V266"/>
    <mergeCell ref="D267:E267"/>
    <mergeCell ref="K267:L267"/>
    <mergeCell ref="M267:N267"/>
    <mergeCell ref="O267:P267"/>
    <mergeCell ref="S267:V267"/>
    <mergeCell ref="O265:P265"/>
    <mergeCell ref="Q265:R265"/>
    <mergeCell ref="S265:V265"/>
    <mergeCell ref="K265:L265"/>
    <mergeCell ref="M265:N265"/>
    <mergeCell ref="K268:L268"/>
    <mergeCell ref="M268:N268"/>
    <mergeCell ref="O268:P268"/>
    <mergeCell ref="S268:V268"/>
    <mergeCell ref="K266:L266"/>
    <mergeCell ref="M266:N266"/>
    <mergeCell ref="O266:P266"/>
  </mergeCells>
  <conditionalFormatting sqref="G56 G142 G230">
    <cfRule type="cellIs" dxfId="86" priority="1" stopIfTrue="1" operator="equal">
      <formula>"Under Dimentioned"</formula>
    </cfRule>
  </conditionalFormatting>
  <dataValidations count="1">
    <dataValidation type="list" allowBlank="1" showInputMessage="1" showErrorMessage="1" sqref="D176 D7 D88" xr:uid="{6FA66A9A-77E2-4ED4-823A-1A689B216669}">
      <formula1>"Core1,Core2,Core3,Core4,Core5,Core6,Core7"</formula1>
    </dataValidation>
  </dataValidations>
  <printOptions horizontalCentered="1" verticalCentered="1"/>
  <pageMargins left="0.51181102362204722" right="0.51181102362204722" top="0.51181102362204722" bottom="0.51181102362204722" header="0" footer="0"/>
  <pageSetup paperSize="9" scale="87" orientation="portrait" r:id="rId1"/>
  <headerFooter alignWithMargins="0"/>
  <rowBreaks count="2" manualBreakCount="2">
    <brk id="45" max="21" man="1"/>
    <brk id="85" max="21"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8D03E-B8FB-489D-B846-661CADAFA3D9}">
  <sheetPr>
    <tabColor rgb="FFFFFF00"/>
  </sheetPr>
  <dimension ref="A1:AR87"/>
  <sheetViews>
    <sheetView showZeros="0" view="pageBreakPreview" topLeftCell="A55" zoomScaleNormal="100" zoomScaleSheetLayoutView="100" workbookViewId="0">
      <selection activeCell="K13" sqref="K1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717" t="s">
        <v>0</v>
      </c>
      <c r="B1" s="718"/>
      <c r="C1" s="718"/>
      <c r="D1" s="718"/>
      <c r="E1" s="718"/>
      <c r="F1" s="718"/>
      <c r="G1" s="719"/>
      <c r="H1" s="726" t="str">
        <f>[4]Title!H1</f>
        <v>CT / VT</v>
      </c>
      <c r="I1" s="727"/>
      <c r="J1" s="727"/>
      <c r="K1" s="727"/>
      <c r="L1" s="727"/>
      <c r="M1" s="727"/>
      <c r="N1" s="728"/>
      <c r="O1" s="702" t="str">
        <f>[4]Title!O1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[4]Title!H2</f>
        <v>ADEQUACY CHECK</v>
      </c>
      <c r="I2" s="730"/>
      <c r="J2" s="730"/>
      <c r="K2" s="730"/>
      <c r="L2" s="730"/>
      <c r="M2" s="730"/>
      <c r="N2" s="731"/>
      <c r="O2" s="702" t="str">
        <f>[4]Title!O2</f>
        <v>Date</v>
      </c>
      <c r="P2" s="703"/>
      <c r="Q2" s="704"/>
      <c r="R2" s="732">
        <f>Title!R2</f>
        <v>46106</v>
      </c>
      <c r="S2" s="706"/>
      <c r="T2" s="706"/>
      <c r="U2" s="706"/>
      <c r="V2" s="707"/>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[4]Title!O3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[4]Title!O4</f>
        <v>Revision No.</v>
      </c>
      <c r="P4" s="703"/>
      <c r="Q4" s="704"/>
      <c r="R4" s="705" t="str">
        <f>Title!R4</f>
        <v>A</v>
      </c>
      <c r="S4" s="706"/>
      <c r="T4" s="706"/>
      <c r="U4" s="706"/>
      <c r="V4" s="707"/>
      <c r="W4" s="14"/>
      <c r="X4" s="14"/>
    </row>
    <row r="5" spans="1:24" ht="18" customHeight="1">
      <c r="A5" s="708" t="str">
        <f>[4]Title!A5</f>
        <v>Prep. By</v>
      </c>
      <c r="B5" s="709"/>
      <c r="C5" s="25" t="str">
        <f>[4]Title!C5</f>
        <v>AP</v>
      </c>
      <c r="D5" s="708" t="str">
        <f>[4]Title!D5</f>
        <v>Checked By</v>
      </c>
      <c r="E5" s="710"/>
      <c r="F5" s="709"/>
      <c r="G5" s="25" t="str">
        <f>[4]Title!G5</f>
        <v>RB</v>
      </c>
      <c r="H5" s="711" t="s">
        <v>926</v>
      </c>
      <c r="I5" s="712"/>
      <c r="J5" s="712"/>
      <c r="K5" s="712"/>
      <c r="L5" s="712"/>
      <c r="M5" s="712"/>
      <c r="N5" s="713"/>
      <c r="O5" s="714" t="str">
        <f>[4]Title!O5</f>
        <v>Contractor</v>
      </c>
      <c r="P5" s="715"/>
      <c r="Q5" s="716"/>
      <c r="R5" s="705" t="str">
        <f>Title!R5</f>
        <v>HITACHI</v>
      </c>
      <c r="S5" s="706"/>
      <c r="T5" s="706"/>
      <c r="U5" s="706"/>
      <c r="V5" s="707"/>
      <c r="W5" s="14"/>
      <c r="X5" s="14"/>
    </row>
    <row r="6" spans="1:24" ht="18" customHeight="1">
      <c r="A6" s="196"/>
      <c r="V6" s="197"/>
    </row>
    <row r="7" spans="1:24" ht="18" customHeight="1">
      <c r="A7" s="196"/>
      <c r="B7" s="940" t="s">
        <v>120</v>
      </c>
      <c r="C7" s="941"/>
      <c r="D7" s="944" t="s">
        <v>517</v>
      </c>
      <c r="E7" s="945"/>
      <c r="F7" s="468"/>
      <c r="H7" s="639"/>
      <c r="I7" s="639"/>
      <c r="J7" s="639"/>
      <c r="K7" s="639"/>
      <c r="L7" s="639"/>
      <c r="M7" s="639"/>
      <c r="P7" s="198"/>
      <c r="S7" s="199" t="s">
        <v>398</v>
      </c>
      <c r="T7" s="940" t="s">
        <v>973</v>
      </c>
      <c r="U7" s="941"/>
      <c r="V7" s="197"/>
    </row>
    <row r="8" spans="1:24" ht="18" customHeight="1">
      <c r="A8" s="469"/>
      <c r="F8" s="468"/>
      <c r="T8" s="940" t="s">
        <v>978</v>
      </c>
      <c r="U8" s="941"/>
      <c r="V8" s="197"/>
    </row>
    <row r="9" spans="1:24" ht="18" customHeight="1">
      <c r="A9" s="196"/>
      <c r="H9" s="662" t="s">
        <v>401</v>
      </c>
      <c r="I9" s="662"/>
      <c r="J9" s="701" t="s">
        <v>402</v>
      </c>
      <c r="K9" s="701"/>
      <c r="L9" s="701" t="s">
        <v>403</v>
      </c>
      <c r="M9" s="701"/>
      <c r="T9" s="940"/>
      <c r="U9" s="941"/>
      <c r="V9" s="197"/>
    </row>
    <row r="10" spans="1:24" ht="18" customHeight="1">
      <c r="A10" s="196"/>
      <c r="B10" s="47" t="s">
        <v>404</v>
      </c>
      <c r="H10" s="942">
        <v>1250</v>
      </c>
      <c r="I10" s="943"/>
      <c r="J10" s="940" t="s">
        <v>7</v>
      </c>
      <c r="K10" s="941"/>
      <c r="L10" s="940" t="s">
        <v>7</v>
      </c>
      <c r="M10" s="941"/>
      <c r="N10" s="203" t="s">
        <v>353</v>
      </c>
      <c r="O10" s="515">
        <v>1</v>
      </c>
      <c r="P10" s="27" t="s">
        <v>9</v>
      </c>
      <c r="R10" s="267"/>
      <c r="S10" s="267"/>
      <c r="V10" s="197"/>
    </row>
    <row r="11" spans="1:24" ht="18" customHeight="1">
      <c r="A11" s="196"/>
      <c r="B11" s="47" t="s">
        <v>405</v>
      </c>
      <c r="H11" s="940" t="s">
        <v>849</v>
      </c>
      <c r="I11" s="941"/>
      <c r="V11" s="197"/>
    </row>
    <row r="12" spans="1:24" ht="18" customHeight="1">
      <c r="A12" s="196"/>
      <c r="B12" s="47" t="s">
        <v>407</v>
      </c>
      <c r="G12" s="120" t="s">
        <v>508</v>
      </c>
      <c r="H12" s="981">
        <v>5</v>
      </c>
      <c r="I12" s="982"/>
      <c r="J12" s="204" t="s">
        <v>344</v>
      </c>
      <c r="V12" s="197"/>
    </row>
    <row r="13" spans="1:24" ht="18" customHeight="1">
      <c r="A13" s="196"/>
      <c r="B13" s="47" t="s">
        <v>409</v>
      </c>
      <c r="G13" s="120" t="s">
        <v>509</v>
      </c>
      <c r="H13" s="940">
        <v>750</v>
      </c>
      <c r="I13" s="941"/>
      <c r="J13" s="14" t="s">
        <v>316</v>
      </c>
      <c r="U13" s="18"/>
      <c r="V13" s="197"/>
      <c r="W13" s="30" t="e">
        <f>#REF!</f>
        <v>#REF!</v>
      </c>
    </row>
    <row r="14" spans="1:24" ht="18" customHeight="1">
      <c r="A14" s="196"/>
      <c r="B14" s="14" t="s">
        <v>412</v>
      </c>
      <c r="G14" s="120" t="s">
        <v>413</v>
      </c>
      <c r="H14" s="940">
        <v>60</v>
      </c>
      <c r="I14" s="941"/>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MFAC</v>
      </c>
      <c r="E18" s="239"/>
      <c r="F18" s="239"/>
      <c r="G18" s="239"/>
      <c r="H18" s="145"/>
      <c r="I18" s="272" t="s">
        <v>138</v>
      </c>
      <c r="J18" s="946">
        <f>'CT-VT Burdens'!Q48</f>
        <v>0.02</v>
      </c>
      <c r="K18" s="947"/>
      <c r="L18" s="3" t="s">
        <v>168</v>
      </c>
      <c r="N18" s="209"/>
      <c r="V18" s="197"/>
    </row>
    <row r="19" spans="1:25" ht="18" customHeight="1">
      <c r="A19" s="196"/>
      <c r="B19" s="96" t="s">
        <v>416</v>
      </c>
      <c r="C19" s="14"/>
      <c r="D19" s="47" t="str">
        <f>T8</f>
        <v>MVTP</v>
      </c>
      <c r="E19" s="14"/>
      <c r="G19" s="211"/>
      <c r="H19" s="27"/>
      <c r="I19" s="101" t="s">
        <v>138</v>
      </c>
      <c r="J19" s="946">
        <f>'CT-VT Burdens'!Q48</f>
        <v>0.02</v>
      </c>
      <c r="K19" s="947"/>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71"/>
      <c r="K20" s="972"/>
      <c r="L20" s="214" t="s">
        <v>168</v>
      </c>
      <c r="N20" s="27"/>
      <c r="O20" s="27"/>
      <c r="P20" s="27"/>
      <c r="Q20" s="102"/>
      <c r="R20" s="27"/>
      <c r="S20" s="27"/>
      <c r="T20" s="27"/>
      <c r="V20" s="197"/>
    </row>
    <row r="21" spans="1:25" ht="18" customHeight="1">
      <c r="A21" s="196"/>
      <c r="B21" s="196" t="s">
        <v>423</v>
      </c>
      <c r="C21" s="14"/>
      <c r="D21" s="14"/>
      <c r="E21" s="14"/>
      <c r="H21" s="27"/>
      <c r="I21" s="101" t="s">
        <v>138</v>
      </c>
      <c r="J21" s="950">
        <f>'CT-VT Burdens'!S22</f>
        <v>1.44186744</v>
      </c>
      <c r="K21" s="951"/>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648">
        <f>SUM(J18:J21)</f>
        <v>1.48186744</v>
      </c>
      <c r="K22" s="649"/>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308" t="s">
        <v>977</v>
      </c>
      <c r="D24" s="14"/>
      <c r="E24" s="14"/>
      <c r="F24" s="14"/>
      <c r="G24" s="14"/>
      <c r="H24" s="291"/>
      <c r="I24" s="120"/>
      <c r="J24" s="291"/>
      <c r="K24" s="291"/>
      <c r="L24" s="14"/>
      <c r="M24" s="14"/>
      <c r="N24" s="14"/>
      <c r="O24" s="14"/>
      <c r="P24" s="14"/>
      <c r="Q24" s="256" t="s">
        <v>974</v>
      </c>
      <c r="R24" s="102" t="s">
        <v>138</v>
      </c>
      <c r="S24" s="1058">
        <f>'Parameters &amp; Fault Cal. (4)'!M70</f>
        <v>19625.768379858539</v>
      </c>
      <c r="T24" s="984"/>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638">
        <f>H10</f>
        <v>1250</v>
      </c>
      <c r="T25" s="638"/>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641">
        <f>S24/S25*O10</f>
        <v>15.700614703886831</v>
      </c>
      <c r="T26" s="641"/>
      <c r="U26" s="14" t="s">
        <v>9</v>
      </c>
      <c r="V26" s="197"/>
    </row>
    <row r="27" spans="1:25" ht="18" customHeight="1">
      <c r="A27" s="180"/>
      <c r="B27" s="5"/>
      <c r="C27" s="896" t="s">
        <v>976</v>
      </c>
      <c r="D27" s="896"/>
      <c r="E27" s="896"/>
      <c r="F27" s="896"/>
      <c r="G27" s="896"/>
      <c r="H27" s="896"/>
      <c r="I27" s="896"/>
      <c r="J27" s="896"/>
      <c r="K27" s="896"/>
      <c r="L27" s="896"/>
      <c r="M27" s="896"/>
      <c r="N27" s="14"/>
      <c r="O27" s="14"/>
      <c r="P27" s="14"/>
      <c r="Q27" s="256" t="s">
        <v>975</v>
      </c>
      <c r="R27" s="28" t="s">
        <v>138</v>
      </c>
      <c r="S27" s="641">
        <f>J22/O10*O10</f>
        <v>1.48186744</v>
      </c>
      <c r="T27" s="641"/>
      <c r="U27" s="204" t="s">
        <v>344</v>
      </c>
      <c r="V27" s="197"/>
      <c r="X27" s="291"/>
      <c r="Y27" s="291"/>
    </row>
    <row r="28" spans="1:25" ht="18" customHeight="1">
      <c r="A28" s="180"/>
      <c r="B28" s="5"/>
      <c r="C28" s="47" t="s">
        <v>857</v>
      </c>
      <c r="Q28" s="120" t="s">
        <v>858</v>
      </c>
      <c r="R28" s="28" t="s">
        <v>138</v>
      </c>
      <c r="S28" s="983">
        <f>20*S25</f>
        <v>25000</v>
      </c>
      <c r="T28" s="984"/>
      <c r="U28" s="14" t="s">
        <v>9</v>
      </c>
      <c r="V28" s="197"/>
      <c r="X28" s="291"/>
      <c r="Y28" s="291"/>
    </row>
    <row r="29" spans="1:25" ht="18" customHeight="1">
      <c r="A29" s="311"/>
      <c r="B29" s="291"/>
      <c r="C29" s="47" t="s">
        <v>859</v>
      </c>
      <c r="Q29" s="256" t="s">
        <v>860</v>
      </c>
      <c r="R29" s="28" t="s">
        <v>138</v>
      </c>
      <c r="S29" s="637">
        <f>S28/S25</f>
        <v>20</v>
      </c>
      <c r="T29" s="637"/>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3" ht="18" customHeight="1">
      <c r="A33" s="205" t="s">
        <v>861</v>
      </c>
      <c r="H33" s="28"/>
      <c r="I33" s="28"/>
      <c r="J33" s="28"/>
      <c r="K33" s="28"/>
      <c r="T33" s="14"/>
      <c r="U33" s="14"/>
      <c r="V33" s="197"/>
    </row>
    <row r="34" spans="1:23" ht="18" customHeight="1">
      <c r="A34" s="205"/>
      <c r="H34" s="28"/>
      <c r="I34" s="28"/>
      <c r="J34" s="28"/>
      <c r="K34" s="28"/>
      <c r="T34" s="14"/>
      <c r="U34" s="14"/>
      <c r="V34" s="197"/>
    </row>
    <row r="35" spans="1:23" ht="18" customHeight="1">
      <c r="A35" s="196"/>
      <c r="B35" s="638" t="s">
        <v>484</v>
      </c>
      <c r="C35" s="638"/>
      <c r="D35" s="28" t="s">
        <v>862</v>
      </c>
      <c r="E35" s="28">
        <v>2</v>
      </c>
      <c r="F35" s="27" t="s">
        <v>326</v>
      </c>
      <c r="G35" s="639" t="s">
        <v>974</v>
      </c>
      <c r="H35" s="638"/>
      <c r="I35" s="28" t="s">
        <v>683</v>
      </c>
      <c r="J35" s="638" t="s">
        <v>431</v>
      </c>
      <c r="K35" s="638"/>
      <c r="L35" s="28" t="s">
        <v>358</v>
      </c>
      <c r="M35" s="639" t="s">
        <v>975</v>
      </c>
      <c r="N35" s="638"/>
      <c r="O35" s="14" t="s">
        <v>361</v>
      </c>
      <c r="P35" s="14"/>
      <c r="Q35" s="14"/>
      <c r="R35" s="14"/>
      <c r="T35" s="14"/>
      <c r="U35" s="14"/>
      <c r="V35" s="197"/>
    </row>
    <row r="36" spans="1:23" ht="18" customHeight="1">
      <c r="A36" s="196"/>
      <c r="B36" s="14"/>
      <c r="C36" s="14"/>
      <c r="D36" s="102" t="s">
        <v>138</v>
      </c>
      <c r="E36" s="102">
        <v>2</v>
      </c>
      <c r="F36" s="203" t="s">
        <v>326</v>
      </c>
      <c r="G36" s="641">
        <f>S26</f>
        <v>15.700614703886831</v>
      </c>
      <c r="H36" s="638"/>
      <c r="I36" s="28" t="s">
        <v>683</v>
      </c>
      <c r="J36" s="638">
        <f>H12</f>
        <v>5</v>
      </c>
      <c r="K36" s="638"/>
      <c r="L36" s="28" t="s">
        <v>358</v>
      </c>
      <c r="M36" s="641">
        <f>S27</f>
        <v>1.48186744</v>
      </c>
      <c r="N36" s="638"/>
      <c r="O36" s="14" t="s">
        <v>361</v>
      </c>
      <c r="S36" s="14"/>
      <c r="T36" s="14"/>
      <c r="U36" s="14"/>
      <c r="V36" s="197"/>
    </row>
    <row r="37" spans="1:23" ht="18" customHeight="1">
      <c r="A37" s="196"/>
      <c r="B37" s="14"/>
      <c r="C37" s="14"/>
      <c r="D37" s="102" t="s">
        <v>138</v>
      </c>
      <c r="E37" s="959">
        <f>E36*G36*(J36+M36)</f>
        <v>203.5386064742186</v>
      </c>
      <c r="F37" s="959"/>
      <c r="G37" s="223"/>
      <c r="H37" s="230"/>
      <c r="I37" s="14"/>
      <c r="J37" s="14"/>
      <c r="K37" s="14"/>
      <c r="L37" s="14"/>
      <c r="M37" s="14"/>
      <c r="N37" s="14"/>
      <c r="O37" s="14"/>
      <c r="P37" s="14"/>
      <c r="Q37" s="14"/>
      <c r="R37" s="14"/>
      <c r="V37" s="197"/>
    </row>
    <row r="38" spans="1:23" ht="18" customHeight="1">
      <c r="A38" s="96"/>
      <c r="B38" s="14"/>
      <c r="C38" s="14"/>
      <c r="D38" s="14"/>
      <c r="E38" s="14"/>
      <c r="F38" s="14"/>
      <c r="G38" s="14"/>
      <c r="H38" s="14"/>
      <c r="I38" s="14"/>
      <c r="J38" s="14"/>
      <c r="K38" s="14"/>
      <c r="L38" s="14"/>
      <c r="M38" s="14"/>
      <c r="N38" s="14"/>
      <c r="O38" s="14"/>
      <c r="P38" s="14"/>
      <c r="Q38" s="120"/>
      <c r="R38" s="28"/>
      <c r="S38" s="558"/>
      <c r="T38" s="14"/>
      <c r="U38" s="14"/>
      <c r="V38" s="394"/>
    </row>
    <row r="39" spans="1:23" ht="18" customHeight="1">
      <c r="A39" s="205" t="s">
        <v>864</v>
      </c>
      <c r="B39" s="209"/>
      <c r="C39" s="209"/>
      <c r="D39" s="209"/>
      <c r="E39" s="14"/>
      <c r="F39" s="14"/>
      <c r="G39" s="14"/>
      <c r="H39" s="14"/>
      <c r="I39" s="14"/>
      <c r="J39" s="14"/>
      <c r="K39" s="14"/>
      <c r="L39" s="14"/>
      <c r="M39" s="14"/>
      <c r="N39" s="14"/>
      <c r="O39" s="14"/>
      <c r="P39" s="27"/>
      <c r="Q39" s="28"/>
      <c r="T39" s="14"/>
      <c r="U39" s="14"/>
      <c r="V39" s="197"/>
    </row>
    <row r="40" spans="1:23" ht="18" customHeight="1">
      <c r="A40" s="205"/>
      <c r="B40" s="209"/>
      <c r="C40" s="209"/>
      <c r="D40" s="209"/>
      <c r="E40" s="14"/>
      <c r="F40" s="14"/>
      <c r="G40" s="14"/>
      <c r="H40" s="14"/>
      <c r="I40" s="14"/>
      <c r="J40" s="14"/>
      <c r="K40" s="14"/>
      <c r="L40" s="14"/>
      <c r="M40" s="14"/>
      <c r="N40" s="14"/>
      <c r="O40" s="14"/>
      <c r="P40" s="27"/>
      <c r="Q40" s="28"/>
      <c r="T40" s="14"/>
      <c r="U40" s="14"/>
      <c r="V40" s="197"/>
    </row>
    <row r="41" spans="1:23" ht="18" customHeight="1">
      <c r="A41" s="96"/>
      <c r="B41" s="209"/>
      <c r="C41" s="209"/>
      <c r="D41" s="14"/>
      <c r="E41" s="14"/>
      <c r="F41" s="14"/>
      <c r="G41" s="14"/>
      <c r="H41" s="14"/>
      <c r="I41" s="14"/>
      <c r="J41" s="14"/>
      <c r="K41" s="14"/>
      <c r="L41" s="14"/>
      <c r="M41" s="14"/>
      <c r="N41" s="14"/>
      <c r="O41" s="14"/>
      <c r="P41" s="14"/>
      <c r="Q41" s="14"/>
      <c r="R41" s="14"/>
      <c r="S41" s="14"/>
      <c r="T41" s="14"/>
      <c r="U41" s="14"/>
      <c r="V41" s="197"/>
    </row>
    <row r="42" spans="1:23" s="14" customFormat="1" ht="18" customHeight="1">
      <c r="A42" s="96"/>
      <c r="F42" s="256" t="s">
        <v>486</v>
      </c>
      <c r="G42" s="28" t="str">
        <f>IF(E43&gt;H43, "&gt;","&lt;")</f>
        <v>&gt;</v>
      </c>
      <c r="H42" s="14" t="s">
        <v>488</v>
      </c>
      <c r="V42" s="197"/>
    </row>
    <row r="43" spans="1:23" s="14" customFormat="1" ht="18" customHeight="1">
      <c r="A43" s="96"/>
      <c r="E43" s="959">
        <f>H13</f>
        <v>750</v>
      </c>
      <c r="F43" s="959"/>
      <c r="G43" s="28" t="str">
        <f>G42</f>
        <v>&gt;</v>
      </c>
      <c r="H43" s="641">
        <f>E37</f>
        <v>203.5386064742186</v>
      </c>
      <c r="I43" s="641"/>
      <c r="V43" s="197"/>
    </row>
    <row r="44" spans="1:23" ht="18" customHeight="1">
      <c r="A44" s="196"/>
      <c r="D44" s="223"/>
      <c r="E44" s="230"/>
      <c r="F44" s="211"/>
      <c r="G44" s="223"/>
      <c r="H44" s="293"/>
      <c r="J44" s="28"/>
      <c r="K44" s="18"/>
      <c r="P44" s="14"/>
      <c r="Q44" s="14"/>
      <c r="R44" s="14"/>
      <c r="S44" s="14"/>
      <c r="T44" s="14"/>
      <c r="U44" s="14"/>
      <c r="V44" s="197"/>
    </row>
    <row r="45" spans="1:23" ht="18" customHeight="1">
      <c r="A45" s="196"/>
      <c r="F45" s="256" t="s">
        <v>489</v>
      </c>
      <c r="H45" s="18" t="str">
        <f>IF(G43="&gt;","Suitably Dimentioned","Under Dimentioned")</f>
        <v>Suitably Dimentioned</v>
      </c>
      <c r="V45" s="197"/>
      <c r="W45" s="197"/>
    </row>
    <row r="46" spans="1:23" ht="18" customHeight="1">
      <c r="A46" s="274"/>
      <c r="B46" s="610"/>
      <c r="C46" s="610"/>
      <c r="D46" s="271"/>
      <c r="E46" s="271"/>
      <c r="F46" s="271"/>
      <c r="G46" s="271"/>
      <c r="H46" s="271"/>
      <c r="I46" s="271"/>
      <c r="J46" s="271"/>
      <c r="K46" s="271"/>
      <c r="L46" s="271"/>
      <c r="M46" s="271"/>
      <c r="N46" s="271"/>
      <c r="O46" s="271"/>
      <c r="P46" s="594"/>
      <c r="Q46" s="611"/>
      <c r="R46" s="219"/>
      <c r="S46" s="219"/>
      <c r="T46" s="219"/>
      <c r="U46" s="219"/>
      <c r="V46" s="466"/>
    </row>
    <row r="47" spans="1:23" ht="18" customHeight="1">
      <c r="A47" s="206"/>
      <c r="B47" s="207"/>
      <c r="C47" s="207"/>
      <c r="D47" s="207"/>
      <c r="E47" s="207"/>
      <c r="F47" s="318"/>
      <c r="G47" s="194"/>
      <c r="H47" s="207"/>
      <c r="I47" s="207"/>
      <c r="J47" s="207"/>
      <c r="K47" s="207"/>
      <c r="L47" s="207"/>
      <c r="M47" s="207"/>
      <c r="N47" s="207"/>
      <c r="O47" s="207"/>
      <c r="P47" s="608"/>
      <c r="Q47" s="609"/>
      <c r="R47" s="208"/>
      <c r="S47" s="208"/>
      <c r="T47" s="208"/>
      <c r="U47" s="208"/>
      <c r="V47" s="303"/>
    </row>
    <row r="48" spans="1:23" s="14" customFormat="1" ht="18" customHeight="1">
      <c r="A48" s="141"/>
      <c r="B48" s="285"/>
      <c r="C48" s="285"/>
      <c r="D48" s="285"/>
      <c r="E48" s="285"/>
      <c r="F48" s="285"/>
      <c r="G48" s="285"/>
      <c r="H48" s="285"/>
      <c r="I48" s="285"/>
      <c r="J48" s="285"/>
      <c r="K48" s="285"/>
      <c r="L48" s="285"/>
      <c r="M48" s="285"/>
      <c r="N48" s="285"/>
      <c r="O48" s="285"/>
      <c r="P48" s="285"/>
      <c r="Q48" s="286"/>
      <c r="R48" s="145"/>
      <c r="S48" s="287"/>
      <c r="T48" s="285"/>
      <c r="U48" s="285"/>
      <c r="V48" s="288"/>
    </row>
    <row r="49" spans="1:44" ht="18" customHeight="1">
      <c r="A49" s="465" t="s">
        <v>512</v>
      </c>
      <c r="B49" s="14"/>
      <c r="C49" s="14"/>
      <c r="D49" s="120"/>
      <c r="E49" s="120"/>
      <c r="F49" s="18"/>
      <c r="G49" s="18"/>
      <c r="H49" s="14"/>
      <c r="I49" s="14"/>
      <c r="J49" s="14"/>
      <c r="K49" s="14"/>
      <c r="L49" s="14"/>
      <c r="M49" s="14"/>
      <c r="N49" s="14"/>
      <c r="O49" s="14"/>
      <c r="P49" s="28"/>
      <c r="Q49" s="120"/>
      <c r="R49" s="47"/>
      <c r="S49" s="218"/>
      <c r="T49" s="271"/>
      <c r="U49" s="14"/>
      <c r="V49" s="97"/>
    </row>
    <row r="50" spans="1:44" ht="56.4" customHeight="1">
      <c r="A50" s="782" t="s">
        <v>97</v>
      </c>
      <c r="B50" s="782"/>
      <c r="C50" s="612"/>
      <c r="D50" s="782" t="s">
        <v>98</v>
      </c>
      <c r="E50" s="782"/>
      <c r="F50" s="782"/>
      <c r="G50" s="782" t="s">
        <v>99</v>
      </c>
      <c r="H50" s="782"/>
      <c r="I50" s="782" t="s">
        <v>100</v>
      </c>
      <c r="J50" s="782"/>
      <c r="K50" s="614" t="s">
        <v>101</v>
      </c>
      <c r="L50" s="615"/>
      <c r="M50" s="614" t="s">
        <v>102</v>
      </c>
      <c r="N50" s="615"/>
      <c r="O50" s="614" t="s">
        <v>103</v>
      </c>
      <c r="P50" s="615"/>
      <c r="Q50" s="614" t="s">
        <v>104</v>
      </c>
      <c r="R50" s="615"/>
      <c r="S50" s="782" t="s">
        <v>105</v>
      </c>
      <c r="T50" s="782"/>
      <c r="U50" s="782"/>
      <c r="V50" s="782"/>
    </row>
    <row r="51" spans="1:44" ht="18" customHeight="1">
      <c r="A51" s="612" t="str">
        <f>B7</f>
        <v>T1</v>
      </c>
      <c r="B51" s="623" t="str">
        <f>D7</f>
        <v>Core2</v>
      </c>
      <c r="C51" s="623"/>
      <c r="D51" s="613">
        <f>H10</f>
        <v>1250</v>
      </c>
      <c r="E51" s="613"/>
      <c r="F51" s="624">
        <f>O10</f>
        <v>1</v>
      </c>
      <c r="G51" s="627">
        <f>'CT-VT Burdens'!S19</f>
        <v>80</v>
      </c>
      <c r="H51" s="783">
        <f>'CT-VT Burdens'!S10</f>
        <v>2.5</v>
      </c>
      <c r="I51" s="783" t="str">
        <f>H11</f>
        <v>PX-B</v>
      </c>
      <c r="J51" s="783"/>
      <c r="K51" s="612">
        <f>H12</f>
        <v>5</v>
      </c>
      <c r="L51" s="612"/>
      <c r="M51" s="612">
        <f>H13</f>
        <v>750</v>
      </c>
      <c r="N51" s="612"/>
      <c r="O51" s="613">
        <f>H14</f>
        <v>60</v>
      </c>
      <c r="P51" s="613"/>
      <c r="Q51" s="629" t="str">
        <f>IF(T8="",T7,IF(T9="",T7&amp;" "&amp;T8,T7&amp;" "&amp;T8&amp;" "&amp;T9))</f>
        <v>MFAC MVTP</v>
      </c>
      <c r="R51" s="629"/>
      <c r="S51" s="628" t="str">
        <f>H45</f>
        <v>Suitably Dimentioned</v>
      </c>
      <c r="T51" s="628"/>
      <c r="U51" s="628"/>
      <c r="V51" s="628"/>
    </row>
    <row r="52" spans="1:44" ht="18" customHeight="1">
      <c r="A52" s="612"/>
      <c r="B52" s="623"/>
      <c r="C52" s="623"/>
      <c r="D52" s="613" t="s">
        <v>7</v>
      </c>
      <c r="E52" s="613"/>
      <c r="F52" s="625"/>
      <c r="G52" s="627"/>
      <c r="H52" s="613"/>
      <c r="I52" s="783"/>
      <c r="J52" s="783"/>
      <c r="K52" s="612" t="s">
        <v>7</v>
      </c>
      <c r="L52" s="612"/>
      <c r="M52" s="612" t="s">
        <v>7</v>
      </c>
      <c r="N52" s="612"/>
      <c r="O52" s="613" t="s">
        <v>7</v>
      </c>
      <c r="P52" s="613"/>
      <c r="Q52" s="629"/>
      <c r="R52" s="629"/>
      <c r="S52" s="628" t="s">
        <v>7</v>
      </c>
      <c r="T52" s="628"/>
      <c r="U52" s="628"/>
      <c r="V52" s="628"/>
    </row>
    <row r="53" spans="1:44" ht="18" customHeight="1">
      <c r="A53" s="612"/>
      <c r="B53" s="623"/>
      <c r="C53" s="623"/>
      <c r="D53" s="613" t="s">
        <v>7</v>
      </c>
      <c r="E53" s="613"/>
      <c r="F53" s="626"/>
      <c r="G53" s="627"/>
      <c r="H53" s="613"/>
      <c r="I53" s="783"/>
      <c r="J53" s="783"/>
      <c r="K53" s="612" t="s">
        <v>7</v>
      </c>
      <c r="L53" s="612"/>
      <c r="M53" s="612" t="s">
        <v>7</v>
      </c>
      <c r="N53" s="612"/>
      <c r="O53" s="613" t="s">
        <v>7</v>
      </c>
      <c r="P53" s="613"/>
      <c r="Q53" s="629"/>
      <c r="R53" s="629"/>
      <c r="S53" s="628" t="s">
        <v>7</v>
      </c>
      <c r="T53" s="628"/>
      <c r="U53" s="628"/>
      <c r="V53" s="628"/>
    </row>
    <row r="54" spans="1:44" ht="18" customHeight="1">
      <c r="A54" s="196"/>
      <c r="V54" s="197"/>
    </row>
    <row r="55" spans="1:44" ht="18" customHeight="1">
      <c r="A55" s="196"/>
      <c r="V55" s="197"/>
    </row>
    <row r="56" spans="1:44" ht="18" customHeight="1">
      <c r="A56" s="196"/>
      <c r="V56" s="197"/>
    </row>
    <row r="57" spans="1:44" ht="18" customHeight="1">
      <c r="A57" s="196"/>
      <c r="V57" s="197"/>
    </row>
    <row r="58" spans="1:44" ht="18" customHeight="1">
      <c r="A58" s="196"/>
      <c r="V58" s="197"/>
      <c r="AR58" s="197"/>
    </row>
    <row r="59" spans="1:44" ht="18" customHeight="1">
      <c r="A59" s="196"/>
      <c r="V59" s="197"/>
      <c r="AR59" s="197"/>
    </row>
    <row r="60" spans="1:44" ht="18" customHeight="1">
      <c r="A60" s="196"/>
      <c r="V60" s="197"/>
      <c r="AR60" s="197"/>
    </row>
    <row r="61" spans="1:44" ht="18" customHeight="1">
      <c r="A61" s="196"/>
      <c r="V61" s="197"/>
      <c r="AR61" s="197"/>
    </row>
    <row r="62" spans="1:44" ht="18" customHeight="1">
      <c r="A62" s="196"/>
      <c r="V62" s="197"/>
      <c r="AR62" s="197"/>
    </row>
    <row r="63" spans="1:44" ht="18" customHeight="1">
      <c r="A63" s="196"/>
      <c r="V63" s="197"/>
      <c r="AR63" s="197"/>
    </row>
    <row r="64" spans="1:44" ht="18" customHeight="1">
      <c r="A64" s="196"/>
      <c r="V64" s="197"/>
      <c r="AR64" s="197"/>
    </row>
    <row r="65" spans="1:44" ht="18" customHeight="1">
      <c r="A65" s="196"/>
      <c r="V65" s="197"/>
      <c r="AR65" s="197"/>
    </row>
    <row r="66" spans="1:44" ht="18" customHeight="1">
      <c r="A66" s="196"/>
      <c r="V66" s="197"/>
    </row>
    <row r="67" spans="1:44" ht="18" customHeight="1">
      <c r="A67" s="196"/>
      <c r="V67" s="197"/>
    </row>
    <row r="68" spans="1:44" ht="18" customHeight="1">
      <c r="A68" s="196"/>
      <c r="V68" s="197"/>
    </row>
    <row r="69" spans="1:44" ht="18" customHeight="1">
      <c r="A69" s="196"/>
      <c r="V69" s="197"/>
    </row>
    <row r="70" spans="1:44" ht="18" customHeight="1">
      <c r="A70" s="196"/>
      <c r="V70" s="197"/>
    </row>
    <row r="71" spans="1:44" ht="18" customHeight="1">
      <c r="A71" s="196"/>
      <c r="V71" s="197"/>
    </row>
    <row r="72" spans="1:44" ht="18" customHeight="1">
      <c r="A72" s="196"/>
      <c r="V72" s="197"/>
    </row>
    <row r="73" spans="1:44" ht="18" customHeight="1">
      <c r="A73" s="196"/>
      <c r="V73" s="197"/>
    </row>
    <row r="74" spans="1:44" ht="18" customHeight="1">
      <c r="A74" s="196"/>
      <c r="V74" s="197"/>
    </row>
    <row r="75" spans="1:44" ht="18" customHeight="1">
      <c r="A75" s="196"/>
      <c r="V75" s="197"/>
    </row>
    <row r="76" spans="1:44" ht="18" customHeight="1">
      <c r="A76" s="196"/>
      <c r="V76" s="197"/>
    </row>
    <row r="77" spans="1:44" ht="18" customHeight="1">
      <c r="A77" s="196"/>
      <c r="V77" s="197"/>
    </row>
    <row r="78" spans="1:44" ht="18" customHeight="1">
      <c r="A78" s="196"/>
      <c r="V78" s="197"/>
    </row>
    <row r="79" spans="1:44" ht="18" customHeight="1">
      <c r="A79" s="196"/>
      <c r="V79" s="197"/>
    </row>
    <row r="80" spans="1:44"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sheetData>
  <mergeCells count="86">
    <mergeCell ref="R3:V3"/>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S24:T24"/>
    <mergeCell ref="S25:T25"/>
    <mergeCell ref="B7:C7"/>
    <mergeCell ref="D7:E7"/>
    <mergeCell ref="H7:M7"/>
    <mergeCell ref="T7:U7"/>
    <mergeCell ref="T8:U8"/>
    <mergeCell ref="H9:I9"/>
    <mergeCell ref="J9:K9"/>
    <mergeCell ref="L9:M9"/>
    <mergeCell ref="T9:U9"/>
    <mergeCell ref="J22:K22"/>
    <mergeCell ref="H10:I10"/>
    <mergeCell ref="J10:K10"/>
    <mergeCell ref="L10:M10"/>
    <mergeCell ref="H11:I11"/>
    <mergeCell ref="H12:I12"/>
    <mergeCell ref="H13:I13"/>
    <mergeCell ref="H14:I14"/>
    <mergeCell ref="J18:K18"/>
    <mergeCell ref="Q50:R50"/>
    <mergeCell ref="S50:V50"/>
    <mergeCell ref="O50:P50"/>
    <mergeCell ref="M36:N36"/>
    <mergeCell ref="J19:K19"/>
    <mergeCell ref="J20:K20"/>
    <mergeCell ref="J21:K21"/>
    <mergeCell ref="M50:N50"/>
    <mergeCell ref="E43:F43"/>
    <mergeCell ref="H43:I43"/>
    <mergeCell ref="E37:F37"/>
    <mergeCell ref="S26:T26"/>
    <mergeCell ref="S27:T27"/>
    <mergeCell ref="S28:T28"/>
    <mergeCell ref="M35:N35"/>
    <mergeCell ref="S29:T29"/>
    <mergeCell ref="C27:M27"/>
    <mergeCell ref="B35:C35"/>
    <mergeCell ref="G35:H35"/>
    <mergeCell ref="J35:K35"/>
    <mergeCell ref="G36:H36"/>
    <mergeCell ref="J36:K36"/>
    <mergeCell ref="A50:C50"/>
    <mergeCell ref="D50:F50"/>
    <mergeCell ref="G50:H50"/>
    <mergeCell ref="I50:J50"/>
    <mergeCell ref="K50:L50"/>
    <mergeCell ref="A51:A53"/>
    <mergeCell ref="B51:C53"/>
    <mergeCell ref="D51:E51"/>
    <mergeCell ref="F51:F53"/>
    <mergeCell ref="G51:G53"/>
    <mergeCell ref="D52:E52"/>
    <mergeCell ref="D53:E53"/>
    <mergeCell ref="H51:H53"/>
    <mergeCell ref="I51:J53"/>
    <mergeCell ref="K51:L51"/>
    <mergeCell ref="O53:P53"/>
    <mergeCell ref="S53:V53"/>
    <mergeCell ref="O51:P51"/>
    <mergeCell ref="Q51:R53"/>
    <mergeCell ref="S51:V51"/>
    <mergeCell ref="K53:L53"/>
    <mergeCell ref="M53:N53"/>
    <mergeCell ref="K52:L52"/>
    <mergeCell ref="M52:N52"/>
    <mergeCell ref="M51:N51"/>
    <mergeCell ref="S52:V52"/>
    <mergeCell ref="O52:P52"/>
  </mergeCells>
  <conditionalFormatting sqref="H45">
    <cfRule type="cellIs" dxfId="85" priority="1" stopIfTrue="1" operator="equal">
      <formula>"Under Dimentioned"</formula>
    </cfRule>
  </conditionalFormatting>
  <dataValidations disablePrompts="1" count="1">
    <dataValidation type="list" allowBlank="1" showInputMessage="1" showErrorMessage="1" sqref="D7:E7" xr:uid="{8763D235-8024-4086-9299-248C177EB1DB}">
      <formula1>"Core1,Core2,Core3,Core4,Core5"</formula1>
    </dataValidation>
  </dataValidations>
  <printOptions horizontalCentered="1" verticalCentered="1"/>
  <pageMargins left="0.511811023622047" right="0.511811023622047" top="0.511811023622047" bottom="0.511811023622047" header="0" footer="0"/>
  <pageSetup paperSize="9" scale="86" orientation="portrait" r:id="rId1"/>
  <headerFooter alignWithMargins="0"/>
  <rowBreaks count="1" manualBreakCount="1">
    <brk id="47" max="21"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A2FFC-8E1E-4E8B-84C6-045CC4355F96}">
  <sheetPr codeName="Sheet21">
    <tabColor rgb="FFFFFF00"/>
  </sheetPr>
  <dimension ref="A1:Y128"/>
  <sheetViews>
    <sheetView showZeros="0" view="pageBreakPreview" topLeftCell="A109" zoomScaleNormal="100" workbookViewId="0">
      <selection activeCell="K13" sqref="K13"/>
    </sheetView>
  </sheetViews>
  <sheetFormatPr defaultColWidth="4.33203125" defaultRowHeight="18" customHeight="1"/>
  <cols>
    <col min="1" max="17" width="4.33203125" style="30"/>
    <col min="18" max="18" width="5.5546875" style="30" customWidth="1"/>
    <col min="19" max="20" width="4.33203125" style="30"/>
    <col min="21" max="21" width="3.6640625" style="30" customWidth="1"/>
    <col min="22" max="22" width="3.5546875" style="30" customWidth="1"/>
    <col min="23" max="16384" width="4.33203125" style="30"/>
  </cols>
  <sheetData>
    <row r="1" spans="1:24" ht="18" customHeight="1">
      <c r="A1" s="717" t="s">
        <v>0</v>
      </c>
      <c r="B1" s="718"/>
      <c r="C1" s="718"/>
      <c r="D1" s="718"/>
      <c r="E1" s="718"/>
      <c r="F1" s="718"/>
      <c r="G1" s="719"/>
      <c r="H1" s="726" t="str">
        <f>[3]Title!H1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[3]Title!H2</f>
        <v>ADEQUACY CHECK</v>
      </c>
      <c r="I2" s="730"/>
      <c r="J2" s="730"/>
      <c r="K2" s="730"/>
      <c r="L2" s="730"/>
      <c r="M2" s="730"/>
      <c r="N2" s="731"/>
      <c r="O2" s="702" t="str">
        <f>Title!O2</f>
        <v>Date</v>
      </c>
      <c r="P2" s="703"/>
      <c r="Q2" s="704"/>
      <c r="R2" s="732">
        <f>Title!R2</f>
        <v>46106</v>
      </c>
      <c r="S2" s="706"/>
      <c r="T2" s="706"/>
      <c r="U2" s="706"/>
      <c r="V2" s="707"/>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14"/>
      <c r="X4" s="14"/>
    </row>
    <row r="5" spans="1:24" ht="18" customHeight="1">
      <c r="A5" s="708" t="str">
        <f>[3]Title!A5</f>
        <v>Prep. By</v>
      </c>
      <c r="B5" s="709"/>
      <c r="C5" s="25" t="str">
        <f>[3]Title!C5</f>
        <v>AK</v>
      </c>
      <c r="D5" s="708" t="str">
        <f>[3]Title!D5</f>
        <v>Checked By</v>
      </c>
      <c r="E5" s="710"/>
      <c r="F5" s="709"/>
      <c r="G5" s="25" t="str">
        <f>[3]Title!G5</f>
        <v>LN</v>
      </c>
      <c r="H5" s="973" t="s">
        <v>926</v>
      </c>
      <c r="I5" s="974"/>
      <c r="J5" s="974"/>
      <c r="K5" s="974"/>
      <c r="L5" s="974"/>
      <c r="M5" s="974"/>
      <c r="N5" s="975"/>
      <c r="O5" s="714" t="str">
        <f>Title!O5</f>
        <v>Contractor</v>
      </c>
      <c r="P5" s="715"/>
      <c r="Q5" s="716"/>
      <c r="R5" s="705" t="str">
        <f>Title!R5</f>
        <v>HITACHI</v>
      </c>
      <c r="S5" s="706"/>
      <c r="T5" s="706"/>
      <c r="U5" s="706"/>
      <c r="V5" s="707"/>
      <c r="W5" s="14"/>
      <c r="X5" s="14"/>
    </row>
    <row r="6" spans="1:24" ht="18" customHeight="1">
      <c r="A6" s="196"/>
      <c r="V6" s="197"/>
    </row>
    <row r="7" spans="1:24" ht="18" customHeight="1">
      <c r="A7" s="196"/>
      <c r="B7" s="940" t="s">
        <v>120</v>
      </c>
      <c r="C7" s="941"/>
      <c r="D7" s="577" t="s">
        <v>121</v>
      </c>
      <c r="E7" s="579"/>
      <c r="F7" s="267"/>
      <c r="H7" s="582"/>
      <c r="I7" s="582"/>
      <c r="J7" s="582"/>
      <c r="K7" s="582"/>
      <c r="L7" s="582"/>
      <c r="M7" s="582"/>
      <c r="P7" s="198"/>
      <c r="S7" s="199" t="s">
        <v>398</v>
      </c>
      <c r="T7" s="978" t="s">
        <v>928</v>
      </c>
      <c r="U7" s="979"/>
      <c r="V7" s="197"/>
    </row>
    <row r="8" spans="1:24" ht="18" customHeight="1">
      <c r="A8" s="196"/>
      <c r="B8" s="468"/>
      <c r="C8" s="571"/>
      <c r="D8" s="571"/>
      <c r="E8" s="571"/>
      <c r="F8" s="267"/>
      <c r="T8" s="978" t="s">
        <v>519</v>
      </c>
      <c r="U8" s="979"/>
      <c r="V8" s="197"/>
    </row>
    <row r="9" spans="1:24" ht="18" customHeight="1">
      <c r="A9" s="196"/>
      <c r="H9" s="662" t="s">
        <v>401</v>
      </c>
      <c r="I9" s="662"/>
      <c r="J9" s="701" t="s">
        <v>402</v>
      </c>
      <c r="K9" s="701"/>
      <c r="L9" s="701" t="s">
        <v>403</v>
      </c>
      <c r="M9" s="701"/>
      <c r="T9" s="978" t="s">
        <v>932</v>
      </c>
      <c r="U9" s="979"/>
      <c r="V9" s="197"/>
    </row>
    <row r="10" spans="1:24" ht="18" customHeight="1">
      <c r="A10" s="196"/>
      <c r="B10" s="47" t="s">
        <v>404</v>
      </c>
      <c r="H10" s="942">
        <v>1250</v>
      </c>
      <c r="I10" s="943"/>
      <c r="J10" s="940" t="s">
        <v>7</v>
      </c>
      <c r="K10" s="941"/>
      <c r="L10" s="940" t="s">
        <v>7</v>
      </c>
      <c r="M10" s="941"/>
      <c r="N10" s="203" t="s">
        <v>353</v>
      </c>
      <c r="O10" s="515">
        <v>1</v>
      </c>
      <c r="P10" s="27" t="s">
        <v>9</v>
      </c>
      <c r="R10" s="267"/>
      <c r="S10" s="267"/>
      <c r="T10" s="978" t="s">
        <v>933</v>
      </c>
      <c r="U10" s="979"/>
      <c r="V10" s="197"/>
    </row>
    <row r="11" spans="1:24" ht="18" customHeight="1">
      <c r="A11" s="196"/>
      <c r="B11" s="47" t="s">
        <v>405</v>
      </c>
      <c r="H11" s="940" t="s">
        <v>846</v>
      </c>
      <c r="I11" s="941"/>
      <c r="T11" s="978" t="s">
        <v>957</v>
      </c>
      <c r="U11" s="979"/>
      <c r="V11" s="197"/>
    </row>
    <row r="12" spans="1:24" ht="18" customHeight="1">
      <c r="A12" s="196"/>
      <c r="B12" s="47" t="s">
        <v>407</v>
      </c>
      <c r="G12" s="120" t="s">
        <v>508</v>
      </c>
      <c r="H12" s="940">
        <v>5</v>
      </c>
      <c r="I12" s="941"/>
      <c r="J12" s="204" t="s">
        <v>344</v>
      </c>
      <c r="T12" s="978" t="s">
        <v>956</v>
      </c>
      <c r="U12" s="979"/>
      <c r="V12" s="197"/>
    </row>
    <row r="13" spans="1:24" ht="18" customHeight="1">
      <c r="A13" s="196"/>
      <c r="B13" s="47" t="s">
        <v>409</v>
      </c>
      <c r="G13" s="120" t="s">
        <v>509</v>
      </c>
      <c r="H13" s="940"/>
      <c r="I13" s="941"/>
      <c r="J13" s="14" t="s">
        <v>316</v>
      </c>
      <c r="T13" s="307"/>
      <c r="U13" s="18"/>
      <c r="V13" s="197"/>
      <c r="W13" s="30" t="str">
        <f>G60</f>
        <v>Suitably Dimentioned</v>
      </c>
    </row>
    <row r="14" spans="1:24" ht="18" customHeight="1">
      <c r="A14" s="196"/>
      <c r="B14" s="14" t="s">
        <v>412</v>
      </c>
      <c r="G14" s="120" t="s">
        <v>413</v>
      </c>
      <c r="H14" s="940"/>
      <c r="I14" s="941"/>
      <c r="J14" s="14" t="s">
        <v>414</v>
      </c>
      <c r="V14" s="197"/>
    </row>
    <row r="15" spans="1:24" ht="18" customHeight="1">
      <c r="A15" s="196"/>
      <c r="V15" s="197"/>
    </row>
    <row r="16" spans="1:24" ht="18" customHeight="1">
      <c r="A16" s="205" t="s">
        <v>415</v>
      </c>
      <c r="V16" s="197"/>
    </row>
    <row r="17" spans="1:23" ht="18" customHeight="1">
      <c r="A17" s="196"/>
      <c r="V17" s="197"/>
    </row>
    <row r="18" spans="1:23" ht="18" customHeight="1">
      <c r="A18" s="196"/>
      <c r="B18" s="141" t="s">
        <v>416</v>
      </c>
      <c r="C18" s="285"/>
      <c r="D18" s="146" t="str">
        <f>T7</f>
        <v>REF650</v>
      </c>
      <c r="E18" s="239"/>
      <c r="F18" s="239"/>
      <c r="G18" s="239"/>
      <c r="H18" s="145"/>
      <c r="I18" s="272" t="s">
        <v>138</v>
      </c>
      <c r="J18" s="946">
        <f>'CT-VT Burdens'!Q48</f>
        <v>0.02</v>
      </c>
      <c r="K18" s="947"/>
      <c r="L18" s="3" t="s">
        <v>168</v>
      </c>
      <c r="N18" s="209" t="s">
        <v>521</v>
      </c>
      <c r="V18" s="197"/>
    </row>
    <row r="19" spans="1:23" ht="18" customHeight="1">
      <c r="A19" s="196"/>
      <c r="B19" s="96" t="s">
        <v>416</v>
      </c>
      <c r="D19" s="308" t="str">
        <f>T8</f>
        <v>REC670</v>
      </c>
      <c r="I19" s="189" t="s">
        <v>138</v>
      </c>
      <c r="J19" s="976">
        <f>'CT-VT Burdens'!Q48</f>
        <v>0.02</v>
      </c>
      <c r="K19" s="977"/>
      <c r="L19" s="210" t="s">
        <v>168</v>
      </c>
      <c r="P19" s="256"/>
      <c r="V19" s="197"/>
    </row>
    <row r="20" spans="1:23" ht="18" customHeight="1">
      <c r="A20" s="196"/>
      <c r="B20" s="96" t="s">
        <v>416</v>
      </c>
      <c r="C20" s="14"/>
      <c r="D20" s="47" t="str">
        <f>T9</f>
        <v>IDM+18</v>
      </c>
      <c r="E20" s="14"/>
      <c r="G20" s="211"/>
      <c r="H20" s="27"/>
      <c r="I20" s="101" t="s">
        <v>138</v>
      </c>
      <c r="J20" s="971">
        <f>'CT-VT Burdens'!Q92</f>
        <v>5.8000000000000003E-2</v>
      </c>
      <c r="K20" s="972"/>
      <c r="L20" s="214" t="s">
        <v>168</v>
      </c>
      <c r="N20" s="120" t="s">
        <v>502</v>
      </c>
      <c r="O20" s="27" t="s">
        <v>138</v>
      </c>
      <c r="P20" s="27" t="s">
        <v>522</v>
      </c>
      <c r="Q20" s="27" t="s">
        <v>326</v>
      </c>
      <c r="R20" s="27" t="s">
        <v>522</v>
      </c>
      <c r="S20" s="27" t="s">
        <v>326</v>
      </c>
      <c r="T20" s="27" t="s">
        <v>431</v>
      </c>
      <c r="V20" s="197"/>
    </row>
    <row r="21" spans="1:23" ht="18" customHeight="1">
      <c r="A21" s="196"/>
      <c r="B21" s="96" t="s">
        <v>416</v>
      </c>
      <c r="C21" s="14"/>
      <c r="D21" s="47" t="str">
        <f t="shared" ref="D21:D22" si="0">T10</f>
        <v>P141</v>
      </c>
      <c r="E21" s="14"/>
      <c r="G21" s="211"/>
      <c r="H21" s="27"/>
      <c r="I21" s="101"/>
      <c r="J21" s="971">
        <f>'CT-VT Burdens'!Q100</f>
        <v>0.04</v>
      </c>
      <c r="K21" s="946"/>
      <c r="L21" s="214"/>
      <c r="N21" s="120"/>
      <c r="O21" s="27"/>
      <c r="P21" s="27"/>
      <c r="Q21" s="27"/>
      <c r="R21" s="27"/>
      <c r="S21" s="27"/>
      <c r="T21" s="27"/>
      <c r="V21" s="197"/>
    </row>
    <row r="22" spans="1:23" ht="18" customHeight="1">
      <c r="A22" s="196"/>
      <c r="B22" s="96" t="s">
        <v>416</v>
      </c>
      <c r="C22" s="14"/>
      <c r="D22" s="47" t="str">
        <f t="shared" si="0"/>
        <v>PQ100</v>
      </c>
      <c r="E22" s="14"/>
      <c r="G22" s="211"/>
      <c r="H22" s="27"/>
      <c r="I22" s="101"/>
      <c r="J22" s="971"/>
      <c r="K22" s="946"/>
      <c r="L22" s="214"/>
      <c r="N22" s="120"/>
      <c r="O22" s="27"/>
      <c r="P22" s="27"/>
      <c r="Q22" s="27"/>
      <c r="R22" s="27"/>
      <c r="S22" s="27"/>
      <c r="T22" s="27"/>
      <c r="V22" s="197"/>
    </row>
    <row r="23" spans="1:23" ht="18" customHeight="1">
      <c r="A23" s="196"/>
      <c r="B23" s="196" t="s">
        <v>423</v>
      </c>
      <c r="C23" s="14"/>
      <c r="D23" s="14"/>
      <c r="E23" s="14"/>
      <c r="H23" s="27"/>
      <c r="I23" s="101" t="s">
        <v>138</v>
      </c>
      <c r="J23" s="950">
        <f>'CT-VT Burdens'!S22</f>
        <v>1.44186744</v>
      </c>
      <c r="K23" s="951"/>
      <c r="L23" s="309" t="s">
        <v>168</v>
      </c>
      <c r="O23" s="27" t="s">
        <v>138</v>
      </c>
      <c r="P23" s="27">
        <f>O10</f>
        <v>1</v>
      </c>
      <c r="Q23" s="27" t="s">
        <v>326</v>
      </c>
      <c r="R23" s="27">
        <f>O10</f>
        <v>1</v>
      </c>
      <c r="S23" s="27" t="s">
        <v>326</v>
      </c>
      <c r="T23" s="27">
        <f>H12</f>
        <v>5</v>
      </c>
      <c r="V23" s="197"/>
    </row>
    <row r="24" spans="1:23" ht="18" customHeight="1">
      <c r="A24" s="196"/>
      <c r="B24" s="1" t="s">
        <v>424</v>
      </c>
      <c r="C24" s="2"/>
      <c r="D24" s="2"/>
      <c r="E24" s="2"/>
      <c r="F24" s="208"/>
      <c r="G24" s="208"/>
      <c r="H24" s="236" t="s">
        <v>523</v>
      </c>
      <c r="I24" s="195" t="s">
        <v>138</v>
      </c>
      <c r="J24" s="648">
        <f>SUM(J18:J23)</f>
        <v>1.5798674400000001</v>
      </c>
      <c r="K24" s="649"/>
      <c r="L24" s="3" t="s">
        <v>168</v>
      </c>
      <c r="O24" s="27" t="s">
        <v>138</v>
      </c>
      <c r="P24" s="637">
        <f>P23*R23*T23</f>
        <v>5</v>
      </c>
      <c r="Q24" s="639"/>
      <c r="R24" s="27" t="s">
        <v>168</v>
      </c>
      <c r="S24" s="27"/>
      <c r="T24" s="27"/>
      <c r="V24" s="197"/>
    </row>
    <row r="25" spans="1:23" ht="18" customHeight="1">
      <c r="A25" s="196"/>
      <c r="B25" s="47"/>
      <c r="C25" s="47"/>
      <c r="D25" s="47"/>
      <c r="E25" s="47"/>
      <c r="H25" s="27"/>
      <c r="I25" s="28"/>
      <c r="J25" s="211"/>
      <c r="L25" s="47"/>
      <c r="O25" s="27"/>
      <c r="P25" s="223"/>
      <c r="Q25" s="27"/>
      <c r="R25" s="216"/>
      <c r="S25" s="27"/>
      <c r="V25" s="197"/>
    </row>
    <row r="26" spans="1:23" ht="18" customHeight="1">
      <c r="A26" s="964" t="s">
        <v>547</v>
      </c>
      <c r="B26" s="965"/>
      <c r="C26" s="965"/>
      <c r="D26" s="965"/>
      <c r="E26" s="965"/>
      <c r="F26" s="965"/>
      <c r="G26" s="965"/>
      <c r="H26" s="965"/>
      <c r="I26" s="965"/>
      <c r="J26" s="965"/>
      <c r="K26" s="965"/>
      <c r="L26" s="965"/>
      <c r="M26" s="965"/>
      <c r="N26" s="965"/>
      <c r="O26" s="965"/>
      <c r="P26" s="965"/>
      <c r="Q26" s="965"/>
      <c r="R26" s="965"/>
      <c r="S26" s="965"/>
      <c r="T26" s="965"/>
      <c r="U26" s="965"/>
      <c r="V26" s="966"/>
      <c r="W26" s="30" t="s">
        <v>547</v>
      </c>
    </row>
    <row r="27" spans="1:23" ht="18" customHeight="1">
      <c r="A27" s="967"/>
      <c r="B27" s="965"/>
      <c r="C27" s="965"/>
      <c r="D27" s="965"/>
      <c r="E27" s="965"/>
      <c r="F27" s="965"/>
      <c r="G27" s="965"/>
      <c r="H27" s="965"/>
      <c r="I27" s="965"/>
      <c r="J27" s="965"/>
      <c r="K27" s="965"/>
      <c r="L27" s="965"/>
      <c r="M27" s="965"/>
      <c r="N27" s="965"/>
      <c r="O27" s="965"/>
      <c r="P27" s="965"/>
      <c r="Q27" s="965"/>
      <c r="R27" s="965"/>
      <c r="S27" s="965"/>
      <c r="T27" s="965"/>
      <c r="U27" s="965"/>
      <c r="V27" s="966"/>
    </row>
    <row r="28" spans="1:23" ht="18" customHeight="1">
      <c r="A28" s="196"/>
      <c r="Q28" s="223"/>
      <c r="R28" s="204"/>
      <c r="V28" s="197"/>
    </row>
    <row r="29" spans="1:23" ht="18" customHeight="1">
      <c r="A29" s="196"/>
      <c r="C29" s="28" t="s">
        <v>484</v>
      </c>
      <c r="D29" s="28" t="s">
        <v>138</v>
      </c>
      <c r="E29" s="28" t="s">
        <v>548</v>
      </c>
      <c r="F29" s="120" t="s">
        <v>504</v>
      </c>
      <c r="G29" s="28" t="s">
        <v>358</v>
      </c>
      <c r="H29" s="120" t="s">
        <v>502</v>
      </c>
      <c r="I29" s="28" t="s">
        <v>549</v>
      </c>
      <c r="J29" s="28" t="s">
        <v>506</v>
      </c>
      <c r="K29" s="28" t="s">
        <v>550</v>
      </c>
      <c r="L29" s="28" t="s">
        <v>522</v>
      </c>
      <c r="M29" s="28" t="s">
        <v>326</v>
      </c>
      <c r="N29" s="28">
        <v>1.3</v>
      </c>
      <c r="O29" s="47" t="s">
        <v>361</v>
      </c>
      <c r="V29" s="197"/>
    </row>
    <row r="30" spans="1:23" ht="18" customHeight="1">
      <c r="A30" s="196" t="s">
        <v>551</v>
      </c>
      <c r="C30" s="28"/>
      <c r="D30" s="28"/>
      <c r="E30" s="14"/>
      <c r="F30" s="14"/>
      <c r="G30" s="14"/>
      <c r="H30" s="14"/>
      <c r="I30" s="14"/>
      <c r="J30" s="14"/>
      <c r="K30" s="14"/>
      <c r="L30" s="14"/>
      <c r="M30" s="14"/>
      <c r="N30" s="14"/>
      <c r="O30" s="14"/>
      <c r="V30" s="197"/>
    </row>
    <row r="31" spans="1:23" ht="18" customHeight="1">
      <c r="A31" s="196"/>
      <c r="C31" s="28" t="s">
        <v>504</v>
      </c>
      <c r="D31" s="28" t="s">
        <v>138</v>
      </c>
      <c r="E31" s="28" t="s">
        <v>548</v>
      </c>
      <c r="F31" s="28">
        <v>1.3</v>
      </c>
      <c r="G31" s="28" t="s">
        <v>326</v>
      </c>
      <c r="H31" s="638" t="s">
        <v>484</v>
      </c>
      <c r="I31" s="920"/>
      <c r="J31" s="28" t="s">
        <v>326</v>
      </c>
      <c r="K31" s="28" t="s">
        <v>522</v>
      </c>
      <c r="L31" s="28" t="s">
        <v>552</v>
      </c>
      <c r="M31" s="28" t="s">
        <v>506</v>
      </c>
      <c r="N31" s="47" t="s">
        <v>553</v>
      </c>
      <c r="O31" s="120" t="s">
        <v>502</v>
      </c>
      <c r="V31" s="197"/>
    </row>
    <row r="32" spans="1:23" ht="18" customHeight="1">
      <c r="A32" s="196"/>
      <c r="V32" s="197"/>
    </row>
    <row r="33" spans="1:25" ht="18" customHeight="1">
      <c r="A33" s="180"/>
      <c r="B33" s="5"/>
      <c r="C33" s="47" t="s">
        <v>554</v>
      </c>
      <c r="D33" s="14"/>
      <c r="E33" s="14"/>
      <c r="F33" s="14"/>
      <c r="G33" s="14"/>
      <c r="H33" s="291"/>
      <c r="I33" s="120"/>
      <c r="J33" s="291"/>
      <c r="K33" s="291"/>
      <c r="L33" s="14"/>
      <c r="M33" s="14"/>
      <c r="N33" s="14"/>
      <c r="O33" s="14"/>
      <c r="P33" s="14"/>
      <c r="Q33" s="120" t="s">
        <v>555</v>
      </c>
      <c r="R33" s="102" t="s">
        <v>138</v>
      </c>
      <c r="S33" s="638">
        <f>'Parameters &amp; Fault Cal. (4)'!Q32</f>
        <v>40000</v>
      </c>
      <c r="T33" s="638"/>
      <c r="U33" s="47" t="s">
        <v>9</v>
      </c>
      <c r="V33" s="197"/>
    </row>
    <row r="34" spans="1:25" ht="18" customHeight="1">
      <c r="A34" s="180"/>
      <c r="B34" s="5"/>
      <c r="C34" s="47" t="s">
        <v>556</v>
      </c>
      <c r="D34" s="14"/>
      <c r="E34" s="14"/>
      <c r="F34" s="18"/>
      <c r="G34" s="18"/>
      <c r="H34" s="291"/>
      <c r="I34" s="120"/>
      <c r="J34" s="291"/>
      <c r="K34" s="291"/>
      <c r="L34" s="14"/>
      <c r="M34" s="14"/>
      <c r="N34" s="14"/>
      <c r="O34" s="14"/>
      <c r="P34" s="14"/>
      <c r="Q34" s="120" t="s">
        <v>434</v>
      </c>
      <c r="R34" s="102" t="s">
        <v>138</v>
      </c>
      <c r="S34" s="638">
        <f>H10</f>
        <v>1250</v>
      </c>
      <c r="T34" s="638"/>
      <c r="U34" s="14" t="s">
        <v>9</v>
      </c>
      <c r="V34" s="197"/>
    </row>
    <row r="35" spans="1:25" ht="18" customHeight="1">
      <c r="A35" s="180"/>
      <c r="B35" s="5"/>
      <c r="C35" s="47" t="s">
        <v>557</v>
      </c>
      <c r="D35" s="14"/>
      <c r="E35" s="14"/>
      <c r="F35" s="18"/>
      <c r="G35" s="18"/>
      <c r="H35" s="291"/>
      <c r="I35" s="120"/>
      <c r="J35" s="291"/>
      <c r="K35" s="291"/>
      <c r="L35" s="14"/>
      <c r="M35" s="14"/>
      <c r="N35" s="14"/>
      <c r="O35" s="14"/>
      <c r="P35" s="14"/>
      <c r="Q35" s="120" t="s">
        <v>484</v>
      </c>
      <c r="R35" s="102" t="s">
        <v>138</v>
      </c>
      <c r="S35" s="638">
        <f>H13</f>
        <v>0</v>
      </c>
      <c r="T35" s="638"/>
      <c r="U35" s="14" t="s">
        <v>316</v>
      </c>
      <c r="V35" s="197"/>
    </row>
    <row r="36" spans="1:25" ht="18" customHeight="1">
      <c r="A36" s="180"/>
      <c r="B36" s="5"/>
      <c r="C36" s="47" t="s">
        <v>558</v>
      </c>
      <c r="D36" s="14"/>
      <c r="E36" s="14"/>
      <c r="F36" s="18"/>
      <c r="G36" s="18"/>
      <c r="H36" s="291"/>
      <c r="I36" s="120"/>
      <c r="J36" s="291"/>
      <c r="K36" s="291"/>
      <c r="L36" s="14"/>
      <c r="M36" s="14"/>
      <c r="N36" s="14"/>
      <c r="O36" s="14"/>
      <c r="P36" s="14"/>
      <c r="Q36" s="120" t="s">
        <v>502</v>
      </c>
      <c r="R36" s="102" t="s">
        <v>138</v>
      </c>
      <c r="S36" s="641">
        <f>P24</f>
        <v>5</v>
      </c>
      <c r="T36" s="638"/>
      <c r="U36" s="14" t="s">
        <v>168</v>
      </c>
      <c r="V36" s="197"/>
      <c r="W36" s="291"/>
      <c r="X36" s="291"/>
      <c r="Y36" s="291"/>
    </row>
    <row r="37" spans="1:25" ht="18" customHeight="1">
      <c r="A37" s="180"/>
      <c r="B37" s="5"/>
      <c r="C37" s="47" t="s">
        <v>559</v>
      </c>
      <c r="D37" s="14"/>
      <c r="E37" s="14"/>
      <c r="F37" s="18"/>
      <c r="G37" s="18"/>
      <c r="H37" s="291"/>
      <c r="I37" s="120"/>
      <c r="J37" s="291"/>
      <c r="K37" s="291"/>
      <c r="L37" s="14"/>
      <c r="M37" s="14"/>
      <c r="N37" s="14"/>
      <c r="O37" s="14"/>
      <c r="P37" s="14"/>
      <c r="Q37" s="120" t="s">
        <v>523</v>
      </c>
      <c r="R37" s="102" t="s">
        <v>138</v>
      </c>
      <c r="S37" s="641">
        <f>J24</f>
        <v>1.5798674400000001</v>
      </c>
      <c r="T37" s="638"/>
      <c r="U37" s="14" t="s">
        <v>168</v>
      </c>
      <c r="V37" s="197"/>
      <c r="X37" s="291"/>
      <c r="Y37" s="291"/>
    </row>
    <row r="38" spans="1:25" ht="18" customHeight="1">
      <c r="A38" s="180"/>
      <c r="B38" s="5"/>
      <c r="C38" s="47" t="s">
        <v>560</v>
      </c>
      <c r="D38" s="14"/>
      <c r="E38" s="14"/>
      <c r="F38" s="14"/>
      <c r="G38" s="14"/>
      <c r="H38" s="291"/>
      <c r="I38" s="120"/>
      <c r="J38" s="291"/>
      <c r="K38" s="291"/>
      <c r="L38" s="14"/>
      <c r="M38" s="14"/>
      <c r="N38" s="14"/>
      <c r="O38" s="14"/>
      <c r="P38" s="14"/>
      <c r="Q38" s="120" t="s">
        <v>522</v>
      </c>
      <c r="R38" s="102" t="s">
        <v>138</v>
      </c>
      <c r="S38" s="638">
        <f>O10</f>
        <v>1</v>
      </c>
      <c r="T38" s="638"/>
      <c r="U38" s="14" t="s">
        <v>9</v>
      </c>
      <c r="V38" s="197"/>
      <c r="X38" s="291"/>
      <c r="Y38" s="291"/>
    </row>
    <row r="39" spans="1:25" ht="18" customHeight="1">
      <c r="A39" s="180"/>
      <c r="B39" s="5"/>
      <c r="C39" s="47" t="s">
        <v>561</v>
      </c>
      <c r="D39" s="14"/>
      <c r="E39" s="14"/>
      <c r="F39" s="14"/>
      <c r="G39" s="14"/>
      <c r="H39" s="291"/>
      <c r="I39" s="120"/>
      <c r="J39" s="291"/>
      <c r="K39" s="291"/>
      <c r="L39" s="14"/>
      <c r="M39" s="14"/>
      <c r="N39" s="14"/>
      <c r="O39" s="14"/>
      <c r="P39" s="14"/>
      <c r="Q39" s="120" t="s">
        <v>506</v>
      </c>
      <c r="R39" s="102" t="s">
        <v>138</v>
      </c>
      <c r="S39" s="638">
        <v>20</v>
      </c>
      <c r="T39" s="638"/>
      <c r="U39" s="47"/>
      <c r="V39" s="197"/>
    </row>
    <row r="40" spans="1:25" ht="18" customHeight="1">
      <c r="A40" s="311"/>
      <c r="B40" s="291"/>
      <c r="C40" s="47" t="s">
        <v>503</v>
      </c>
      <c r="D40" s="14"/>
      <c r="E40" s="14"/>
      <c r="F40" s="14"/>
      <c r="G40" s="14"/>
      <c r="H40" s="291"/>
      <c r="I40" s="120"/>
      <c r="J40" s="291"/>
      <c r="K40" s="291"/>
      <c r="L40" s="14"/>
      <c r="M40" s="14"/>
      <c r="N40" s="291"/>
      <c r="O40" s="291"/>
      <c r="P40" s="14"/>
      <c r="Q40" s="120" t="s">
        <v>504</v>
      </c>
      <c r="R40" s="27" t="s">
        <v>138</v>
      </c>
      <c r="S40" s="639">
        <v>30</v>
      </c>
      <c r="T40" s="639"/>
      <c r="U40" s="291"/>
      <c r="V40" s="312"/>
      <c r="W40" s="291"/>
      <c r="X40" s="291"/>
      <c r="Y40" s="291"/>
    </row>
    <row r="41" spans="1:25" ht="18" customHeight="1">
      <c r="A41" s="311"/>
      <c r="B41" s="291"/>
      <c r="C41" s="47"/>
      <c r="D41" s="14"/>
      <c r="E41" s="14"/>
      <c r="F41" s="14"/>
      <c r="G41" s="14"/>
      <c r="H41" s="291"/>
      <c r="I41" s="120"/>
      <c r="J41" s="291"/>
      <c r="K41" s="291"/>
      <c r="L41" s="14"/>
      <c r="M41" s="14"/>
      <c r="N41" s="291"/>
      <c r="O41" s="291"/>
      <c r="P41" s="14"/>
      <c r="Q41" s="120"/>
      <c r="R41" s="27"/>
      <c r="S41" s="27"/>
      <c r="T41" s="27"/>
      <c r="U41" s="291"/>
      <c r="V41" s="312"/>
      <c r="W41" s="291"/>
      <c r="X41" s="291"/>
      <c r="Y41" s="291"/>
    </row>
    <row r="42" spans="1:25" ht="18" customHeight="1">
      <c r="A42" s="311"/>
      <c r="B42" s="291"/>
      <c r="C42" s="47"/>
      <c r="D42" s="14"/>
      <c r="E42" s="14"/>
      <c r="F42" s="14"/>
      <c r="G42" s="14"/>
      <c r="H42" s="291"/>
      <c r="I42" s="120"/>
      <c r="J42" s="291"/>
      <c r="K42" s="291"/>
      <c r="L42" s="14"/>
      <c r="M42" s="14"/>
      <c r="N42" s="291"/>
      <c r="O42" s="291"/>
      <c r="P42" s="14"/>
      <c r="Q42" s="120"/>
      <c r="R42" s="27"/>
      <c r="S42" s="27"/>
      <c r="T42" s="27"/>
      <c r="U42" s="291"/>
      <c r="V42" s="312"/>
      <c r="W42" s="291"/>
      <c r="X42" s="291"/>
      <c r="Y42" s="291"/>
    </row>
    <row r="43" spans="1:25" ht="18" customHeight="1">
      <c r="A43" s="196"/>
      <c r="V43" s="197"/>
    </row>
    <row r="44" spans="1:25" ht="18" hidden="1" customHeight="1">
      <c r="A44" s="196"/>
      <c r="C44" s="120" t="s">
        <v>504</v>
      </c>
      <c r="D44" s="28" t="s">
        <v>138</v>
      </c>
      <c r="E44" s="28" t="s">
        <v>548</v>
      </c>
      <c r="F44" s="233">
        <v>1.3</v>
      </c>
      <c r="G44" s="233" t="s">
        <v>326</v>
      </c>
      <c r="H44" s="861" t="s">
        <v>484</v>
      </c>
      <c r="I44" s="968"/>
      <c r="J44" s="233" t="s">
        <v>326</v>
      </c>
      <c r="K44" s="233" t="s">
        <v>522</v>
      </c>
      <c r="L44" s="233" t="s">
        <v>552</v>
      </c>
      <c r="M44" s="233" t="s">
        <v>506</v>
      </c>
      <c r="N44" s="560" t="s">
        <v>553</v>
      </c>
      <c r="O44" s="575" t="s">
        <v>502</v>
      </c>
      <c r="V44" s="197"/>
    </row>
    <row r="45" spans="1:25" ht="18" hidden="1" customHeight="1">
      <c r="A45" s="196"/>
      <c r="C45" s="120"/>
      <c r="D45" s="27" t="s">
        <v>138</v>
      </c>
      <c r="E45" s="27" t="s">
        <v>548</v>
      </c>
      <c r="F45" s="257">
        <v>1.3</v>
      </c>
      <c r="G45" s="257" t="s">
        <v>326</v>
      </c>
      <c r="H45" s="969">
        <f>S35</f>
        <v>0</v>
      </c>
      <c r="I45" s="970"/>
      <c r="J45" s="257" t="s">
        <v>326</v>
      </c>
      <c r="K45" s="257">
        <f>S38</f>
        <v>1</v>
      </c>
      <c r="L45" s="257" t="s">
        <v>552</v>
      </c>
      <c r="M45" s="257">
        <f>S39</f>
        <v>20</v>
      </c>
      <c r="N45" s="474" t="s">
        <v>553</v>
      </c>
      <c r="O45" s="516">
        <f>S36</f>
        <v>5</v>
      </c>
      <c r="V45" s="197"/>
    </row>
    <row r="46" spans="1:25" ht="18" hidden="1" customHeight="1">
      <c r="A46" s="196"/>
      <c r="D46" s="27" t="s">
        <v>138</v>
      </c>
      <c r="E46" s="639">
        <f>((F45*H45)/(K45*M45))-O45</f>
        <v>-5</v>
      </c>
      <c r="F46" s="639"/>
      <c r="G46" s="27" t="s">
        <v>168</v>
      </c>
      <c r="V46" s="197"/>
    </row>
    <row r="47" spans="1:25" ht="18" customHeight="1">
      <c r="A47" s="196"/>
      <c r="V47" s="197"/>
    </row>
    <row r="48" spans="1:25" s="14" customFormat="1"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2"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2" ht="18" customHeight="1">
      <c r="A50" s="196"/>
      <c r="E50" s="256" t="s">
        <v>123</v>
      </c>
      <c r="F50" s="27" t="s">
        <v>138</v>
      </c>
      <c r="G50" s="638" t="s">
        <v>555</v>
      </c>
      <c r="H50" s="638"/>
      <c r="I50" s="203" t="s">
        <v>353</v>
      </c>
      <c r="J50" s="639" t="s">
        <v>434</v>
      </c>
      <c r="K50" s="639"/>
      <c r="V50" s="197"/>
    </row>
    <row r="51" spans="1:22" ht="18" customHeight="1">
      <c r="A51" s="196"/>
      <c r="F51" s="27" t="s">
        <v>138</v>
      </c>
      <c r="G51" s="639">
        <f>S33</f>
        <v>40000</v>
      </c>
      <c r="H51" s="639"/>
      <c r="I51" s="203" t="s">
        <v>353</v>
      </c>
      <c r="J51" s="639">
        <f>S34</f>
        <v>1250</v>
      </c>
      <c r="K51" s="639"/>
      <c r="V51" s="197"/>
    </row>
    <row r="52" spans="1:22" ht="18" customHeight="1">
      <c r="A52" s="196"/>
      <c r="F52" s="27" t="s">
        <v>138</v>
      </c>
      <c r="G52" s="637">
        <f>G51/J51</f>
        <v>32</v>
      </c>
      <c r="H52" s="637"/>
      <c r="I52" s="27"/>
      <c r="J52" s="27"/>
      <c r="K52" s="27"/>
      <c r="V52" s="197"/>
    </row>
    <row r="53" spans="1:22" ht="18" customHeight="1">
      <c r="A53" s="196"/>
      <c r="V53" s="197"/>
    </row>
    <row r="54" spans="1:22" ht="17.399999999999999" customHeight="1">
      <c r="A54" s="196"/>
      <c r="E54" s="256" t="s">
        <v>564</v>
      </c>
      <c r="F54" s="27" t="s">
        <v>138</v>
      </c>
      <c r="G54" s="233" t="s">
        <v>506</v>
      </c>
      <c r="H54" s="233" t="s">
        <v>565</v>
      </c>
      <c r="I54" s="575" t="s">
        <v>502</v>
      </c>
      <c r="J54" s="233" t="s">
        <v>358</v>
      </c>
      <c r="K54" s="575" t="s">
        <v>504</v>
      </c>
      <c r="L54" s="233" t="s">
        <v>550</v>
      </c>
      <c r="M54" s="575" t="s">
        <v>502</v>
      </c>
      <c r="N54" s="233" t="s">
        <v>358</v>
      </c>
      <c r="O54" s="575" t="s">
        <v>523</v>
      </c>
      <c r="P54" s="28" t="s">
        <v>361</v>
      </c>
      <c r="V54" s="197"/>
    </row>
    <row r="55" spans="1:22" ht="18" customHeight="1">
      <c r="A55" s="196"/>
      <c r="F55" s="27" t="s">
        <v>138</v>
      </c>
      <c r="G55" s="254">
        <f>S39</f>
        <v>20</v>
      </c>
      <c r="H55" s="257" t="s">
        <v>565</v>
      </c>
      <c r="I55" s="313">
        <f>S36</f>
        <v>5</v>
      </c>
      <c r="J55" s="257" t="s">
        <v>358</v>
      </c>
      <c r="K55" s="313">
        <f>S40</f>
        <v>30</v>
      </c>
      <c r="L55" s="257" t="s">
        <v>550</v>
      </c>
      <c r="M55" s="313">
        <f>S36</f>
        <v>5</v>
      </c>
      <c r="N55" s="257" t="s">
        <v>358</v>
      </c>
      <c r="O55" s="313">
        <f>S37</f>
        <v>1.5798674400000001</v>
      </c>
      <c r="P55" s="27" t="s">
        <v>361</v>
      </c>
      <c r="V55" s="197"/>
    </row>
    <row r="56" spans="1:22" ht="18" customHeight="1">
      <c r="A56" s="196"/>
      <c r="F56" s="27" t="s">
        <v>138</v>
      </c>
      <c r="G56" s="640">
        <f>G55*((I55+K55)/(M55+O55))</f>
        <v>106.3851219470768</v>
      </c>
      <c r="H56" s="640"/>
      <c r="I56" s="254"/>
      <c r="J56" s="254"/>
      <c r="K56" s="254"/>
      <c r="L56" s="254"/>
      <c r="M56" s="254"/>
      <c r="N56" s="254"/>
      <c r="O56" s="254"/>
      <c r="V56" s="197"/>
    </row>
    <row r="57" spans="1:22" ht="18" customHeight="1">
      <c r="A57" s="196"/>
      <c r="V57" s="197"/>
    </row>
    <row r="58" spans="1:22" ht="18" customHeight="1">
      <c r="A58" s="196"/>
      <c r="E58" s="256" t="s">
        <v>566</v>
      </c>
      <c r="F58" s="27" t="str">
        <f>IF(D59&gt;G59,"&gt;","&lt;")</f>
        <v>&gt;</v>
      </c>
      <c r="G58" s="308" t="s">
        <v>123</v>
      </c>
      <c r="V58" s="197"/>
    </row>
    <row r="59" spans="1:22" ht="18" customHeight="1">
      <c r="A59" s="196"/>
      <c r="D59" s="637">
        <f>G56</f>
        <v>106.3851219470768</v>
      </c>
      <c r="E59" s="637"/>
      <c r="F59" s="27" t="str">
        <f>F58</f>
        <v>&gt;</v>
      </c>
      <c r="G59" s="637">
        <f>G52</f>
        <v>32</v>
      </c>
      <c r="H59" s="637"/>
      <c r="V59" s="197"/>
    </row>
    <row r="60" spans="1:22" ht="18" customHeight="1">
      <c r="A60" s="196"/>
      <c r="E60" s="256" t="s">
        <v>489</v>
      </c>
      <c r="G60" s="18" t="str">
        <f>IF(F58="&gt;","Suitably Dimentioned","Under Dimentioned")</f>
        <v>Suitably Dimentioned</v>
      </c>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465"/>
      <c r="B87" s="219"/>
      <c r="C87" s="219"/>
      <c r="D87" s="219"/>
      <c r="E87" s="219"/>
      <c r="F87" s="219"/>
      <c r="G87" s="219"/>
      <c r="H87" s="219"/>
      <c r="I87" s="219"/>
      <c r="J87" s="219"/>
      <c r="K87" s="219"/>
      <c r="L87" s="219"/>
      <c r="M87" s="219"/>
      <c r="N87" s="219"/>
      <c r="O87" s="219"/>
      <c r="P87" s="219"/>
      <c r="Q87" s="219"/>
      <c r="R87" s="219"/>
      <c r="S87" s="219"/>
      <c r="T87" s="219"/>
      <c r="U87" s="219"/>
      <c r="V87" s="466"/>
    </row>
    <row r="88" spans="1:22" ht="18" customHeight="1">
      <c r="A88" s="302"/>
      <c r="B88" s="208"/>
      <c r="C88" s="208"/>
      <c r="D88" s="208"/>
      <c r="E88" s="208"/>
      <c r="F88" s="208"/>
      <c r="G88" s="208"/>
      <c r="H88" s="208"/>
      <c r="I88" s="208"/>
      <c r="J88" s="208"/>
      <c r="K88" s="208"/>
      <c r="L88" s="208"/>
      <c r="M88" s="208"/>
      <c r="N88" s="208"/>
      <c r="O88" s="208"/>
      <c r="P88" s="208"/>
      <c r="Q88" s="208"/>
      <c r="R88" s="208"/>
      <c r="S88" s="208"/>
      <c r="T88" s="208"/>
      <c r="U88" s="208"/>
      <c r="V88" s="303"/>
    </row>
    <row r="89" spans="1:22" ht="18" customHeight="1">
      <c r="A89" s="238"/>
      <c r="B89" s="239"/>
      <c r="C89" s="239"/>
      <c r="D89" s="239"/>
      <c r="E89" s="239"/>
      <c r="F89" s="239"/>
      <c r="G89" s="239"/>
      <c r="H89" s="239"/>
      <c r="I89" s="239"/>
      <c r="J89" s="239"/>
      <c r="K89" s="239"/>
      <c r="L89" s="239"/>
      <c r="M89" s="239"/>
      <c r="N89" s="239"/>
      <c r="O89" s="239"/>
      <c r="P89" s="239"/>
      <c r="Q89" s="239"/>
      <c r="R89" s="239"/>
      <c r="S89" s="239"/>
      <c r="T89" s="239"/>
      <c r="U89" s="239"/>
      <c r="V89" s="240"/>
    </row>
    <row r="90" spans="1:22" ht="18" customHeight="1">
      <c r="A90" s="465" t="s">
        <v>512</v>
      </c>
      <c r="B90" s="14"/>
      <c r="C90" s="14"/>
      <c r="D90" s="120"/>
      <c r="E90" s="120"/>
      <c r="F90" s="18"/>
      <c r="G90" s="18"/>
      <c r="H90" s="14"/>
      <c r="I90" s="14"/>
      <c r="J90" s="14"/>
      <c r="K90" s="14"/>
      <c r="V90" s="197"/>
    </row>
    <row r="91" spans="1:22" ht="18" customHeight="1">
      <c r="A91" s="614" t="s">
        <v>97</v>
      </c>
      <c r="B91" s="620"/>
      <c r="C91" s="615"/>
      <c r="D91" s="614" t="s">
        <v>98</v>
      </c>
      <c r="E91" s="620"/>
      <c r="F91" s="615"/>
      <c r="G91" s="614" t="s">
        <v>99</v>
      </c>
      <c r="H91" s="615"/>
      <c r="I91" s="614" t="s">
        <v>100</v>
      </c>
      <c r="J91" s="615"/>
      <c r="K91" s="614" t="s">
        <v>513</v>
      </c>
      <c r="L91" s="615"/>
      <c r="M91" s="614" t="s">
        <v>514</v>
      </c>
      <c r="N91" s="615"/>
      <c r="O91" s="614" t="s">
        <v>515</v>
      </c>
      <c r="P91" s="615"/>
      <c r="Q91" s="614" t="s">
        <v>516</v>
      </c>
      <c r="R91" s="615"/>
      <c r="S91" s="614" t="s">
        <v>105</v>
      </c>
      <c r="T91" s="620"/>
      <c r="U91" s="620"/>
      <c r="V91" s="615"/>
    </row>
    <row r="92" spans="1:22" ht="18" customHeight="1">
      <c r="A92" s="616"/>
      <c r="B92" s="621"/>
      <c r="C92" s="617"/>
      <c r="D92" s="616"/>
      <c r="E92" s="621"/>
      <c r="F92" s="617"/>
      <c r="G92" s="616"/>
      <c r="H92" s="617"/>
      <c r="I92" s="616"/>
      <c r="J92" s="617"/>
      <c r="K92" s="616"/>
      <c r="L92" s="617"/>
      <c r="M92" s="616"/>
      <c r="N92" s="617"/>
      <c r="O92" s="616"/>
      <c r="P92" s="617"/>
      <c r="Q92" s="616"/>
      <c r="R92" s="617"/>
      <c r="S92" s="616"/>
      <c r="T92" s="621"/>
      <c r="U92" s="621"/>
      <c r="V92" s="617"/>
    </row>
    <row r="93" spans="1:22" ht="18" customHeight="1">
      <c r="A93" s="616"/>
      <c r="B93" s="621"/>
      <c r="C93" s="617"/>
      <c r="D93" s="616"/>
      <c r="E93" s="621"/>
      <c r="F93" s="617"/>
      <c r="G93" s="616"/>
      <c r="H93" s="617"/>
      <c r="I93" s="616"/>
      <c r="J93" s="617"/>
      <c r="K93" s="616"/>
      <c r="L93" s="617"/>
      <c r="M93" s="616"/>
      <c r="N93" s="617"/>
      <c r="O93" s="616"/>
      <c r="P93" s="617"/>
      <c r="Q93" s="616"/>
      <c r="R93" s="617"/>
      <c r="S93" s="616"/>
      <c r="T93" s="621"/>
      <c r="U93" s="621"/>
      <c r="V93" s="617"/>
    </row>
    <row r="94" spans="1:22" ht="18" customHeight="1">
      <c r="A94" s="618"/>
      <c r="B94" s="622"/>
      <c r="C94" s="619"/>
      <c r="D94" s="618"/>
      <c r="E94" s="622"/>
      <c r="F94" s="619"/>
      <c r="G94" s="618"/>
      <c r="H94" s="619"/>
      <c r="I94" s="618"/>
      <c r="J94" s="619"/>
      <c r="K94" s="618"/>
      <c r="L94" s="619"/>
      <c r="M94" s="618"/>
      <c r="N94" s="619"/>
      <c r="O94" s="618"/>
      <c r="P94" s="619"/>
      <c r="Q94" s="618"/>
      <c r="R94" s="619"/>
      <c r="S94" s="618"/>
      <c r="T94" s="622"/>
      <c r="U94" s="622"/>
      <c r="V94" s="619"/>
    </row>
    <row r="95" spans="1:22" ht="18" customHeight="1">
      <c r="A95" s="623" t="str">
        <f>B7</f>
        <v>T1</v>
      </c>
      <c r="B95" s="623" t="str">
        <f>D7</f>
        <v>Core3</v>
      </c>
      <c r="C95" s="623"/>
      <c r="D95" s="613">
        <f>H10</f>
        <v>1250</v>
      </c>
      <c r="E95" s="613"/>
      <c r="F95" s="624">
        <f>O10</f>
        <v>1</v>
      </c>
      <c r="G95" s="613">
        <f>'CT-VT Burdens'!S19</f>
        <v>80</v>
      </c>
      <c r="H95" s="783">
        <f>'CT-VT Burdens'!S10</f>
        <v>2.5</v>
      </c>
      <c r="I95" s="783" t="str">
        <f>H11</f>
        <v>5P20</v>
      </c>
      <c r="J95" s="783" t="e">
        <f>#REF!</f>
        <v>#REF!</v>
      </c>
      <c r="K95" s="612">
        <f>H12</f>
        <v>5</v>
      </c>
      <c r="L95" s="612"/>
      <c r="M95" s="785" t="s">
        <v>7</v>
      </c>
      <c r="N95" s="612"/>
      <c r="O95" s="786" t="s">
        <v>7</v>
      </c>
      <c r="P95" s="613"/>
      <c r="Q95" s="629" t="str">
        <f>IF(T8="",T7,IF(T9="",T7&amp;" "&amp;T8,T7&amp;" "&amp;T8&amp;" "&amp;T9))</f>
        <v>REF650 REC670 IDM+18</v>
      </c>
      <c r="R95" s="629"/>
      <c r="S95" s="628" t="str">
        <f>G60</f>
        <v>Suitably Dimentioned</v>
      </c>
      <c r="T95" s="628"/>
      <c r="U95" s="628"/>
      <c r="V95" s="628"/>
    </row>
    <row r="96" spans="1:22" ht="18" customHeight="1">
      <c r="A96" s="623"/>
      <c r="B96" s="623"/>
      <c r="C96" s="623"/>
      <c r="D96" s="786" t="s">
        <v>7</v>
      </c>
      <c r="E96" s="613"/>
      <c r="F96" s="625"/>
      <c r="G96" s="613"/>
      <c r="H96" s="613"/>
      <c r="I96" s="783"/>
      <c r="J96" s="783"/>
      <c r="K96" s="785" t="s">
        <v>7</v>
      </c>
      <c r="L96" s="612"/>
      <c r="M96" s="785" t="s">
        <v>7</v>
      </c>
      <c r="N96" s="612"/>
      <c r="O96" s="786" t="s">
        <v>7</v>
      </c>
      <c r="P96" s="613"/>
      <c r="Q96" s="629"/>
      <c r="R96" s="629"/>
      <c r="S96" s="961" t="s">
        <v>7</v>
      </c>
      <c r="T96" s="628"/>
      <c r="U96" s="628"/>
      <c r="V96" s="628"/>
    </row>
    <row r="97" spans="1:22" ht="18" customHeight="1">
      <c r="A97" s="623"/>
      <c r="B97" s="623"/>
      <c r="C97" s="623"/>
      <c r="D97" s="786" t="s">
        <v>7</v>
      </c>
      <c r="E97" s="613"/>
      <c r="F97" s="626"/>
      <c r="G97" s="613"/>
      <c r="H97" s="613"/>
      <c r="I97" s="783"/>
      <c r="J97" s="783"/>
      <c r="K97" s="785" t="s">
        <v>7</v>
      </c>
      <c r="L97" s="612"/>
      <c r="M97" s="785" t="s">
        <v>7</v>
      </c>
      <c r="N97" s="612"/>
      <c r="O97" s="786" t="s">
        <v>7</v>
      </c>
      <c r="P97" s="613"/>
      <c r="Q97" s="629"/>
      <c r="R97" s="629"/>
      <c r="S97" s="628" t="s">
        <v>7</v>
      </c>
      <c r="T97" s="628"/>
      <c r="U97" s="628"/>
      <c r="V97" s="628"/>
    </row>
    <row r="98" spans="1:22" ht="18" customHeight="1">
      <c r="A98" s="196"/>
      <c r="V98" s="197"/>
    </row>
    <row r="99" spans="1:22" ht="18" customHeight="1">
      <c r="A99" s="196"/>
      <c r="V99" s="197"/>
    </row>
    <row r="100" spans="1:22" ht="18" customHeight="1">
      <c r="A100" s="196"/>
      <c r="V100" s="197"/>
    </row>
    <row r="101" spans="1:22" ht="18" customHeight="1">
      <c r="A101" s="196"/>
      <c r="V101" s="197"/>
    </row>
    <row r="102" spans="1:22" ht="18" customHeight="1">
      <c r="A102" s="196"/>
      <c r="V102" s="197"/>
    </row>
    <row r="103" spans="1:22" ht="18" customHeight="1">
      <c r="A103" s="196"/>
      <c r="V103" s="197"/>
    </row>
    <row r="104" spans="1:22" ht="18" customHeight="1">
      <c r="A104" s="196"/>
      <c r="V104" s="197"/>
    </row>
    <row r="105" spans="1:22" ht="18" customHeight="1">
      <c r="A105" s="196"/>
      <c r="V105" s="197"/>
    </row>
    <row r="106" spans="1:22" ht="18" customHeight="1">
      <c r="A106" s="196"/>
      <c r="V106" s="197"/>
    </row>
    <row r="107" spans="1:22" ht="18" customHeight="1">
      <c r="A107" s="196"/>
      <c r="V107" s="197"/>
    </row>
    <row r="108" spans="1:22" ht="18" customHeight="1">
      <c r="A108" s="196"/>
      <c r="V108" s="197"/>
    </row>
    <row r="109" spans="1:22" ht="18" customHeight="1">
      <c r="A109" s="196"/>
      <c r="V109" s="197"/>
    </row>
    <row r="110" spans="1:22" ht="18" customHeight="1">
      <c r="A110" s="196"/>
      <c r="V110" s="197"/>
    </row>
    <row r="111" spans="1:22" ht="18" customHeight="1">
      <c r="A111" s="196"/>
      <c r="V111" s="197"/>
    </row>
    <row r="112" spans="1:22"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196"/>
      <c r="V126" s="197"/>
    </row>
    <row r="127" spans="1:22" ht="18" customHeight="1">
      <c r="A127" s="196"/>
      <c r="V127" s="197"/>
    </row>
    <row r="128" spans="1:22" s="14" customFormat="1" ht="18" customHeight="1">
      <c r="A128" s="206"/>
      <c r="B128" s="207"/>
      <c r="C128" s="207"/>
      <c r="D128" s="207"/>
      <c r="E128" s="207"/>
      <c r="F128" s="207"/>
      <c r="G128" s="207"/>
      <c r="H128" s="207"/>
      <c r="I128" s="207"/>
      <c r="J128" s="207"/>
      <c r="K128" s="207"/>
      <c r="L128" s="207"/>
      <c r="M128" s="207"/>
      <c r="N128" s="207"/>
      <c r="O128" s="207"/>
      <c r="P128" s="207"/>
      <c r="Q128" s="236"/>
      <c r="R128" s="194"/>
      <c r="S128" s="237"/>
      <c r="T128" s="207"/>
      <c r="U128" s="207"/>
      <c r="V128" s="140"/>
    </row>
  </sheetData>
  <mergeCells count="9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O4:Q4"/>
    <mergeCell ref="R4:V4"/>
    <mergeCell ref="H10:I10"/>
    <mergeCell ref="J10:K10"/>
    <mergeCell ref="L10:M10"/>
    <mergeCell ref="T12:U12"/>
    <mergeCell ref="B7:C7"/>
    <mergeCell ref="T7:U7"/>
    <mergeCell ref="H11:I11"/>
    <mergeCell ref="T8:U8"/>
    <mergeCell ref="H9:I9"/>
    <mergeCell ref="J9:K9"/>
    <mergeCell ref="L9:M9"/>
    <mergeCell ref="T9:U9"/>
    <mergeCell ref="H12:I12"/>
    <mergeCell ref="H13:I13"/>
    <mergeCell ref="H14:I14"/>
    <mergeCell ref="J18:K18"/>
    <mergeCell ref="J19:K19"/>
    <mergeCell ref="S38:T38"/>
    <mergeCell ref="J20:K20"/>
    <mergeCell ref="J23:K23"/>
    <mergeCell ref="J24:K24"/>
    <mergeCell ref="P24:Q24"/>
    <mergeCell ref="A26:V27"/>
    <mergeCell ref="H31:I31"/>
    <mergeCell ref="S33:T33"/>
    <mergeCell ref="S34:T34"/>
    <mergeCell ref="S35:T35"/>
    <mergeCell ref="S36:T36"/>
    <mergeCell ref="S37:T37"/>
    <mergeCell ref="H44:I44"/>
    <mergeCell ref="H45:I45"/>
    <mergeCell ref="E46:F46"/>
    <mergeCell ref="G50:H50"/>
    <mergeCell ref="J50:K50"/>
    <mergeCell ref="S95:V95"/>
    <mergeCell ref="D96:E96"/>
    <mergeCell ref="K96:L96"/>
    <mergeCell ref="M96:N96"/>
    <mergeCell ref="T10:U10"/>
    <mergeCell ref="T11:U11"/>
    <mergeCell ref="J21:K21"/>
    <mergeCell ref="J22:K22"/>
    <mergeCell ref="G51:H51"/>
    <mergeCell ref="J51:K51"/>
    <mergeCell ref="G52:H52"/>
    <mergeCell ref="G56:H56"/>
    <mergeCell ref="D59:E59"/>
    <mergeCell ref="G59:H59"/>
    <mergeCell ref="S39:T39"/>
    <mergeCell ref="S40:T40"/>
    <mergeCell ref="O91:P94"/>
    <mergeCell ref="Q91:R94"/>
    <mergeCell ref="D95:E95"/>
    <mergeCell ref="K95:L95"/>
    <mergeCell ref="M95:N95"/>
    <mergeCell ref="O95:P95"/>
    <mergeCell ref="D91:F94"/>
    <mergeCell ref="G91:H94"/>
    <mergeCell ref="I91:J94"/>
    <mergeCell ref="K91:L94"/>
    <mergeCell ref="M91:N94"/>
    <mergeCell ref="M97:N97"/>
    <mergeCell ref="O97:P97"/>
    <mergeCell ref="S97:V97"/>
    <mergeCell ref="S91:V94"/>
    <mergeCell ref="A95:A97"/>
    <mergeCell ref="B95:C97"/>
    <mergeCell ref="F95:F97"/>
    <mergeCell ref="G95:G97"/>
    <mergeCell ref="H95:H97"/>
    <mergeCell ref="I95:J97"/>
    <mergeCell ref="Q95:R97"/>
    <mergeCell ref="D97:E97"/>
    <mergeCell ref="K97:L97"/>
    <mergeCell ref="O96:P96"/>
    <mergeCell ref="S96:V96"/>
    <mergeCell ref="A91:C94"/>
  </mergeCells>
  <phoneticPr fontId="5" type="noConversion"/>
  <conditionalFormatting sqref="G60">
    <cfRule type="cellIs" dxfId="84" priority="1" stopIfTrue="1" operator="equal">
      <formula>"Under Dimentioned"</formula>
    </cfRule>
  </conditionalFormatting>
  <dataValidations count="2">
    <dataValidation type="list" allowBlank="1" showInputMessage="1" showErrorMessage="1" sqref="D7" xr:uid="{87863C9E-CA78-4D13-9665-89927F914402}">
      <formula1>"Core1,Core2,Core3"</formula1>
    </dataValidation>
    <dataValidation type="decimal" operator="equal" allowBlank="1" showInputMessage="1" showErrorMessage="1" sqref="K55" xr:uid="{F4A5F53E-DB0C-4833-AF00-69B48AAB9EBF}">
      <formula1>0</formula1>
    </dataValidation>
  </dataValidations>
  <printOptions horizontalCentered="1" verticalCentered="1"/>
  <pageMargins left="0.5" right="0.5" top="0.5" bottom="0.5" header="0" footer="0"/>
  <pageSetup paperSize="9" scale="90" orientation="portrait" r:id="rId1"/>
  <headerFooter alignWithMargins="0"/>
  <rowBreaks count="2" manualBreakCount="2">
    <brk id="48" max="21" man="1"/>
    <brk id="88" max="21"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38E50-2A88-4E6A-907E-42F447A7DAD5}">
  <sheetPr>
    <tabColor rgb="FFFFFF00"/>
  </sheetPr>
  <dimension ref="A1:AC298"/>
  <sheetViews>
    <sheetView showZeros="0" view="pageBreakPreview" zoomScale="115" zoomScaleNormal="100" zoomScaleSheetLayoutView="115" workbookViewId="0">
      <selection activeCell="R5" sqref="R5:V5"/>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Title!H2</f>
        <v>ADEQUACY CHECK</v>
      </c>
      <c r="I2" s="730"/>
      <c r="J2" s="730"/>
      <c r="K2" s="730"/>
      <c r="L2" s="730"/>
      <c r="M2" s="730"/>
      <c r="N2" s="731"/>
      <c r="O2" s="702" t="str">
        <f>Title!O2</f>
        <v>Date</v>
      </c>
      <c r="P2" s="703"/>
      <c r="Q2" s="704"/>
      <c r="R2" s="732">
        <f>Title!R2</f>
        <v>46106</v>
      </c>
      <c r="S2" s="706"/>
      <c r="T2" s="706"/>
      <c r="U2" s="706"/>
      <c r="V2" s="707"/>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14"/>
      <c r="X4" s="14"/>
    </row>
    <row r="5" spans="1:24" ht="18" customHeight="1">
      <c r="A5" s="708" t="str">
        <f>Title!A5</f>
        <v>Prep. By</v>
      </c>
      <c r="B5" s="709"/>
      <c r="C5" s="25" t="str">
        <f>Title!C5</f>
        <v>AP</v>
      </c>
      <c r="D5" s="708" t="str">
        <f>Title!D5</f>
        <v>Checked By</v>
      </c>
      <c r="E5" s="710"/>
      <c r="F5" s="709"/>
      <c r="G5" s="25" t="str">
        <f>Title!G5</f>
        <v>RB</v>
      </c>
      <c r="H5" s="711" t="s">
        <v>926</v>
      </c>
      <c r="I5" s="712"/>
      <c r="J5" s="712"/>
      <c r="K5" s="712"/>
      <c r="L5" s="712"/>
      <c r="M5" s="712"/>
      <c r="N5" s="713"/>
      <c r="O5" s="714" t="str">
        <f>Title!O5</f>
        <v>Contractor</v>
      </c>
      <c r="P5" s="715"/>
      <c r="Q5" s="716"/>
      <c r="R5" s="705" t="str">
        <f>Title!R5</f>
        <v>HITACHI</v>
      </c>
      <c r="S5" s="706"/>
      <c r="T5" s="706"/>
      <c r="U5" s="706"/>
      <c r="V5" s="707"/>
      <c r="W5" s="14"/>
      <c r="X5" s="14"/>
    </row>
    <row r="6" spans="1:24" ht="18" customHeight="1">
      <c r="A6" s="196"/>
      <c r="B6" s="198"/>
      <c r="D6" s="467"/>
      <c r="V6" s="197"/>
    </row>
    <row r="7" spans="1:24" ht="18" customHeight="1">
      <c r="A7" s="196"/>
      <c r="B7" s="656" t="s">
        <v>120</v>
      </c>
      <c r="C7" s="657"/>
      <c r="D7" s="894" t="s">
        <v>125</v>
      </c>
      <c r="E7" s="995"/>
      <c r="F7" s="468"/>
      <c r="H7" s="638"/>
      <c r="I7" s="639"/>
      <c r="J7" s="639"/>
      <c r="K7" s="639"/>
      <c r="L7" s="639"/>
      <c r="M7" s="639"/>
      <c r="P7" s="198"/>
      <c r="S7" s="199" t="s">
        <v>398</v>
      </c>
      <c r="T7" s="656" t="s">
        <v>190</v>
      </c>
      <c r="U7" s="657"/>
      <c r="V7" s="197"/>
    </row>
    <row r="8" spans="1:24" ht="18" customHeight="1">
      <c r="A8" s="469"/>
      <c r="F8" s="468"/>
      <c r="T8" s="656"/>
      <c r="U8" s="657"/>
      <c r="V8" s="197"/>
    </row>
    <row r="9" spans="1:24" ht="18" customHeight="1">
      <c r="A9" s="196"/>
      <c r="H9" s="662" t="s">
        <v>401</v>
      </c>
      <c r="I9" s="662"/>
      <c r="J9" s="701" t="s">
        <v>402</v>
      </c>
      <c r="K9" s="701"/>
      <c r="L9" s="701" t="s">
        <v>403</v>
      </c>
      <c r="M9" s="701"/>
      <c r="T9" s="656"/>
      <c r="U9" s="657"/>
      <c r="V9" s="197"/>
    </row>
    <row r="10" spans="1:24" ht="18" customHeight="1">
      <c r="A10" s="196"/>
      <c r="B10" s="47" t="s">
        <v>404</v>
      </c>
      <c r="H10" s="692">
        <v>2500</v>
      </c>
      <c r="I10" s="693"/>
      <c r="J10" s="656" t="s">
        <v>7</v>
      </c>
      <c r="K10" s="657"/>
      <c r="L10" s="656" t="s">
        <v>7</v>
      </c>
      <c r="M10" s="657"/>
      <c r="N10" s="203" t="s">
        <v>353</v>
      </c>
      <c r="O10" s="125">
        <v>1</v>
      </c>
      <c r="P10" s="27" t="s">
        <v>9</v>
      </c>
      <c r="R10" s="267"/>
      <c r="S10" s="267"/>
      <c r="V10" s="197"/>
    </row>
    <row r="11" spans="1:24" ht="18" customHeight="1">
      <c r="A11" s="196"/>
      <c r="B11" s="47" t="s">
        <v>405</v>
      </c>
      <c r="H11" s="656" t="s">
        <v>849</v>
      </c>
      <c r="I11" s="657"/>
      <c r="V11" s="197"/>
    </row>
    <row r="12" spans="1:24" ht="18" customHeight="1">
      <c r="A12" s="196"/>
      <c r="B12" s="47" t="s">
        <v>407</v>
      </c>
      <c r="G12" s="120" t="s">
        <v>508</v>
      </c>
      <c r="H12" s="656">
        <v>5</v>
      </c>
      <c r="I12" s="657"/>
      <c r="J12" s="204" t="s">
        <v>344</v>
      </c>
      <c r="M12" s="14"/>
      <c r="N12" s="14"/>
      <c r="V12" s="197"/>
    </row>
    <row r="13" spans="1:24" ht="18" customHeight="1">
      <c r="A13" s="196"/>
      <c r="B13" s="47" t="s">
        <v>409</v>
      </c>
      <c r="G13" s="120" t="s">
        <v>509</v>
      </c>
      <c r="H13" s="656">
        <v>750</v>
      </c>
      <c r="I13" s="657"/>
      <c r="J13" s="14" t="s">
        <v>316</v>
      </c>
      <c r="M13" s="14"/>
      <c r="T13" s="307"/>
      <c r="U13" s="18"/>
      <c r="V13" s="197"/>
      <c r="W13" s="30" t="e">
        <f>#REF!</f>
        <v>#REF!</v>
      </c>
    </row>
    <row r="14" spans="1:24" ht="18" customHeight="1">
      <c r="A14" s="196"/>
      <c r="B14" s="14" t="s">
        <v>412</v>
      </c>
      <c r="G14" s="120" t="s">
        <v>413</v>
      </c>
      <c r="H14" s="656">
        <v>60</v>
      </c>
      <c r="I14" s="657"/>
      <c r="J14" s="14" t="s">
        <v>414</v>
      </c>
      <c r="M14" s="14"/>
      <c r="N14" s="14"/>
      <c r="V14" s="197"/>
    </row>
    <row r="15" spans="1:24" ht="18" customHeight="1">
      <c r="A15" s="196"/>
      <c r="B15" s="14"/>
      <c r="V15" s="197"/>
    </row>
    <row r="16" spans="1:24" ht="18" customHeight="1">
      <c r="A16" s="205" t="s">
        <v>415</v>
      </c>
      <c r="V16" s="197"/>
    </row>
    <row r="17" spans="1:25" ht="18" customHeight="1">
      <c r="A17" s="196"/>
      <c r="V17" s="197"/>
    </row>
    <row r="18" spans="1:25" ht="18" customHeight="1">
      <c r="A18" s="196"/>
      <c r="B18" s="141" t="s">
        <v>416</v>
      </c>
      <c r="C18" s="285"/>
      <c r="D18" s="146" t="str">
        <f>T7</f>
        <v>REB500</v>
      </c>
      <c r="E18" s="239"/>
      <c r="F18" s="239"/>
      <c r="G18" s="239"/>
      <c r="H18" s="145"/>
      <c r="I18" s="272" t="s">
        <v>138</v>
      </c>
      <c r="J18" s="684">
        <f>'CT-VT Burdens'!Q49</f>
        <v>0.01</v>
      </c>
      <c r="K18" s="685"/>
      <c r="L18" s="3" t="s">
        <v>168</v>
      </c>
      <c r="N18" s="209" t="s">
        <v>521</v>
      </c>
      <c r="V18" s="197"/>
    </row>
    <row r="19" spans="1:25" ht="18" customHeight="1">
      <c r="A19" s="196"/>
      <c r="B19" s="96" t="s">
        <v>416</v>
      </c>
      <c r="C19" s="14"/>
      <c r="D19" s="47">
        <f>T8</f>
        <v>0</v>
      </c>
      <c r="H19" s="28"/>
      <c r="I19" s="101" t="s">
        <v>138</v>
      </c>
      <c r="J19" s="684"/>
      <c r="K19" s="685"/>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684"/>
      <c r="K20" s="685"/>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690">
        <f>'CT-VT Burdens'!S22</f>
        <v>1.44186744</v>
      </c>
      <c r="K21" s="691"/>
      <c r="L21" s="309" t="s">
        <v>168</v>
      </c>
      <c r="O21" s="27" t="s">
        <v>138</v>
      </c>
      <c r="P21" s="637">
        <f>P20*R20*T20</f>
        <v>5</v>
      </c>
      <c r="Q21" s="639"/>
      <c r="R21" s="27" t="s">
        <v>168</v>
      </c>
      <c r="V21" s="197"/>
    </row>
    <row r="22" spans="1:25" ht="18" customHeight="1">
      <c r="A22" s="196"/>
      <c r="B22" s="1" t="s">
        <v>424</v>
      </c>
      <c r="C22" s="2"/>
      <c r="D22" s="2"/>
      <c r="E22" s="2"/>
      <c r="F22" s="208"/>
      <c r="G22" s="208"/>
      <c r="H22" s="236" t="s">
        <v>523</v>
      </c>
      <c r="I22" s="195" t="s">
        <v>138</v>
      </c>
      <c r="J22" s="644">
        <f>SUM(J18:J21)</f>
        <v>1.45186744</v>
      </c>
      <c r="K22" s="648"/>
      <c r="L22" s="3" t="s">
        <v>168</v>
      </c>
      <c r="V22" s="197"/>
    </row>
    <row r="23" spans="1:25" ht="18" customHeight="1">
      <c r="A23" s="196"/>
      <c r="B23" s="47"/>
      <c r="C23" s="47"/>
      <c r="D23" s="47"/>
      <c r="E23" s="47"/>
      <c r="H23" s="27"/>
      <c r="I23" s="28"/>
      <c r="J23" s="211"/>
      <c r="L23" s="47"/>
      <c r="S23" s="27"/>
      <c r="V23" s="197"/>
    </row>
    <row r="24" spans="1:25" ht="18" customHeight="1">
      <c r="A24" s="196"/>
      <c r="B24" s="117" t="s">
        <v>723</v>
      </c>
      <c r="V24" s="197"/>
    </row>
    <row r="25" spans="1:25" ht="18" customHeight="1">
      <c r="A25" s="180"/>
      <c r="B25" s="5"/>
      <c r="C25" s="47" t="s">
        <v>724</v>
      </c>
      <c r="D25" s="14"/>
      <c r="E25" s="14"/>
      <c r="F25" s="14"/>
      <c r="G25" s="14"/>
      <c r="H25" s="291"/>
      <c r="I25" s="120"/>
      <c r="J25" s="291"/>
      <c r="K25" s="291"/>
      <c r="L25" s="14"/>
      <c r="M25" s="14"/>
      <c r="N25" s="14"/>
      <c r="O25" s="14"/>
      <c r="P25" s="14"/>
      <c r="Q25" s="120" t="s">
        <v>725</v>
      </c>
      <c r="R25" s="102" t="s">
        <v>138</v>
      </c>
      <c r="S25" s="638">
        <f>'Parameters &amp; Fault Cal. (4)'!Q10 *1000</f>
        <v>40000</v>
      </c>
      <c r="T25" s="638"/>
      <c r="U25" s="47" t="s">
        <v>9</v>
      </c>
      <c r="V25" s="97"/>
    </row>
    <row r="26" spans="1:25" ht="18" customHeight="1">
      <c r="A26" s="180"/>
      <c r="B26" s="5"/>
      <c r="C26" s="47" t="s">
        <v>556</v>
      </c>
      <c r="D26" s="14"/>
      <c r="E26" s="14"/>
      <c r="F26" s="18"/>
      <c r="G26" s="18"/>
      <c r="H26" s="291"/>
      <c r="I26" s="120"/>
      <c r="J26" s="291"/>
      <c r="K26" s="291"/>
      <c r="L26" s="14"/>
      <c r="M26" s="14"/>
      <c r="N26" s="14"/>
      <c r="O26" s="14"/>
      <c r="P26" s="14"/>
      <c r="Q26" s="120" t="s">
        <v>434</v>
      </c>
      <c r="R26" s="102" t="s">
        <v>138</v>
      </c>
      <c r="S26" s="638">
        <f>H10</f>
        <v>2500</v>
      </c>
      <c r="T26" s="638"/>
      <c r="U26" s="14" t="s">
        <v>9</v>
      </c>
      <c r="V26" s="197"/>
    </row>
    <row r="27" spans="1:25" ht="18" customHeight="1">
      <c r="A27" s="180"/>
      <c r="B27" s="5"/>
      <c r="C27" s="47" t="s">
        <v>726</v>
      </c>
      <c r="D27" s="14"/>
      <c r="E27" s="14"/>
      <c r="F27" s="18"/>
      <c r="G27" s="18"/>
      <c r="H27" s="291"/>
      <c r="I27" s="120"/>
      <c r="J27" s="291"/>
      <c r="K27" s="291"/>
      <c r="L27" s="14"/>
      <c r="M27" s="14"/>
      <c r="N27" s="14"/>
      <c r="O27" s="14"/>
      <c r="P27" s="14"/>
      <c r="Q27" s="120" t="s">
        <v>727</v>
      </c>
      <c r="R27" s="102" t="s">
        <v>138</v>
      </c>
      <c r="S27" s="638">
        <v>400</v>
      </c>
      <c r="T27" s="638"/>
      <c r="U27" s="14" t="s">
        <v>174</v>
      </c>
      <c r="V27" s="197"/>
    </row>
    <row r="28" spans="1:25" ht="18" customHeight="1">
      <c r="A28" s="180"/>
      <c r="B28" s="5"/>
      <c r="C28" s="47" t="s">
        <v>557</v>
      </c>
      <c r="D28" s="14"/>
      <c r="E28" s="14"/>
      <c r="F28" s="18"/>
      <c r="G28" s="18"/>
      <c r="H28" s="291"/>
      <c r="I28" s="120"/>
      <c r="J28" s="291"/>
      <c r="K28" s="291"/>
      <c r="L28" s="14"/>
      <c r="M28" s="14"/>
      <c r="N28" s="14"/>
      <c r="O28" s="14"/>
      <c r="P28" s="14"/>
      <c r="Q28" s="120" t="s">
        <v>484</v>
      </c>
      <c r="R28" s="102" t="s">
        <v>138</v>
      </c>
      <c r="S28" s="638">
        <f>H13</f>
        <v>750</v>
      </c>
      <c r="T28" s="638"/>
      <c r="U28" s="14" t="s">
        <v>316</v>
      </c>
      <c r="V28" s="197"/>
    </row>
    <row r="29" spans="1:25" ht="18" customHeight="1">
      <c r="A29" s="180"/>
      <c r="B29" s="5"/>
      <c r="C29" s="47" t="s">
        <v>728</v>
      </c>
      <c r="D29" s="14"/>
      <c r="E29" s="14"/>
      <c r="F29" s="18"/>
      <c r="G29" s="18"/>
      <c r="H29" s="291"/>
      <c r="I29" s="120"/>
      <c r="J29" s="291"/>
      <c r="K29" s="291"/>
      <c r="L29" s="14"/>
      <c r="M29" s="14"/>
      <c r="N29" s="14"/>
      <c r="O29" s="14"/>
      <c r="P29" s="14"/>
      <c r="Q29" s="120" t="s">
        <v>431</v>
      </c>
      <c r="R29" s="102" t="s">
        <v>138</v>
      </c>
      <c r="S29" s="641">
        <f>P21</f>
        <v>5</v>
      </c>
      <c r="T29" s="638"/>
      <c r="U29" s="14" t="s">
        <v>168</v>
      </c>
      <c r="V29" s="197"/>
      <c r="W29" s="291"/>
      <c r="X29" s="291"/>
      <c r="Y29" s="291"/>
    </row>
    <row r="30" spans="1:25" ht="18" customHeight="1">
      <c r="A30" s="180"/>
      <c r="B30" s="5"/>
      <c r="C30" s="47" t="s">
        <v>729</v>
      </c>
      <c r="D30" s="14"/>
      <c r="E30" s="14"/>
      <c r="F30" s="18"/>
      <c r="G30" s="18"/>
      <c r="H30" s="291"/>
      <c r="I30" s="120"/>
      <c r="J30" s="291"/>
      <c r="K30" s="291"/>
      <c r="L30" s="14"/>
      <c r="M30" s="14"/>
      <c r="N30" s="14"/>
      <c r="O30" s="14"/>
      <c r="P30" s="14"/>
      <c r="Q30" s="120" t="s">
        <v>533</v>
      </c>
      <c r="R30" s="102" t="s">
        <v>138</v>
      </c>
      <c r="S30" s="641">
        <f>J22</f>
        <v>1.45186744</v>
      </c>
      <c r="T30" s="638"/>
      <c r="U30" s="14" t="s">
        <v>168</v>
      </c>
      <c r="V30" s="197"/>
      <c r="X30" s="291"/>
      <c r="Y30" s="291"/>
    </row>
    <row r="31" spans="1:25" ht="18" customHeight="1">
      <c r="A31" s="180"/>
      <c r="B31" s="5"/>
      <c r="C31" s="47" t="s">
        <v>560</v>
      </c>
      <c r="D31" s="14"/>
      <c r="E31" s="14"/>
      <c r="F31" s="14"/>
      <c r="G31" s="14"/>
      <c r="H31" s="291"/>
      <c r="I31" s="120"/>
      <c r="J31" s="291"/>
      <c r="K31" s="291"/>
      <c r="L31" s="14"/>
      <c r="M31" s="14"/>
      <c r="N31" s="14"/>
      <c r="O31" s="14"/>
      <c r="P31" s="14"/>
      <c r="Q31" s="120" t="s">
        <v>725</v>
      </c>
      <c r="R31" s="102" t="s">
        <v>138</v>
      </c>
      <c r="S31" s="638">
        <f>O10</f>
        <v>1</v>
      </c>
      <c r="T31" s="638"/>
      <c r="U31" s="14" t="s">
        <v>9</v>
      </c>
      <c r="V31" s="197"/>
      <c r="X31" s="291"/>
      <c r="Y31" s="291"/>
    </row>
    <row r="32" spans="1:25" ht="18" customHeight="1">
      <c r="A32" s="180"/>
      <c r="B32" s="5"/>
      <c r="C32" s="47" t="s">
        <v>730</v>
      </c>
      <c r="D32" s="14"/>
      <c r="E32" s="14"/>
      <c r="F32" s="14"/>
      <c r="G32" s="14"/>
      <c r="H32" s="291"/>
      <c r="I32" s="120"/>
      <c r="J32" s="291"/>
      <c r="K32" s="291"/>
      <c r="L32" s="14"/>
      <c r="M32" s="14"/>
      <c r="N32" s="14"/>
      <c r="O32" s="14"/>
      <c r="P32" s="14"/>
      <c r="Q32" s="120" t="s">
        <v>731</v>
      </c>
      <c r="R32" s="102" t="s">
        <v>138</v>
      </c>
      <c r="S32" s="638">
        <v>50</v>
      </c>
      <c r="T32" s="638"/>
      <c r="U32" s="47"/>
      <c r="V32" s="197"/>
    </row>
    <row r="33" spans="1:29" ht="18" customHeight="1">
      <c r="A33" s="311"/>
      <c r="B33" s="291"/>
      <c r="C33" s="47"/>
      <c r="D33" s="14"/>
      <c r="E33" s="14"/>
      <c r="F33" s="14"/>
      <c r="G33" s="14"/>
      <c r="H33" s="291"/>
      <c r="I33" s="120"/>
      <c r="J33" s="291"/>
      <c r="K33" s="291"/>
      <c r="L33" s="14"/>
      <c r="M33" s="14"/>
      <c r="N33" s="291"/>
      <c r="O33" s="291"/>
      <c r="P33" s="14"/>
      <c r="Q33" s="120"/>
      <c r="R33" s="14"/>
      <c r="S33" s="291"/>
      <c r="T33" s="291"/>
      <c r="U33" s="291"/>
      <c r="V33" s="312"/>
      <c r="W33" s="291"/>
      <c r="X33" s="291"/>
      <c r="Y33" s="291"/>
    </row>
    <row r="34" spans="1:29" ht="18" customHeight="1">
      <c r="A34" s="196"/>
      <c r="C34" s="18" t="s">
        <v>732</v>
      </c>
      <c r="D34" s="14"/>
      <c r="E34" s="14"/>
      <c r="F34" s="14"/>
      <c r="G34" s="14"/>
      <c r="H34" s="14"/>
      <c r="I34" s="14"/>
      <c r="J34" s="14"/>
      <c r="K34" s="14"/>
      <c r="L34" s="14"/>
      <c r="M34" s="14"/>
      <c r="N34" s="14"/>
      <c r="O34" s="14"/>
      <c r="P34" s="14"/>
      <c r="Q34" s="14"/>
      <c r="R34" s="14"/>
      <c r="S34" s="14"/>
      <c r="T34" s="14"/>
      <c r="U34" s="14"/>
      <c r="V34" s="197"/>
    </row>
    <row r="35" spans="1:29" ht="18" customHeight="1">
      <c r="A35" s="196"/>
      <c r="C35" s="28"/>
      <c r="D35" s="47" t="s">
        <v>733</v>
      </c>
      <c r="E35" s="28"/>
      <c r="F35" s="28"/>
      <c r="G35" s="28"/>
      <c r="H35" s="14"/>
      <c r="I35" s="14"/>
      <c r="J35" s="28"/>
      <c r="K35" s="28"/>
      <c r="L35" s="28"/>
      <c r="M35" s="28"/>
      <c r="N35" s="47"/>
      <c r="O35" s="28"/>
      <c r="V35" s="197"/>
    </row>
    <row r="36" spans="1:29" ht="18" customHeight="1">
      <c r="A36" s="196"/>
      <c r="D36" s="27"/>
      <c r="E36" s="27"/>
      <c r="F36" s="27"/>
      <c r="G36" s="27"/>
      <c r="I36" s="638" t="s">
        <v>734</v>
      </c>
      <c r="J36" s="638" t="s">
        <v>138</v>
      </c>
      <c r="K36" s="881" t="s">
        <v>725</v>
      </c>
      <c r="L36" s="881"/>
      <c r="M36" s="27"/>
      <c r="N36" s="308"/>
      <c r="O36" s="234"/>
      <c r="V36" s="197"/>
    </row>
    <row r="37" spans="1:29" ht="18" customHeight="1">
      <c r="A37" s="196"/>
      <c r="D37" s="27"/>
      <c r="G37" s="27"/>
      <c r="I37" s="638"/>
      <c r="J37" s="638"/>
      <c r="K37" s="991" t="s">
        <v>735</v>
      </c>
      <c r="L37" s="991"/>
      <c r="V37" s="197"/>
    </row>
    <row r="38" spans="1:29" ht="18" customHeight="1">
      <c r="A38" s="196"/>
      <c r="C38" s="18" t="s">
        <v>736</v>
      </c>
      <c r="D38" s="27"/>
      <c r="G38" s="27"/>
      <c r="I38" s="28"/>
      <c r="J38" s="28"/>
      <c r="K38" s="102"/>
      <c r="L38" s="102"/>
      <c r="V38" s="197"/>
    </row>
    <row r="39" spans="1:29" ht="18" customHeight="1">
      <c r="A39" s="196"/>
      <c r="D39" s="385" t="s">
        <v>737</v>
      </c>
      <c r="E39" s="14"/>
      <c r="F39" s="14"/>
      <c r="G39" s="280"/>
      <c r="K39" s="102"/>
      <c r="L39" s="102"/>
      <c r="V39" s="197"/>
    </row>
    <row r="40" spans="1:29" ht="18" customHeight="1">
      <c r="A40" s="196"/>
      <c r="D40" s="7" t="s">
        <v>738</v>
      </c>
      <c r="E40" s="47"/>
      <c r="F40" s="14"/>
      <c r="G40" s="280"/>
      <c r="K40" s="102"/>
      <c r="L40" s="102"/>
      <c r="V40" s="197"/>
    </row>
    <row r="41" spans="1:29" ht="18" customHeight="1">
      <c r="A41" s="196"/>
      <c r="B41" s="14" t="s">
        <v>739</v>
      </c>
      <c r="D41" s="14" t="s">
        <v>740</v>
      </c>
      <c r="G41" s="27"/>
      <c r="I41" s="28"/>
      <c r="J41" s="28"/>
      <c r="K41" s="102"/>
      <c r="L41" s="102"/>
      <c r="V41" s="197"/>
    </row>
    <row r="42" spans="1:29" ht="18" customHeight="1">
      <c r="A42" s="196"/>
      <c r="D42" s="7" t="s">
        <v>741</v>
      </c>
      <c r="G42" s="27"/>
      <c r="I42" s="28"/>
      <c r="J42" s="28"/>
      <c r="K42" s="102"/>
      <c r="L42" s="102"/>
      <c r="V42" s="197"/>
    </row>
    <row r="43" spans="1:29" ht="18" customHeight="1">
      <c r="A43" s="196"/>
      <c r="D43" s="7" t="s">
        <v>742</v>
      </c>
      <c r="G43" s="27"/>
      <c r="I43" s="28"/>
      <c r="J43" s="28"/>
      <c r="K43" s="102"/>
      <c r="L43" s="102"/>
      <c r="V43" s="197"/>
    </row>
    <row r="44" spans="1:29" ht="18" customHeight="1">
      <c r="A44" s="196"/>
      <c r="D44" s="27"/>
      <c r="G44" s="27"/>
      <c r="I44" s="28"/>
      <c r="J44" s="28"/>
      <c r="K44" s="102"/>
      <c r="L44" s="102"/>
      <c r="V44" s="197"/>
    </row>
    <row r="45" spans="1:29" ht="18" customHeight="1">
      <c r="A45" s="196"/>
      <c r="V45" s="197"/>
      <c r="AB45" s="14" t="s">
        <v>140</v>
      </c>
      <c r="AC45" s="14" t="s">
        <v>743</v>
      </c>
    </row>
    <row r="46" spans="1:29"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9"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9" ht="18" customHeight="1">
      <c r="A48" s="96"/>
      <c r="B48" s="7" t="s">
        <v>744</v>
      </c>
      <c r="C48" s="7"/>
      <c r="D48" s="14"/>
      <c r="E48" s="7"/>
      <c r="F48" s="7"/>
      <c r="L48" s="27"/>
      <c r="O48" s="27"/>
      <c r="P48" s="27"/>
      <c r="Q48" s="28"/>
      <c r="T48" s="14"/>
      <c r="U48" s="14"/>
      <c r="V48" s="197"/>
    </row>
    <row r="49" spans="1:22" ht="18" customHeight="1">
      <c r="A49" s="96"/>
      <c r="B49" s="14"/>
      <c r="C49" s="7"/>
      <c r="D49" s="7"/>
      <c r="E49" s="14"/>
      <c r="F49" s="7"/>
      <c r="L49" s="27"/>
      <c r="M49" s="14"/>
      <c r="O49" s="14"/>
      <c r="P49" s="14"/>
      <c r="Q49" s="14"/>
      <c r="R49" s="14"/>
      <c r="S49" s="14"/>
      <c r="T49" s="14"/>
      <c r="U49" s="14"/>
      <c r="V49" s="197"/>
    </row>
    <row r="50" spans="1:22" ht="18" customHeight="1">
      <c r="A50" s="96"/>
      <c r="B50" s="14"/>
      <c r="C50" s="120" t="s">
        <v>745</v>
      </c>
      <c r="D50" s="28" t="s">
        <v>138</v>
      </c>
      <c r="E50" s="861">
        <f>S25</f>
        <v>40000</v>
      </c>
      <c r="F50" s="861"/>
      <c r="G50" s="14"/>
      <c r="H50" s="14"/>
      <c r="I50" s="102"/>
      <c r="J50" s="47"/>
      <c r="K50" s="47"/>
      <c r="L50" s="14"/>
      <c r="M50" s="14"/>
      <c r="N50" s="14"/>
      <c r="O50" s="14"/>
      <c r="P50" s="14"/>
      <c r="Q50" s="14"/>
      <c r="R50" s="14"/>
      <c r="S50" s="14"/>
      <c r="T50" s="14"/>
      <c r="U50" s="14"/>
      <c r="V50" s="197"/>
    </row>
    <row r="51" spans="1:22" ht="18" customHeight="1">
      <c r="A51" s="96"/>
      <c r="B51" s="14"/>
      <c r="C51" s="120"/>
      <c r="D51" s="28"/>
      <c r="E51" s="860" t="str">
        <f>"5 x "&amp;S26&amp;""</f>
        <v>5 x 2500</v>
      </c>
      <c r="F51" s="860"/>
      <c r="G51" s="28"/>
      <c r="H51" s="269"/>
      <c r="K51" s="28"/>
      <c r="L51" s="230"/>
      <c r="M51" s="269"/>
      <c r="O51" s="14"/>
      <c r="P51" s="14"/>
      <c r="Q51" s="14"/>
      <c r="R51" s="14"/>
      <c r="S51" s="14"/>
      <c r="T51" s="14"/>
      <c r="U51" s="14"/>
      <c r="V51" s="197"/>
    </row>
    <row r="52" spans="1:22" ht="18" customHeight="1">
      <c r="A52" s="196"/>
      <c r="J52" s="14"/>
      <c r="K52" s="269"/>
      <c r="M52" s="14"/>
      <c r="N52" s="14"/>
      <c r="O52" s="14"/>
      <c r="P52" s="14"/>
      <c r="Q52" s="14"/>
      <c r="R52" s="14"/>
      <c r="S52" s="14"/>
      <c r="T52" s="14"/>
      <c r="U52" s="14"/>
      <c r="V52" s="197"/>
    </row>
    <row r="53" spans="1:22" ht="18" customHeight="1">
      <c r="A53" s="96"/>
      <c r="C53" s="471" t="s">
        <v>745</v>
      </c>
      <c r="D53" s="194" t="s">
        <v>138</v>
      </c>
      <c r="E53" s="990">
        <f>S25/5/S26</f>
        <v>3.2</v>
      </c>
      <c r="F53" s="648"/>
      <c r="G53" s="27"/>
      <c r="H53" s="27"/>
      <c r="I53" s="27"/>
      <c r="J53" s="120"/>
      <c r="K53" s="28"/>
      <c r="L53" s="120"/>
      <c r="M53" s="28"/>
      <c r="N53" s="120"/>
      <c r="O53" s="28"/>
      <c r="P53" s="120"/>
      <c r="Q53" s="308"/>
      <c r="V53" s="197"/>
    </row>
    <row r="54" spans="1:22" ht="18" customHeight="1">
      <c r="A54" s="96"/>
      <c r="C54" s="120"/>
      <c r="D54" s="28"/>
      <c r="E54" s="230"/>
      <c r="F54" s="230"/>
      <c r="G54" s="27"/>
      <c r="H54" s="27"/>
      <c r="I54" s="27"/>
      <c r="J54" s="120"/>
      <c r="K54" s="28"/>
      <c r="L54" s="120"/>
      <c r="M54" s="28"/>
      <c r="N54" s="120"/>
      <c r="O54" s="28"/>
      <c r="P54" s="120"/>
      <c r="Q54" s="308"/>
      <c r="V54" s="197"/>
    </row>
    <row r="55" spans="1:22" ht="18" customHeight="1">
      <c r="A55" s="96"/>
      <c r="B55" s="14" t="s">
        <v>746</v>
      </c>
      <c r="C55" s="14"/>
      <c r="D55" s="14"/>
      <c r="E55" s="7"/>
      <c r="F55" s="102"/>
      <c r="G55" s="7"/>
      <c r="H55" s="7"/>
      <c r="I55" s="251"/>
      <c r="J55" s="120"/>
      <c r="K55" s="28"/>
      <c r="L55" s="120"/>
      <c r="M55" s="28"/>
      <c r="N55" s="120"/>
      <c r="O55" s="28"/>
      <c r="P55" s="120"/>
      <c r="Q55" s="308"/>
      <c r="V55" s="197"/>
    </row>
    <row r="56" spans="1:22" ht="18" customHeight="1">
      <c r="A56" s="96"/>
      <c r="C56" s="14"/>
      <c r="D56" s="14"/>
      <c r="E56" s="638" t="s">
        <v>747</v>
      </c>
      <c r="F56" s="638">
        <v>1</v>
      </c>
      <c r="G56" s="638"/>
      <c r="H56" s="638" t="s">
        <v>323</v>
      </c>
      <c r="I56" s="472" t="s">
        <v>323</v>
      </c>
      <c r="J56" s="120"/>
      <c r="K56" s="28"/>
      <c r="L56" s="120"/>
      <c r="M56" s="28"/>
      <c r="N56" s="120"/>
      <c r="O56" s="28"/>
      <c r="P56" s="120"/>
      <c r="Q56" s="308"/>
      <c r="V56" s="197"/>
    </row>
    <row r="57" spans="1:22" ht="18" customHeight="1">
      <c r="A57" s="96"/>
      <c r="C57" s="14"/>
      <c r="D57" s="14"/>
      <c r="E57" s="985"/>
      <c r="F57" s="285"/>
      <c r="G57" s="286" t="s">
        <v>748</v>
      </c>
      <c r="H57" s="638"/>
      <c r="I57" s="14" t="s">
        <v>152</v>
      </c>
      <c r="J57" s="120"/>
      <c r="K57" s="28"/>
      <c r="L57" s="120"/>
      <c r="M57" s="28"/>
      <c r="N57" s="120"/>
      <c r="O57" s="28"/>
      <c r="P57" s="120"/>
      <c r="Q57" s="308"/>
      <c r="V57" s="197"/>
    </row>
    <row r="58" spans="1:22" ht="18" customHeight="1">
      <c r="A58" s="96"/>
      <c r="C58" s="120"/>
      <c r="D58" s="28"/>
      <c r="E58" s="230"/>
      <c r="F58" s="230"/>
      <c r="G58" s="27"/>
      <c r="H58" s="27"/>
      <c r="I58" s="27"/>
      <c r="J58" s="120"/>
      <c r="K58" s="28"/>
      <c r="L58" s="120"/>
      <c r="M58" s="28"/>
      <c r="N58" s="120"/>
      <c r="O58" s="28"/>
      <c r="P58" s="120"/>
      <c r="Q58" s="308"/>
      <c r="V58" s="197"/>
    </row>
    <row r="59" spans="1:22" ht="18" customHeight="1">
      <c r="A59" s="96"/>
      <c r="C59" s="120"/>
      <c r="F59" s="661">
        <v>1</v>
      </c>
      <c r="G59" s="661"/>
      <c r="H59" s="661"/>
      <c r="I59" s="27"/>
      <c r="J59" s="638" t="s">
        <v>326</v>
      </c>
      <c r="K59" s="987">
        <v>15</v>
      </c>
      <c r="L59" s="120"/>
      <c r="M59" s="28"/>
      <c r="N59" s="120"/>
      <c r="O59" s="28"/>
      <c r="P59" s="120"/>
      <c r="Q59" s="308"/>
      <c r="V59" s="197"/>
    </row>
    <row r="60" spans="1:22" ht="18" customHeight="1">
      <c r="A60" s="96"/>
      <c r="C60" s="120"/>
      <c r="D60" s="120" t="s">
        <v>749</v>
      </c>
      <c r="E60" s="102" t="s">
        <v>138</v>
      </c>
      <c r="F60" s="30" t="s">
        <v>750</v>
      </c>
      <c r="I60" s="27"/>
      <c r="J60" s="639"/>
      <c r="K60" s="986"/>
      <c r="L60" s="120"/>
      <c r="M60" s="28"/>
      <c r="N60" s="120"/>
      <c r="O60" s="28"/>
      <c r="P60" s="120"/>
      <c r="Q60" s="308"/>
      <c r="V60" s="197"/>
    </row>
    <row r="61" spans="1:22" ht="18" customHeight="1">
      <c r="A61" s="96"/>
      <c r="C61" s="28"/>
      <c r="D61" s="230"/>
      <c r="E61" s="230"/>
      <c r="F61" s="230"/>
      <c r="G61" s="230"/>
      <c r="H61" s="230"/>
      <c r="I61" s="230"/>
      <c r="J61" s="230"/>
      <c r="K61" s="230"/>
      <c r="L61" s="230"/>
      <c r="M61" s="28"/>
      <c r="N61" s="120"/>
      <c r="O61" s="28"/>
      <c r="P61" s="120"/>
      <c r="Q61" s="308"/>
      <c r="V61" s="197"/>
    </row>
    <row r="62" spans="1:22" ht="18" customHeight="1">
      <c r="A62" s="96"/>
      <c r="C62" s="120"/>
      <c r="D62" s="28"/>
      <c r="E62" s="230" t="s">
        <v>138</v>
      </c>
      <c r="F62" s="988">
        <f>1*K59/(2*3.14*50)</f>
        <v>4.7770700636942678E-2</v>
      </c>
      <c r="G62" s="988"/>
      <c r="H62" s="28" t="s">
        <v>751</v>
      </c>
      <c r="I62" s="27"/>
      <c r="J62" s="120"/>
      <c r="K62" s="28"/>
      <c r="L62" s="120"/>
      <c r="M62" s="28"/>
      <c r="N62" s="120"/>
      <c r="O62" s="28"/>
      <c r="P62" s="120"/>
      <c r="Q62" s="308"/>
      <c r="V62" s="197"/>
    </row>
    <row r="63" spans="1:22" ht="18" customHeight="1">
      <c r="A63" s="96"/>
      <c r="C63" s="120"/>
      <c r="D63" s="120" t="s">
        <v>749</v>
      </c>
      <c r="E63" s="230" t="s">
        <v>138</v>
      </c>
      <c r="F63" s="989">
        <f>F62*1000</f>
        <v>47.770700636942678</v>
      </c>
      <c r="G63" s="989"/>
      <c r="H63" s="28" t="s">
        <v>354</v>
      </c>
      <c r="I63" s="27"/>
      <c r="J63" s="120"/>
      <c r="K63" s="28"/>
      <c r="L63" s="120"/>
      <c r="M63" s="28"/>
      <c r="N63" s="120"/>
      <c r="O63" s="28"/>
      <c r="P63" s="120"/>
      <c r="Q63" s="308"/>
      <c r="V63" s="197"/>
    </row>
    <row r="64" spans="1:22" ht="18" customHeight="1">
      <c r="A64" s="196"/>
      <c r="G64" s="27"/>
      <c r="H64" s="257"/>
      <c r="I64" s="257"/>
      <c r="J64" s="473"/>
      <c r="K64" s="257"/>
      <c r="L64" s="473"/>
      <c r="M64" s="257"/>
      <c r="N64" s="473"/>
      <c r="O64" s="257"/>
      <c r="P64" s="473"/>
      <c r="Q64" s="474"/>
      <c r="V64" s="197"/>
    </row>
    <row r="65" spans="1:22" ht="18" customHeight="1">
      <c r="A65" s="196"/>
      <c r="B65" s="14" t="s">
        <v>752</v>
      </c>
      <c r="E65" s="28" t="s">
        <v>138</v>
      </c>
      <c r="F65" s="27">
        <v>10</v>
      </c>
      <c r="G65" s="27"/>
      <c r="H65" s="257"/>
      <c r="I65" s="257"/>
      <c r="J65" s="473"/>
      <c r="K65" s="257"/>
      <c r="L65" s="473"/>
      <c r="M65" s="257"/>
      <c r="N65" s="473"/>
      <c r="O65" s="257"/>
      <c r="P65" s="473"/>
      <c r="Q65" s="474"/>
      <c r="V65" s="197"/>
    </row>
    <row r="66" spans="1:22" ht="18" customHeight="1">
      <c r="A66" s="196"/>
      <c r="G66" s="27"/>
      <c r="H66" s="257"/>
      <c r="I66" s="257"/>
      <c r="J66" s="473"/>
      <c r="K66" s="257"/>
      <c r="L66" s="473"/>
      <c r="M66" s="257"/>
      <c r="N66" s="473"/>
      <c r="O66" s="257"/>
      <c r="P66" s="473"/>
      <c r="Q66" s="474"/>
      <c r="V66" s="197"/>
    </row>
    <row r="67" spans="1:22" ht="18" customHeight="1">
      <c r="A67" s="196"/>
      <c r="B67" s="7" t="s">
        <v>753</v>
      </c>
      <c r="F67" s="7"/>
      <c r="G67" s="7"/>
      <c r="H67" s="216"/>
      <c r="I67" s="216"/>
      <c r="V67" s="197"/>
    </row>
    <row r="68" spans="1:22" ht="17.399999999999999" customHeight="1">
      <c r="A68" s="196"/>
      <c r="B68" s="7"/>
      <c r="E68" s="30" t="s">
        <v>754</v>
      </c>
      <c r="F68" s="7"/>
      <c r="G68" s="7"/>
      <c r="V68" s="197"/>
    </row>
    <row r="69" spans="1:22" ht="17.399999999999999" customHeight="1">
      <c r="A69" s="196"/>
      <c r="B69" s="7"/>
      <c r="E69" s="14"/>
      <c r="F69" s="7"/>
      <c r="G69" s="7"/>
      <c r="V69" s="197"/>
    </row>
    <row r="70" spans="1:22" ht="17.399999999999999" customHeight="1">
      <c r="A70" s="196"/>
      <c r="B70" s="14" t="s">
        <v>755</v>
      </c>
      <c r="C70" s="14"/>
      <c r="D70" s="14"/>
      <c r="E70" s="14"/>
      <c r="F70" s="14"/>
      <c r="G70" s="120"/>
      <c r="H70" s="120"/>
      <c r="V70" s="197"/>
    </row>
    <row r="71" spans="1:22" ht="17.399999999999999" customHeight="1">
      <c r="A71" s="196"/>
      <c r="B71" s="14"/>
      <c r="C71" s="120" t="s">
        <v>756</v>
      </c>
      <c r="D71" s="28" t="s">
        <v>138</v>
      </c>
      <c r="E71" s="28">
        <v>10</v>
      </c>
      <c r="F71" s="14"/>
      <c r="G71" s="47" t="s">
        <v>757</v>
      </c>
      <c r="H71" s="120"/>
      <c r="V71" s="197"/>
    </row>
    <row r="72" spans="1:22" ht="17.399999999999999" customHeight="1">
      <c r="A72" s="196"/>
      <c r="B72" s="7"/>
      <c r="E72" s="14"/>
      <c r="F72" s="7"/>
      <c r="G72" s="7"/>
      <c r="V72" s="197"/>
    </row>
    <row r="73" spans="1:22" ht="17.399999999999999" customHeight="1">
      <c r="A73" s="196"/>
      <c r="B73" s="47" t="s">
        <v>758</v>
      </c>
      <c r="E73" s="14"/>
      <c r="F73" s="7"/>
      <c r="G73" s="7"/>
      <c r="V73" s="197"/>
    </row>
    <row r="74" spans="1:22" ht="17.399999999999999" customHeight="1">
      <c r="A74" s="196"/>
      <c r="B74" s="47" t="s">
        <v>759</v>
      </c>
      <c r="E74" s="14"/>
      <c r="F74" s="7"/>
      <c r="G74" s="7"/>
      <c r="V74" s="197"/>
    </row>
    <row r="75" spans="1:22" ht="17.399999999999999" customHeight="1" thickBot="1">
      <c r="A75" s="196"/>
      <c r="B75" s="102" t="s">
        <v>138</v>
      </c>
      <c r="C75" s="120">
        <f>E71</f>
        <v>10</v>
      </c>
      <c r="D75" s="28" t="s">
        <v>326</v>
      </c>
      <c r="E75" s="28" t="s">
        <v>430</v>
      </c>
      <c r="F75" s="641">
        <f>S29</f>
        <v>5</v>
      </c>
      <c r="G75" s="641"/>
      <c r="H75" s="102" t="s">
        <v>358</v>
      </c>
      <c r="I75" s="230">
        <f>S30</f>
        <v>1.45186744</v>
      </c>
      <c r="J75" s="252" t="s">
        <v>358</v>
      </c>
      <c r="K75" s="293">
        <f>J18</f>
        <v>0.01</v>
      </c>
      <c r="L75" s="14" t="s">
        <v>361</v>
      </c>
      <c r="M75" s="14" t="s">
        <v>326</v>
      </c>
      <c r="N75" s="28">
        <v>1</v>
      </c>
      <c r="V75" s="197"/>
    </row>
    <row r="76" spans="1:22" ht="17.399999999999999" customHeight="1" thickBot="1">
      <c r="A76" s="196"/>
      <c r="B76" s="475" t="s">
        <v>539</v>
      </c>
      <c r="C76" s="476" t="s">
        <v>138</v>
      </c>
      <c r="D76" s="477">
        <f>C75*(F75+I75+K75)*N75</f>
        <v>64.618674400000003</v>
      </c>
      <c r="E76" s="14" t="s">
        <v>316</v>
      </c>
      <c r="F76" s="7"/>
      <c r="G76" s="7"/>
      <c r="V76" s="197"/>
    </row>
    <row r="77" spans="1:22" ht="17.399999999999999" customHeight="1">
      <c r="A77" s="196"/>
      <c r="B77" s="7"/>
      <c r="E77" s="14"/>
      <c r="F77" s="7"/>
      <c r="G77" s="7"/>
      <c r="V77" s="197"/>
    </row>
    <row r="78" spans="1:22" ht="17.399999999999999" customHeight="1">
      <c r="A78" s="196"/>
      <c r="B78" s="47" t="s">
        <v>760</v>
      </c>
      <c r="E78" s="14"/>
      <c r="F78" s="7"/>
      <c r="G78" s="7"/>
      <c r="J78" s="14" t="s">
        <v>761</v>
      </c>
      <c r="L78" s="28" t="s">
        <v>487</v>
      </c>
      <c r="N78" s="14" t="s">
        <v>762</v>
      </c>
      <c r="V78" s="197"/>
    </row>
    <row r="79" spans="1:22" ht="17.399999999999999" customHeight="1">
      <c r="A79" s="196"/>
      <c r="B79" s="7"/>
      <c r="E79" s="14"/>
      <c r="F79" s="7"/>
      <c r="G79" s="7"/>
      <c r="L79" s="28" t="s">
        <v>138</v>
      </c>
      <c r="N79" s="986">
        <f>0.8*D76</f>
        <v>51.694939520000005</v>
      </c>
      <c r="O79" s="986"/>
      <c r="V79" s="197"/>
    </row>
    <row r="80" spans="1:22" ht="17.399999999999999" customHeight="1">
      <c r="A80" s="196"/>
      <c r="B80" s="7"/>
      <c r="E80" s="14"/>
      <c r="F80" s="14" t="s">
        <v>763</v>
      </c>
      <c r="G80" s="7"/>
      <c r="L80" s="28" t="s">
        <v>138</v>
      </c>
      <c r="N80" s="960">
        <f>N79*1.2</f>
        <v>62.033927424000005</v>
      </c>
      <c r="O80" s="960"/>
      <c r="V80" s="197"/>
    </row>
    <row r="81" spans="1:23" ht="17.399999999999999" customHeight="1">
      <c r="A81" s="196"/>
      <c r="K81" s="211" t="s">
        <v>486</v>
      </c>
      <c r="L81" s="28" t="str">
        <f>IF(I82&gt;M82,"&gt;","&lt;")</f>
        <v>&gt;</v>
      </c>
      <c r="M81" s="269" t="s">
        <v>488</v>
      </c>
      <c r="O81" s="18"/>
      <c r="P81" s="280"/>
      <c r="V81" s="197"/>
    </row>
    <row r="82" spans="1:23" ht="17.399999999999999" customHeight="1">
      <c r="A82" s="196"/>
      <c r="I82" s="637">
        <f>S28</f>
        <v>750</v>
      </c>
      <c r="J82" s="637"/>
      <c r="K82" s="27"/>
      <c r="L82" s="27" t="str">
        <f>IF(I82&gt;=M82,"&gt;","&lt;")</f>
        <v>&gt;</v>
      </c>
      <c r="M82" s="637">
        <f>N80</f>
        <v>62.033927424000005</v>
      </c>
      <c r="N82" s="637"/>
      <c r="P82" s="280"/>
      <c r="V82" s="197"/>
    </row>
    <row r="83" spans="1:23" ht="17.399999999999999" customHeight="1">
      <c r="A83" s="196"/>
      <c r="K83" s="256" t="s">
        <v>489</v>
      </c>
      <c r="M83" s="18" t="str">
        <f>IF(I82&gt;M82,"Suitable Dimensions","Under Dimensioned")</f>
        <v>Suitable Dimensions</v>
      </c>
      <c r="V83" s="197"/>
    </row>
    <row r="84" spans="1:23" ht="17.399999999999999" customHeight="1">
      <c r="A84" s="196"/>
      <c r="K84" s="256"/>
      <c r="M84" s="18"/>
      <c r="V84" s="197"/>
    </row>
    <row r="85" spans="1:23" ht="17.399999999999999" customHeight="1">
      <c r="A85" s="196"/>
      <c r="K85" s="256"/>
      <c r="M85" s="18"/>
      <c r="V85" s="197"/>
    </row>
    <row r="86" spans="1:23" ht="17.399999999999999" customHeight="1">
      <c r="A86" s="196"/>
      <c r="B86" s="7"/>
      <c r="E86" s="14"/>
      <c r="F86" s="7"/>
      <c r="G86" s="7"/>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667" t="str">
        <f>B7</f>
        <v>T1</v>
      </c>
      <c r="C89" s="668"/>
      <c r="D89" s="679" t="str">
        <f>D7</f>
        <v>Core4</v>
      </c>
      <c r="E89" s="994"/>
      <c r="F89" s="468"/>
      <c r="H89" s="639">
        <f>H7</f>
        <v>0</v>
      </c>
      <c r="I89" s="639"/>
      <c r="J89" s="639"/>
      <c r="K89" s="639"/>
      <c r="L89" s="639"/>
      <c r="M89" s="639"/>
      <c r="P89" s="198"/>
      <c r="S89" s="199" t="s">
        <v>398</v>
      </c>
      <c r="T89" s="667" t="str">
        <f>T7</f>
        <v>REB500</v>
      </c>
      <c r="U89" s="668"/>
      <c r="V89" s="197"/>
    </row>
    <row r="90" spans="1:23" ht="18" hidden="1" customHeight="1">
      <c r="A90" s="469"/>
      <c r="F90" s="468"/>
      <c r="T90" s="992">
        <f>T8</f>
        <v>0</v>
      </c>
      <c r="U90" s="993"/>
      <c r="V90" s="197"/>
    </row>
    <row r="91" spans="1:23" ht="18" hidden="1" customHeight="1">
      <c r="A91" s="196"/>
      <c r="H91" s="661" t="s">
        <v>401</v>
      </c>
      <c r="I91" s="661"/>
      <c r="J91" s="662" t="s">
        <v>402</v>
      </c>
      <c r="K91" s="662"/>
      <c r="L91" s="701" t="s">
        <v>403</v>
      </c>
      <c r="M91" s="701"/>
      <c r="T91" s="992">
        <f>T9</f>
        <v>0</v>
      </c>
      <c r="U91" s="993"/>
      <c r="V91" s="197"/>
    </row>
    <row r="92" spans="1:23" ht="18" hidden="1" customHeight="1">
      <c r="A92" s="196"/>
      <c r="B92" s="47" t="s">
        <v>404</v>
      </c>
      <c r="H92" s="667">
        <f>H10</f>
        <v>2500</v>
      </c>
      <c r="I92" s="668"/>
      <c r="J92" s="667" t="str">
        <f>J10</f>
        <v>-</v>
      </c>
      <c r="K92" s="668"/>
      <c r="L92" s="667" t="str">
        <f>L10</f>
        <v>-</v>
      </c>
      <c r="M92" s="668"/>
      <c r="N92" s="203" t="s">
        <v>353</v>
      </c>
      <c r="O92" s="501">
        <f>O10</f>
        <v>1</v>
      </c>
      <c r="P92" s="27" t="s">
        <v>9</v>
      </c>
      <c r="R92" s="267"/>
      <c r="S92" s="267"/>
      <c r="V92" s="197"/>
    </row>
    <row r="93" spans="1:23" ht="18" hidden="1" customHeight="1">
      <c r="A93" s="196"/>
      <c r="B93" s="47" t="s">
        <v>405</v>
      </c>
      <c r="H93" s="14"/>
      <c r="I93" s="14"/>
      <c r="J93" s="667" t="str">
        <f>H11</f>
        <v>PX-B</v>
      </c>
      <c r="K93" s="668"/>
      <c r="L93" s="14"/>
      <c r="M93" s="14"/>
      <c r="V93" s="197"/>
    </row>
    <row r="94" spans="1:23" ht="18" hidden="1" customHeight="1">
      <c r="A94" s="196"/>
      <c r="B94" s="47" t="s">
        <v>407</v>
      </c>
      <c r="I94" s="120" t="s">
        <v>508</v>
      </c>
      <c r="J94" s="656">
        <v>9.3000000000000007</v>
      </c>
      <c r="K94" s="657"/>
      <c r="L94" s="204" t="s">
        <v>344</v>
      </c>
      <c r="V94" s="197"/>
    </row>
    <row r="95" spans="1:23" ht="18" hidden="1" customHeight="1">
      <c r="A95" s="196"/>
      <c r="B95" s="47" t="s">
        <v>409</v>
      </c>
      <c r="I95" s="120" t="s">
        <v>509</v>
      </c>
      <c r="J95" s="656">
        <v>500</v>
      </c>
      <c r="K95" s="657"/>
      <c r="L95" s="14" t="s">
        <v>316</v>
      </c>
      <c r="T95" s="307"/>
      <c r="U95" s="18"/>
      <c r="V95" s="197"/>
      <c r="W95" s="30" t="str">
        <f>M162</f>
        <v>Required Vk</v>
      </c>
    </row>
    <row r="96" spans="1:23" ht="18" hidden="1" customHeight="1">
      <c r="A96" s="196"/>
      <c r="B96" s="14" t="s">
        <v>412</v>
      </c>
      <c r="I96" s="120" t="s">
        <v>413</v>
      </c>
      <c r="J96" s="656">
        <v>60</v>
      </c>
      <c r="K96" s="657"/>
      <c r="L96" s="14" t="s">
        <v>414</v>
      </c>
      <c r="V96" s="197"/>
    </row>
    <row r="97" spans="1:22" ht="18" hidden="1" customHeight="1">
      <c r="A97" s="196"/>
      <c r="V97" s="197"/>
    </row>
    <row r="98" spans="1:22" ht="18" hidden="1" customHeight="1">
      <c r="A98" s="205" t="s">
        <v>415</v>
      </c>
      <c r="V98" s="197"/>
    </row>
    <row r="99" spans="1:22" ht="18" hidden="1" customHeight="1">
      <c r="A99" s="196"/>
      <c r="V99" s="197"/>
    </row>
    <row r="100" spans="1:22" ht="18" hidden="1" customHeight="1">
      <c r="A100" s="196"/>
      <c r="B100" s="141" t="s">
        <v>416</v>
      </c>
      <c r="C100" s="285"/>
      <c r="D100" s="146" t="str">
        <f>T89</f>
        <v>REB500</v>
      </c>
      <c r="E100" s="239"/>
      <c r="F100" s="239"/>
      <c r="G100" s="239"/>
      <c r="H100" s="145"/>
      <c r="I100" s="272" t="s">
        <v>138</v>
      </c>
      <c r="J100" s="648">
        <f>J18</f>
        <v>0.01</v>
      </c>
      <c r="K100" s="649"/>
      <c r="L100" s="3" t="s">
        <v>168</v>
      </c>
      <c r="N100" s="209" t="s">
        <v>521</v>
      </c>
      <c r="V100" s="197"/>
    </row>
    <row r="101" spans="1:22" ht="18" hidden="1" customHeight="1">
      <c r="A101" s="196"/>
      <c r="B101" s="96" t="s">
        <v>416</v>
      </c>
      <c r="C101" s="14"/>
      <c r="D101" s="47">
        <f>T90</f>
        <v>0</v>
      </c>
      <c r="H101" s="28"/>
      <c r="I101" s="101" t="s">
        <v>138</v>
      </c>
      <c r="J101" s="648">
        <f>J19</f>
        <v>0</v>
      </c>
      <c r="K101" s="649"/>
      <c r="L101" s="3" t="s">
        <v>168</v>
      </c>
      <c r="N101" s="120" t="s">
        <v>502</v>
      </c>
      <c r="O101" s="27" t="s">
        <v>138</v>
      </c>
      <c r="P101" s="27" t="s">
        <v>522</v>
      </c>
      <c r="Q101" s="27" t="s">
        <v>326</v>
      </c>
      <c r="R101" s="27" t="s">
        <v>522</v>
      </c>
      <c r="S101" s="27" t="s">
        <v>326</v>
      </c>
      <c r="T101" s="27" t="s">
        <v>431</v>
      </c>
      <c r="V101" s="197"/>
    </row>
    <row r="102" spans="1:22" ht="18" hidden="1" customHeight="1">
      <c r="A102" s="196"/>
      <c r="B102" s="96" t="s">
        <v>416</v>
      </c>
      <c r="C102" s="14"/>
      <c r="D102" s="47">
        <f>T91</f>
        <v>0</v>
      </c>
      <c r="H102" s="28"/>
      <c r="I102" s="101" t="s">
        <v>138</v>
      </c>
      <c r="J102" s="648">
        <f>J20</f>
        <v>0</v>
      </c>
      <c r="K102" s="649"/>
      <c r="L102" s="3" t="s">
        <v>168</v>
      </c>
      <c r="N102" s="27"/>
      <c r="O102" s="27" t="s">
        <v>138</v>
      </c>
      <c r="P102" s="27">
        <f>O92</f>
        <v>1</v>
      </c>
      <c r="Q102" s="27" t="s">
        <v>326</v>
      </c>
      <c r="R102" s="27">
        <f>O92</f>
        <v>1</v>
      </c>
      <c r="S102" s="27" t="s">
        <v>326</v>
      </c>
      <c r="T102" s="27">
        <f>J94</f>
        <v>9.3000000000000007</v>
      </c>
      <c r="V102" s="197"/>
    </row>
    <row r="103" spans="1:22" ht="18" hidden="1" customHeight="1">
      <c r="A103" s="196"/>
      <c r="B103" s="465" t="s">
        <v>423</v>
      </c>
      <c r="C103" s="271"/>
      <c r="D103" s="271"/>
      <c r="E103" s="271"/>
      <c r="F103" s="219"/>
      <c r="G103" s="219"/>
      <c r="H103" s="202"/>
      <c r="I103" s="220" t="s">
        <v>138</v>
      </c>
      <c r="J103" s="646">
        <f>J21</f>
        <v>1.44186744</v>
      </c>
      <c r="K103" s="647"/>
      <c r="L103" s="309" t="s">
        <v>168</v>
      </c>
      <c r="O103" s="27" t="s">
        <v>138</v>
      </c>
      <c r="P103" s="637">
        <f>P102*R102*T102</f>
        <v>9.3000000000000007</v>
      </c>
      <c r="Q103" s="639"/>
      <c r="R103" s="27" t="s">
        <v>168</v>
      </c>
      <c r="V103" s="197"/>
    </row>
    <row r="104" spans="1:22" ht="18" hidden="1" customHeight="1">
      <c r="A104" s="196"/>
      <c r="B104" s="1" t="s">
        <v>424</v>
      </c>
      <c r="C104" s="2"/>
      <c r="D104" s="2"/>
      <c r="E104" s="2"/>
      <c r="F104" s="208"/>
      <c r="G104" s="208"/>
      <c r="H104" s="236" t="s">
        <v>523</v>
      </c>
      <c r="I104" s="195" t="s">
        <v>138</v>
      </c>
      <c r="J104" s="648">
        <f>SUM(J100:J103)</f>
        <v>1.45186744</v>
      </c>
      <c r="K104" s="649"/>
      <c r="L104" s="3" t="s">
        <v>168</v>
      </c>
      <c r="V104" s="197"/>
    </row>
    <row r="105" spans="1:22" ht="18" hidden="1" customHeight="1">
      <c r="A105" s="196"/>
      <c r="B105" s="47"/>
      <c r="C105" s="47"/>
      <c r="D105" s="47"/>
      <c r="E105" s="47"/>
      <c r="H105" s="27"/>
      <c r="I105" s="28"/>
      <c r="J105" s="211"/>
      <c r="L105" s="47"/>
      <c r="S105" s="27"/>
      <c r="V105" s="197"/>
    </row>
    <row r="106" spans="1:22" ht="18" hidden="1" customHeight="1">
      <c r="A106" s="270"/>
      <c r="B106" s="117" t="s">
        <v>723</v>
      </c>
      <c r="V106" s="197"/>
    </row>
    <row r="107" spans="1:22" ht="18" hidden="1" customHeight="1">
      <c r="A107" s="243"/>
      <c r="B107" s="5"/>
      <c r="C107" s="47" t="s">
        <v>724</v>
      </c>
      <c r="D107" s="14"/>
      <c r="E107" s="14"/>
      <c r="F107" s="14"/>
      <c r="G107" s="14"/>
      <c r="H107" s="291"/>
      <c r="I107" s="120"/>
      <c r="J107" s="291"/>
      <c r="K107" s="291"/>
      <c r="L107" s="14"/>
      <c r="M107" s="14"/>
      <c r="N107" s="14"/>
      <c r="O107" s="14"/>
      <c r="P107" s="14"/>
      <c r="Q107" s="120" t="s">
        <v>725</v>
      </c>
      <c r="R107" s="102" t="s">
        <v>138</v>
      </c>
      <c r="S107" s="638">
        <v>31500</v>
      </c>
      <c r="T107" s="638"/>
      <c r="U107" s="47" t="s">
        <v>9</v>
      </c>
      <c r="V107" s="97" t="s">
        <v>140</v>
      </c>
    </row>
    <row r="108" spans="1:22" ht="18" hidden="1" customHeight="1">
      <c r="A108" s="196"/>
      <c r="B108" s="5"/>
      <c r="C108" s="47" t="s">
        <v>556</v>
      </c>
      <c r="D108" s="14"/>
      <c r="E108" s="14"/>
      <c r="F108" s="18"/>
      <c r="G108" s="18"/>
      <c r="H108" s="291"/>
      <c r="I108" s="120"/>
      <c r="J108" s="291"/>
      <c r="K108" s="291"/>
      <c r="L108" s="14"/>
      <c r="M108" s="14"/>
      <c r="N108" s="14"/>
      <c r="O108" s="14"/>
      <c r="P108" s="14"/>
      <c r="Q108" s="120" t="s">
        <v>434</v>
      </c>
      <c r="R108" s="102" t="s">
        <v>138</v>
      </c>
      <c r="S108" s="638" t="str">
        <f>J92</f>
        <v>-</v>
      </c>
      <c r="T108" s="638"/>
      <c r="U108" s="14" t="s">
        <v>9</v>
      </c>
      <c r="V108" s="197"/>
    </row>
    <row r="109" spans="1:22" ht="18" hidden="1" customHeight="1">
      <c r="A109" s="196"/>
      <c r="B109" s="5"/>
      <c r="C109" s="47" t="s">
        <v>726</v>
      </c>
      <c r="D109" s="14"/>
      <c r="E109" s="14"/>
      <c r="F109" s="18"/>
      <c r="G109" s="18"/>
      <c r="H109" s="291"/>
      <c r="I109" s="120"/>
      <c r="J109" s="291"/>
      <c r="K109" s="291"/>
      <c r="L109" s="14"/>
      <c r="M109" s="14"/>
      <c r="N109" s="14"/>
      <c r="O109" s="14"/>
      <c r="P109" s="14"/>
      <c r="Q109" s="120" t="s">
        <v>727</v>
      </c>
      <c r="R109" s="102" t="s">
        <v>138</v>
      </c>
      <c r="S109" s="638">
        <v>33</v>
      </c>
      <c r="T109" s="638"/>
      <c r="U109" s="14" t="s">
        <v>174</v>
      </c>
      <c r="V109" s="197"/>
    </row>
    <row r="110" spans="1:22" ht="18" hidden="1" customHeight="1">
      <c r="A110" s="196"/>
      <c r="B110" s="5"/>
      <c r="C110" s="47" t="s">
        <v>557</v>
      </c>
      <c r="D110" s="14"/>
      <c r="E110" s="14"/>
      <c r="F110" s="18"/>
      <c r="G110" s="18"/>
      <c r="H110" s="291"/>
      <c r="I110" s="120"/>
      <c r="J110" s="291"/>
      <c r="K110" s="291"/>
      <c r="L110" s="14"/>
      <c r="M110" s="14"/>
      <c r="N110" s="14"/>
      <c r="O110" s="14"/>
      <c r="P110" s="14"/>
      <c r="Q110" s="120" t="s">
        <v>484</v>
      </c>
      <c r="R110" s="102" t="s">
        <v>138</v>
      </c>
      <c r="S110" s="638">
        <f>J95</f>
        <v>500</v>
      </c>
      <c r="T110" s="638"/>
      <c r="U110" s="14" t="s">
        <v>316</v>
      </c>
      <c r="V110" s="197"/>
    </row>
    <row r="111" spans="1:22" ht="18" hidden="1" customHeight="1">
      <c r="A111" s="196"/>
      <c r="B111" s="5"/>
      <c r="C111" s="47" t="s">
        <v>728</v>
      </c>
      <c r="D111" s="14"/>
      <c r="E111" s="14"/>
      <c r="F111" s="18"/>
      <c r="G111" s="18"/>
      <c r="H111" s="291"/>
      <c r="I111" s="120"/>
      <c r="J111" s="291"/>
      <c r="K111" s="291"/>
      <c r="L111" s="14"/>
      <c r="M111" s="14"/>
      <c r="N111" s="14"/>
      <c r="O111" s="14"/>
      <c r="P111" s="14"/>
      <c r="Q111" s="120" t="s">
        <v>431</v>
      </c>
      <c r="R111" s="102" t="s">
        <v>138</v>
      </c>
      <c r="S111" s="641">
        <f>P103</f>
        <v>9.3000000000000007</v>
      </c>
      <c r="T111" s="638"/>
      <c r="U111" s="14" t="s">
        <v>168</v>
      </c>
      <c r="V111" s="197"/>
    </row>
    <row r="112" spans="1:22" ht="18" hidden="1" customHeight="1">
      <c r="A112" s="196"/>
      <c r="B112" s="5"/>
      <c r="C112" s="47" t="s">
        <v>729</v>
      </c>
      <c r="D112" s="14"/>
      <c r="E112" s="14"/>
      <c r="F112" s="18"/>
      <c r="G112" s="18"/>
      <c r="H112" s="291"/>
      <c r="I112" s="120"/>
      <c r="J112" s="291"/>
      <c r="K112" s="291"/>
      <c r="L112" s="14"/>
      <c r="M112" s="14"/>
      <c r="N112" s="14"/>
      <c r="O112" s="14"/>
      <c r="P112" s="14"/>
      <c r="Q112" s="120" t="s">
        <v>533</v>
      </c>
      <c r="R112" s="102" t="s">
        <v>138</v>
      </c>
      <c r="S112" s="641">
        <f>J104</f>
        <v>1.45186744</v>
      </c>
      <c r="T112" s="638"/>
      <c r="U112" s="14" t="s">
        <v>168</v>
      </c>
      <c r="V112" s="197"/>
    </row>
    <row r="113" spans="1:25" ht="18" hidden="1" customHeight="1">
      <c r="A113" s="180"/>
      <c r="B113" s="5"/>
      <c r="C113" s="47" t="s">
        <v>560</v>
      </c>
      <c r="D113" s="14"/>
      <c r="E113" s="14"/>
      <c r="F113" s="14"/>
      <c r="G113" s="14"/>
      <c r="H113" s="291"/>
      <c r="I113" s="120"/>
      <c r="J113" s="291"/>
      <c r="K113" s="291"/>
      <c r="L113" s="14"/>
      <c r="M113" s="14"/>
      <c r="N113" s="14"/>
      <c r="O113" s="14"/>
      <c r="P113" s="14"/>
      <c r="Q113" s="120" t="s">
        <v>725</v>
      </c>
      <c r="R113" s="102" t="s">
        <v>138</v>
      </c>
      <c r="S113" s="638">
        <f>O92</f>
        <v>1</v>
      </c>
      <c r="T113" s="638"/>
      <c r="U113" s="14" t="s">
        <v>9</v>
      </c>
      <c r="V113" s="197"/>
    </row>
    <row r="114" spans="1:25" ht="18" hidden="1" customHeight="1">
      <c r="A114" s="180"/>
      <c r="B114" s="5"/>
      <c r="C114" s="47" t="s">
        <v>730</v>
      </c>
      <c r="D114" s="14"/>
      <c r="E114" s="14"/>
      <c r="F114" s="14"/>
      <c r="G114" s="14"/>
      <c r="H114" s="291"/>
      <c r="I114" s="120"/>
      <c r="J114" s="291"/>
      <c r="K114" s="291"/>
      <c r="L114" s="14"/>
      <c r="M114" s="14"/>
      <c r="N114" s="14"/>
      <c r="O114" s="14"/>
      <c r="P114" s="14"/>
      <c r="Q114" s="120" t="s">
        <v>731</v>
      </c>
      <c r="R114" s="102" t="s">
        <v>138</v>
      </c>
      <c r="S114" s="638">
        <v>50</v>
      </c>
      <c r="T114" s="638"/>
      <c r="U114" s="47"/>
      <c r="V114" s="197"/>
    </row>
    <row r="115" spans="1:25" ht="18" hidden="1" customHeight="1">
      <c r="A115" s="180"/>
      <c r="B115" s="291"/>
      <c r="C115" s="47"/>
      <c r="D115" s="14"/>
      <c r="E115" s="14"/>
      <c r="F115" s="14"/>
      <c r="G115" s="14"/>
      <c r="H115" s="291"/>
      <c r="I115" s="120"/>
      <c r="J115" s="291"/>
      <c r="K115" s="291"/>
      <c r="L115" s="14"/>
      <c r="M115" s="14"/>
      <c r="N115" s="291"/>
      <c r="O115" s="291"/>
      <c r="P115" s="14"/>
      <c r="Q115" s="120"/>
      <c r="R115" s="14"/>
      <c r="S115" s="291"/>
      <c r="T115" s="291"/>
      <c r="U115" s="291"/>
      <c r="V115" s="312"/>
    </row>
    <row r="116" spans="1:25" ht="18" hidden="1" customHeight="1">
      <c r="A116" s="180"/>
      <c r="C116" s="18" t="s">
        <v>732</v>
      </c>
      <c r="D116" s="14"/>
      <c r="E116" s="14"/>
      <c r="F116" s="14"/>
      <c r="G116" s="14"/>
      <c r="H116" s="14"/>
      <c r="I116" s="14"/>
      <c r="J116" s="14"/>
      <c r="K116" s="14"/>
      <c r="L116" s="14"/>
      <c r="M116" s="14"/>
      <c r="N116" s="14"/>
      <c r="O116" s="14"/>
      <c r="P116" s="14"/>
      <c r="Q116" s="14"/>
      <c r="R116" s="14"/>
      <c r="S116" s="14"/>
      <c r="T116" s="14"/>
      <c r="U116" s="14"/>
      <c r="V116" s="197"/>
      <c r="W116" s="291"/>
      <c r="X116" s="291"/>
      <c r="Y116" s="291"/>
    </row>
    <row r="117" spans="1:25" ht="18" hidden="1" customHeight="1">
      <c r="A117" s="180"/>
      <c r="C117" s="28"/>
      <c r="D117" s="47" t="s">
        <v>733</v>
      </c>
      <c r="E117" s="28"/>
      <c r="F117" s="28"/>
      <c r="G117" s="28"/>
      <c r="H117" s="14"/>
      <c r="I117" s="14"/>
      <c r="J117" s="28"/>
      <c r="K117" s="28"/>
      <c r="L117" s="28"/>
      <c r="M117" s="28"/>
      <c r="N117" s="47"/>
      <c r="O117" s="28"/>
      <c r="V117" s="197"/>
      <c r="X117" s="291"/>
      <c r="Y117" s="291"/>
    </row>
    <row r="118" spans="1:25" ht="18" hidden="1" customHeight="1">
      <c r="A118" s="180"/>
      <c r="D118" s="27"/>
      <c r="E118" s="27"/>
      <c r="F118" s="27"/>
      <c r="G118" s="27"/>
      <c r="I118" s="638" t="s">
        <v>734</v>
      </c>
      <c r="J118" s="638" t="s">
        <v>138</v>
      </c>
      <c r="K118" s="881" t="s">
        <v>725</v>
      </c>
      <c r="L118" s="881"/>
      <c r="M118" s="27"/>
      <c r="N118" s="308"/>
      <c r="O118" s="234"/>
      <c r="V118" s="197"/>
      <c r="X118" s="291"/>
      <c r="Y118" s="291"/>
    </row>
    <row r="119" spans="1:25" ht="18" hidden="1" customHeight="1">
      <c r="A119" s="180"/>
      <c r="D119" s="27"/>
      <c r="G119" s="27"/>
      <c r="I119" s="638"/>
      <c r="J119" s="638"/>
      <c r="K119" s="991" t="s">
        <v>735</v>
      </c>
      <c r="L119" s="991"/>
      <c r="V119" s="197"/>
    </row>
    <row r="120" spans="1:25" ht="18" hidden="1" customHeight="1">
      <c r="A120" s="196"/>
      <c r="B120" s="18" t="s">
        <v>736</v>
      </c>
      <c r="C120" s="14"/>
      <c r="V120" s="197"/>
    </row>
    <row r="121" spans="1:25" ht="18" hidden="1" customHeight="1">
      <c r="A121" s="196"/>
      <c r="B121" s="28"/>
      <c r="C121" s="385" t="s">
        <v>737</v>
      </c>
      <c r="D121" s="14"/>
      <c r="E121" s="14"/>
      <c r="F121" s="14"/>
      <c r="G121" s="14"/>
      <c r="H121" s="14"/>
      <c r="I121" s="14"/>
      <c r="J121" s="14"/>
      <c r="K121" s="14"/>
      <c r="L121" s="14"/>
      <c r="M121" s="14"/>
      <c r="N121" s="14"/>
      <c r="O121" s="14"/>
      <c r="P121" s="28"/>
      <c r="Q121" s="120"/>
      <c r="R121" s="14"/>
      <c r="S121" s="14"/>
      <c r="T121" s="14"/>
      <c r="U121" s="14"/>
      <c r="V121" s="197"/>
    </row>
    <row r="122" spans="1:25" ht="18" hidden="1" customHeight="1">
      <c r="A122" s="196"/>
      <c r="B122" s="28"/>
      <c r="C122" s="7" t="s">
        <v>738</v>
      </c>
      <c r="D122" s="14"/>
      <c r="E122" s="14"/>
      <c r="F122" s="14"/>
      <c r="G122" s="14"/>
      <c r="H122" s="14"/>
      <c r="K122" s="14"/>
      <c r="L122" s="28"/>
      <c r="M122" s="47"/>
      <c r="N122" s="14"/>
      <c r="O122" s="14"/>
      <c r="P122" s="14"/>
      <c r="Q122" s="14"/>
      <c r="R122" s="14"/>
      <c r="S122" s="14"/>
      <c r="T122" s="14"/>
      <c r="U122" s="14"/>
      <c r="V122" s="197"/>
    </row>
    <row r="123" spans="1:25" ht="18" hidden="1" customHeight="1">
      <c r="A123" s="196"/>
      <c r="B123" s="14" t="s">
        <v>739</v>
      </c>
      <c r="C123" s="7"/>
      <c r="D123" s="14"/>
      <c r="E123" s="14"/>
      <c r="F123" s="280"/>
      <c r="K123" s="28"/>
      <c r="L123" s="28"/>
      <c r="M123" s="293"/>
      <c r="N123" s="28"/>
      <c r="O123" s="47"/>
      <c r="P123" s="14"/>
      <c r="Q123" s="14"/>
      <c r="R123" s="14"/>
      <c r="S123" s="14"/>
      <c r="T123" s="14"/>
      <c r="U123" s="14"/>
      <c r="V123" s="197"/>
    </row>
    <row r="124" spans="1:25" ht="18" hidden="1" customHeight="1">
      <c r="A124" s="196"/>
      <c r="B124" s="14"/>
      <c r="C124" s="14" t="s">
        <v>740</v>
      </c>
      <c r="D124" s="47"/>
      <c r="E124" s="14"/>
      <c r="F124" s="280"/>
      <c r="K124" s="28"/>
      <c r="L124" s="28"/>
      <c r="M124" s="14"/>
      <c r="N124" s="14"/>
      <c r="O124" s="14"/>
      <c r="P124" s="14"/>
      <c r="Q124" s="14"/>
      <c r="R124" s="14"/>
      <c r="S124" s="14"/>
      <c r="T124" s="14"/>
      <c r="U124" s="14"/>
      <c r="V124" s="197"/>
    </row>
    <row r="125" spans="1:25" ht="18" hidden="1" customHeight="1">
      <c r="A125" s="196"/>
      <c r="B125" s="14"/>
      <c r="C125" s="7" t="s">
        <v>741</v>
      </c>
      <c r="D125" s="14"/>
      <c r="E125" s="14"/>
      <c r="F125" s="14"/>
      <c r="G125" s="14"/>
      <c r="H125" s="14"/>
      <c r="K125" s="28"/>
      <c r="L125" s="28"/>
      <c r="M125" s="47"/>
      <c r="N125" s="14"/>
      <c r="O125" s="14"/>
      <c r="P125" s="14"/>
      <c r="Q125" s="14"/>
      <c r="R125" s="14"/>
      <c r="S125" s="14"/>
      <c r="T125" s="14"/>
      <c r="U125" s="14"/>
      <c r="V125" s="197"/>
    </row>
    <row r="126" spans="1:25" ht="18" hidden="1" customHeight="1">
      <c r="A126" s="196"/>
      <c r="B126" s="14"/>
      <c r="C126" s="7" t="s">
        <v>742</v>
      </c>
      <c r="K126" s="28"/>
      <c r="L126" s="28"/>
      <c r="M126" s="28"/>
      <c r="O126" s="14"/>
      <c r="P126" s="28"/>
      <c r="Q126" s="290"/>
      <c r="R126" s="28"/>
      <c r="S126" s="14"/>
      <c r="T126" s="14"/>
      <c r="U126" s="14"/>
      <c r="V126" s="197"/>
    </row>
    <row r="127" spans="1:25" ht="18" hidden="1" customHeight="1">
      <c r="A127" s="465"/>
      <c r="B127" s="219"/>
      <c r="C127" s="219"/>
      <c r="D127" s="219"/>
      <c r="E127" s="219"/>
      <c r="F127" s="219"/>
      <c r="G127" s="219"/>
      <c r="H127" s="219"/>
      <c r="I127" s="219"/>
      <c r="J127" s="219"/>
      <c r="K127" s="271" t="s">
        <v>140</v>
      </c>
      <c r="L127" s="271" t="s">
        <v>743</v>
      </c>
      <c r="M127" s="202"/>
      <c r="N127" s="271"/>
      <c r="O127" s="271"/>
      <c r="P127" s="241"/>
      <c r="Q127" s="486"/>
      <c r="R127" s="241"/>
      <c r="S127" s="271"/>
      <c r="T127" s="271"/>
      <c r="U127" s="271"/>
      <c r="V127" s="466"/>
    </row>
    <row r="128" spans="1:25" s="14" customFormat="1" ht="18" hidden="1" customHeight="1">
      <c r="A128" s="206"/>
      <c r="B128" s="207"/>
      <c r="C128" s="207"/>
      <c r="D128" s="207"/>
      <c r="E128" s="207"/>
      <c r="F128" s="207"/>
      <c r="G128" s="207"/>
      <c r="H128" s="207"/>
      <c r="I128" s="207"/>
      <c r="J128" s="207"/>
      <c r="K128" s="207"/>
      <c r="L128" s="207"/>
      <c r="M128" s="207"/>
      <c r="N128" s="207"/>
      <c r="O128" s="207"/>
      <c r="P128" s="207"/>
      <c r="Q128" s="236"/>
      <c r="R128" s="194"/>
      <c r="S128" s="237"/>
      <c r="T128" s="207"/>
      <c r="U128" s="207"/>
      <c r="V128" s="140"/>
    </row>
    <row r="129" spans="1:22" ht="18" hidden="1" customHeight="1">
      <c r="A129" s="238"/>
      <c r="B129" s="285"/>
      <c r="C129" s="285"/>
      <c r="D129" s="239"/>
      <c r="E129" s="239"/>
      <c r="F129" s="239"/>
      <c r="G129" s="239"/>
      <c r="H129" s="239"/>
      <c r="I129" s="239"/>
      <c r="J129" s="239"/>
      <c r="K129" s="323"/>
      <c r="L129" s="323"/>
      <c r="M129" s="239"/>
      <c r="N129" s="239"/>
      <c r="O129" s="323"/>
      <c r="P129" s="323"/>
      <c r="Q129" s="145"/>
      <c r="R129" s="239"/>
      <c r="S129" s="239"/>
      <c r="T129" s="285"/>
      <c r="U129" s="285"/>
      <c r="V129" s="240"/>
    </row>
    <row r="130" spans="1:22" ht="18" hidden="1" customHeight="1">
      <c r="A130" s="96"/>
      <c r="B130" s="7" t="s">
        <v>744</v>
      </c>
      <c r="C130" s="7"/>
      <c r="D130" s="14"/>
      <c r="E130" s="7"/>
      <c r="F130" s="7"/>
      <c r="L130" s="27"/>
      <c r="O130" s="27"/>
      <c r="P130" s="27"/>
      <c r="Q130" s="28"/>
      <c r="T130" s="14"/>
      <c r="U130" s="14"/>
      <c r="V130" s="197"/>
    </row>
    <row r="131" spans="1:22" ht="18" hidden="1" customHeight="1">
      <c r="A131" s="96"/>
      <c r="B131" s="14"/>
      <c r="C131" s="7"/>
      <c r="D131" s="7"/>
      <c r="E131" s="14"/>
      <c r="F131" s="7"/>
      <c r="L131" s="27"/>
      <c r="M131" s="14"/>
      <c r="O131" s="14"/>
      <c r="P131" s="14"/>
      <c r="Q131" s="14"/>
      <c r="R131" s="14"/>
      <c r="S131" s="14"/>
      <c r="T131" s="14"/>
      <c r="U131" s="14"/>
      <c r="V131" s="197"/>
    </row>
    <row r="132" spans="1:22" ht="18" hidden="1" customHeight="1">
      <c r="A132" s="96"/>
      <c r="B132" s="14"/>
      <c r="C132" s="120" t="s">
        <v>745</v>
      </c>
      <c r="D132" s="28" t="s">
        <v>138</v>
      </c>
      <c r="E132" s="861">
        <f>S107</f>
        <v>31500</v>
      </c>
      <c r="F132" s="861"/>
      <c r="G132" s="14"/>
      <c r="H132" s="14"/>
      <c r="I132" s="102"/>
      <c r="J132" s="47"/>
      <c r="K132" s="47"/>
      <c r="L132" s="14"/>
      <c r="M132" s="14"/>
      <c r="N132" s="14"/>
      <c r="O132" s="14"/>
      <c r="P132" s="14"/>
      <c r="Q132" s="14"/>
      <c r="R132" s="14"/>
      <c r="S132" s="14"/>
      <c r="T132" s="14"/>
      <c r="U132" s="14"/>
      <c r="V132" s="197"/>
    </row>
    <row r="133" spans="1:22" ht="18" hidden="1" customHeight="1">
      <c r="A133" s="96"/>
      <c r="B133" s="14"/>
      <c r="C133" s="120"/>
      <c r="D133" s="28"/>
      <c r="E133" s="860" t="str">
        <f>"5 x "&amp;S108&amp;""</f>
        <v>5 x -</v>
      </c>
      <c r="F133" s="860"/>
      <c r="G133" s="28"/>
      <c r="H133" s="269"/>
      <c r="K133" s="28"/>
      <c r="L133" s="230"/>
      <c r="M133" s="269"/>
      <c r="O133" s="14"/>
      <c r="P133" s="14"/>
      <c r="Q133" s="14"/>
      <c r="R133" s="14"/>
      <c r="S133" s="14"/>
      <c r="T133" s="14"/>
      <c r="U133" s="14"/>
      <c r="V133" s="197"/>
    </row>
    <row r="134" spans="1:22" ht="18" hidden="1" customHeight="1">
      <c r="A134" s="96"/>
      <c r="J134" s="14"/>
      <c r="K134" s="269"/>
      <c r="M134" s="14"/>
      <c r="N134" s="14"/>
      <c r="O134" s="14"/>
      <c r="P134" s="14"/>
      <c r="Q134" s="14"/>
      <c r="R134" s="14"/>
      <c r="S134" s="14"/>
      <c r="T134" s="14"/>
      <c r="U134" s="14"/>
      <c r="V134" s="197"/>
    </row>
    <row r="135" spans="1:22" ht="18" hidden="1" customHeight="1">
      <c r="A135" s="96"/>
      <c r="C135" s="471" t="s">
        <v>745</v>
      </c>
      <c r="D135" s="194" t="s">
        <v>138</v>
      </c>
      <c r="E135" s="990" t="e">
        <f>S107/5/S108</f>
        <v>#VALUE!</v>
      </c>
      <c r="F135" s="648"/>
      <c r="G135" s="27"/>
      <c r="H135" s="27"/>
      <c r="I135" s="27"/>
      <c r="J135" s="120"/>
      <c r="K135" s="28"/>
      <c r="L135" s="120"/>
      <c r="M135" s="28"/>
      <c r="N135" s="120"/>
      <c r="O135" s="28"/>
      <c r="P135" s="120"/>
      <c r="Q135" s="308"/>
      <c r="V135" s="197"/>
    </row>
    <row r="136" spans="1:22" ht="18" hidden="1" customHeight="1">
      <c r="A136" s="96"/>
      <c r="C136" s="120"/>
      <c r="D136" s="28"/>
      <c r="E136" s="230"/>
      <c r="F136" s="230"/>
      <c r="G136" s="27"/>
      <c r="H136" s="27"/>
      <c r="I136" s="27"/>
      <c r="J136" s="120"/>
      <c r="K136" s="28"/>
      <c r="L136" s="120"/>
      <c r="M136" s="28"/>
      <c r="N136" s="120"/>
      <c r="O136" s="28"/>
      <c r="P136" s="120"/>
      <c r="Q136" s="308"/>
      <c r="V136" s="197"/>
    </row>
    <row r="137" spans="1:22" ht="18" hidden="1" customHeight="1">
      <c r="A137" s="96"/>
      <c r="B137" s="14" t="s">
        <v>746</v>
      </c>
      <c r="C137" s="14"/>
      <c r="D137" s="14"/>
      <c r="E137" s="7"/>
      <c r="F137" s="102"/>
      <c r="G137" s="7"/>
      <c r="H137" s="7"/>
      <c r="I137" s="251"/>
      <c r="J137" s="120"/>
      <c r="K137" s="28"/>
      <c r="L137" s="120"/>
      <c r="M137" s="28"/>
      <c r="N137" s="120"/>
      <c r="O137" s="28"/>
      <c r="P137" s="120"/>
      <c r="Q137" s="308"/>
      <c r="V137" s="197"/>
    </row>
    <row r="138" spans="1:22" ht="18" hidden="1" customHeight="1">
      <c r="A138" s="96"/>
      <c r="C138" s="14"/>
      <c r="D138" s="14"/>
      <c r="E138" s="638" t="s">
        <v>747</v>
      </c>
      <c r="F138" s="638">
        <v>1</v>
      </c>
      <c r="G138" s="638"/>
      <c r="H138" s="638" t="s">
        <v>323</v>
      </c>
      <c r="I138" s="472" t="s">
        <v>323</v>
      </c>
      <c r="J138" s="120"/>
      <c r="K138" s="28"/>
      <c r="L138" s="120"/>
      <c r="M138" s="28"/>
      <c r="N138" s="120"/>
      <c r="O138" s="28"/>
      <c r="P138" s="120"/>
      <c r="Q138" s="308"/>
      <c r="V138" s="197"/>
    </row>
    <row r="139" spans="1:22" ht="18" hidden="1" customHeight="1">
      <c r="A139" s="96"/>
      <c r="C139" s="14"/>
      <c r="D139" s="14"/>
      <c r="E139" s="985"/>
      <c r="F139" s="285"/>
      <c r="G139" s="286" t="s">
        <v>748</v>
      </c>
      <c r="H139" s="638"/>
      <c r="I139" s="14" t="s">
        <v>152</v>
      </c>
      <c r="J139" s="120"/>
      <c r="K139" s="28"/>
      <c r="L139" s="120"/>
      <c r="M139" s="28"/>
      <c r="N139" s="120"/>
      <c r="O139" s="28"/>
      <c r="P139" s="120"/>
      <c r="Q139" s="308"/>
      <c r="V139" s="197"/>
    </row>
    <row r="140" spans="1:22" ht="18" hidden="1" customHeight="1">
      <c r="A140" s="96"/>
      <c r="C140" s="120"/>
      <c r="D140" s="28"/>
      <c r="E140" s="230"/>
      <c r="F140" s="230"/>
      <c r="G140" s="27"/>
      <c r="H140" s="27"/>
      <c r="I140" s="27"/>
      <c r="J140" s="120"/>
      <c r="K140" s="28"/>
      <c r="L140" s="120"/>
      <c r="M140" s="28"/>
      <c r="N140" s="120"/>
      <c r="O140" s="28"/>
      <c r="P140" s="120"/>
      <c r="Q140" s="308"/>
      <c r="V140" s="197"/>
    </row>
    <row r="141" spans="1:22" ht="18" hidden="1" customHeight="1">
      <c r="A141" s="96"/>
      <c r="B141" s="14" t="s">
        <v>764</v>
      </c>
      <c r="J141" s="120"/>
      <c r="K141" s="28"/>
      <c r="L141" s="120"/>
      <c r="M141" s="28"/>
      <c r="N141" s="121" t="s">
        <v>138</v>
      </c>
      <c r="O141" s="47" t="e">
        <f>#REF!</f>
        <v>#REF!</v>
      </c>
      <c r="P141" s="120"/>
      <c r="Q141" s="308"/>
      <c r="V141" s="197"/>
    </row>
    <row r="142" spans="1:22" ht="18" hidden="1" customHeight="1">
      <c r="A142" s="196"/>
      <c r="C142" s="120"/>
      <c r="D142" s="28"/>
      <c r="E142" s="230"/>
      <c r="F142" s="230"/>
      <c r="G142" s="27"/>
      <c r="H142" s="27"/>
      <c r="I142" s="27"/>
      <c r="J142" s="120"/>
      <c r="K142" s="28"/>
      <c r="L142" s="120"/>
      <c r="M142" s="28"/>
      <c r="N142" s="120"/>
      <c r="O142" s="28"/>
      <c r="P142" s="120"/>
      <c r="Q142" s="308"/>
      <c r="V142" s="197"/>
    </row>
    <row r="143" spans="1:22" ht="18" hidden="1" customHeight="1">
      <c r="A143" s="96"/>
      <c r="C143" s="120"/>
      <c r="F143" s="661">
        <v>1</v>
      </c>
      <c r="G143" s="661"/>
      <c r="H143" s="661"/>
      <c r="I143" s="27"/>
      <c r="J143" s="638" t="s">
        <v>326</v>
      </c>
      <c r="K143" s="987" t="e">
        <f>O141</f>
        <v>#REF!</v>
      </c>
      <c r="L143" s="120"/>
      <c r="M143" s="28"/>
      <c r="N143" s="120"/>
      <c r="O143" s="28"/>
      <c r="P143" s="120"/>
      <c r="Q143" s="308"/>
      <c r="V143" s="197"/>
    </row>
    <row r="144" spans="1:22" ht="18" hidden="1" customHeight="1">
      <c r="A144" s="196"/>
      <c r="C144" s="120"/>
      <c r="D144" s="120" t="s">
        <v>749</v>
      </c>
      <c r="E144" s="102" t="s">
        <v>138</v>
      </c>
      <c r="F144" s="14" t="s">
        <v>750</v>
      </c>
      <c r="I144" s="27"/>
      <c r="J144" s="639"/>
      <c r="K144" s="986"/>
      <c r="L144" s="120"/>
      <c r="M144" s="28"/>
      <c r="N144" s="120"/>
      <c r="O144" s="28"/>
      <c r="P144" s="120"/>
      <c r="Q144" s="308"/>
      <c r="V144" s="197"/>
    </row>
    <row r="145" spans="1:22" ht="18" hidden="1" customHeight="1">
      <c r="A145" s="196"/>
      <c r="C145" s="120"/>
      <c r="D145" s="28"/>
      <c r="E145" s="230" t="s">
        <v>138</v>
      </c>
      <c r="F145" s="988" t="e">
        <f>1*O141/(2*3.14*50)</f>
        <v>#REF!</v>
      </c>
      <c r="G145" s="988"/>
      <c r="H145" s="28" t="s">
        <v>751</v>
      </c>
      <c r="I145" s="27"/>
      <c r="J145" s="120"/>
      <c r="K145" s="28"/>
      <c r="L145" s="120"/>
      <c r="M145" s="28"/>
      <c r="N145" s="120"/>
      <c r="O145" s="28"/>
      <c r="P145" s="120"/>
      <c r="Q145" s="308"/>
      <c r="V145" s="197"/>
    </row>
    <row r="146" spans="1:22" ht="18" hidden="1" customHeight="1">
      <c r="A146" s="196"/>
      <c r="C146" s="120"/>
      <c r="D146" s="120" t="s">
        <v>749</v>
      </c>
      <c r="E146" s="230" t="s">
        <v>138</v>
      </c>
      <c r="F146" s="989" t="e">
        <f>F145*1000</f>
        <v>#REF!</v>
      </c>
      <c r="G146" s="989"/>
      <c r="H146" s="28" t="s">
        <v>354</v>
      </c>
      <c r="I146" s="27"/>
      <c r="J146" s="120"/>
      <c r="K146" s="28"/>
      <c r="L146" s="120"/>
      <c r="M146" s="28"/>
      <c r="N146" s="120"/>
      <c r="O146" s="28"/>
      <c r="P146" s="120"/>
      <c r="Q146" s="308"/>
      <c r="V146" s="197"/>
    </row>
    <row r="147" spans="1:22" ht="18" hidden="1" customHeight="1">
      <c r="A147" s="196"/>
      <c r="B147" s="14" t="s">
        <v>752</v>
      </c>
      <c r="E147" s="28" t="s">
        <v>138</v>
      </c>
      <c r="F147" s="27">
        <v>10</v>
      </c>
      <c r="G147" s="27"/>
      <c r="H147" s="257"/>
      <c r="I147" s="257"/>
      <c r="J147" s="473"/>
      <c r="K147" s="257"/>
      <c r="L147" s="473"/>
      <c r="M147" s="257"/>
      <c r="N147" s="473"/>
      <c r="O147" s="257"/>
      <c r="P147" s="473"/>
      <c r="Q147" s="474"/>
      <c r="V147" s="197"/>
    </row>
    <row r="148" spans="1:22" ht="18" hidden="1" customHeight="1">
      <c r="A148" s="196"/>
      <c r="G148" s="27"/>
      <c r="H148" s="257"/>
      <c r="I148" s="257"/>
      <c r="J148" s="473"/>
      <c r="K148" s="257"/>
      <c r="L148" s="473"/>
      <c r="M148" s="257"/>
      <c r="N148" s="473"/>
      <c r="O148" s="257"/>
      <c r="P148" s="473"/>
      <c r="Q148" s="474"/>
      <c r="V148" s="197"/>
    </row>
    <row r="149" spans="1:22" ht="18" hidden="1" customHeight="1">
      <c r="A149" s="196"/>
      <c r="B149" s="7" t="s">
        <v>753</v>
      </c>
      <c r="F149" s="7"/>
      <c r="G149" s="7"/>
      <c r="H149" s="216"/>
      <c r="I149" s="216"/>
      <c r="V149" s="197"/>
    </row>
    <row r="150" spans="1:22" ht="18" hidden="1" customHeight="1">
      <c r="A150" s="196"/>
      <c r="B150" s="7"/>
      <c r="E150" s="14" t="s">
        <v>765</v>
      </c>
      <c r="F150" s="7"/>
      <c r="G150" s="7"/>
      <c r="V150" s="197"/>
    </row>
    <row r="151" spans="1:22" ht="18" hidden="1" customHeight="1">
      <c r="A151" s="196"/>
      <c r="B151" s="14" t="s">
        <v>755</v>
      </c>
      <c r="C151" s="14"/>
      <c r="D151" s="14"/>
      <c r="E151" s="14"/>
      <c r="F151" s="14"/>
      <c r="G151" s="120"/>
      <c r="H151" s="120"/>
      <c r="V151" s="197"/>
    </row>
    <row r="152" spans="1:22" ht="18" hidden="1" customHeight="1">
      <c r="A152" s="196"/>
      <c r="B152" s="14"/>
      <c r="C152" s="120" t="s">
        <v>756</v>
      </c>
      <c r="D152" s="28" t="s">
        <v>138</v>
      </c>
      <c r="E152" s="989" t="e">
        <f>MAX(E135,F147)</f>
        <v>#VALUE!</v>
      </c>
      <c r="F152" s="989"/>
      <c r="G152" s="47" t="s">
        <v>757</v>
      </c>
      <c r="H152" s="120"/>
      <c r="V152" s="197"/>
    </row>
    <row r="153" spans="1:22" ht="18" hidden="1" customHeight="1">
      <c r="A153" s="196"/>
      <c r="B153" s="7"/>
      <c r="E153" s="14"/>
      <c r="F153" s="7"/>
      <c r="G153" s="7"/>
      <c r="V153" s="197"/>
    </row>
    <row r="154" spans="1:22" ht="18" hidden="1" customHeight="1">
      <c r="A154" s="196"/>
      <c r="B154" s="47" t="s">
        <v>758</v>
      </c>
      <c r="E154" s="14"/>
      <c r="F154" s="7"/>
      <c r="G154" s="7"/>
      <c r="V154" s="197"/>
    </row>
    <row r="155" spans="1:22" ht="18" hidden="1" customHeight="1">
      <c r="A155" s="196"/>
      <c r="B155" s="47" t="s">
        <v>759</v>
      </c>
      <c r="E155" s="14"/>
      <c r="F155" s="7"/>
      <c r="G155" s="7"/>
      <c r="V155" s="197"/>
    </row>
    <row r="156" spans="1:22" ht="18" hidden="1" customHeight="1" thickBot="1">
      <c r="A156" s="196"/>
      <c r="B156" s="102" t="s">
        <v>138</v>
      </c>
      <c r="C156" s="120" t="e">
        <f>E152</f>
        <v>#VALUE!</v>
      </c>
      <c r="D156" s="28" t="s">
        <v>326</v>
      </c>
      <c r="E156" s="28" t="s">
        <v>430</v>
      </c>
      <c r="F156" s="641">
        <f>S111</f>
        <v>9.3000000000000007</v>
      </c>
      <c r="G156" s="641"/>
      <c r="H156" s="102" t="s">
        <v>358</v>
      </c>
      <c r="I156" s="230">
        <f>S112</f>
        <v>1.45186744</v>
      </c>
      <c r="J156" s="252" t="s">
        <v>358</v>
      </c>
      <c r="K156" s="293">
        <f>J100</f>
        <v>0.01</v>
      </c>
      <c r="L156" s="14" t="s">
        <v>361</v>
      </c>
      <c r="M156" s="14" t="s">
        <v>326</v>
      </c>
      <c r="N156" s="28">
        <v>1</v>
      </c>
      <c r="V156" s="197"/>
    </row>
    <row r="157" spans="1:22" ht="18" hidden="1" customHeight="1" thickBot="1">
      <c r="A157" s="196"/>
      <c r="B157" s="475" t="s">
        <v>539</v>
      </c>
      <c r="C157" s="476" t="s">
        <v>138</v>
      </c>
      <c r="D157" s="477" t="e">
        <f>C156*(F156+I156+K156)*N156</f>
        <v>#VALUE!</v>
      </c>
      <c r="E157" s="14" t="s">
        <v>316</v>
      </c>
      <c r="F157" s="7"/>
      <c r="G157" s="7"/>
      <c r="V157" s="197"/>
    </row>
    <row r="158" spans="1:22" ht="18" hidden="1" customHeight="1">
      <c r="A158" s="196"/>
      <c r="B158" s="7"/>
      <c r="E158" s="14"/>
      <c r="F158" s="7"/>
      <c r="G158" s="7"/>
      <c r="V158" s="197"/>
    </row>
    <row r="159" spans="1:22" ht="18" hidden="1" customHeight="1">
      <c r="A159" s="196"/>
      <c r="B159" s="47" t="s">
        <v>760</v>
      </c>
      <c r="E159" s="14"/>
      <c r="F159" s="7"/>
      <c r="G159" s="7"/>
      <c r="J159" s="14" t="s">
        <v>761</v>
      </c>
      <c r="L159" s="28" t="s">
        <v>487</v>
      </c>
      <c r="N159" s="14" t="s">
        <v>762</v>
      </c>
      <c r="V159" s="197"/>
    </row>
    <row r="160" spans="1:22" ht="18" hidden="1" customHeight="1">
      <c r="A160" s="196"/>
      <c r="B160" s="7"/>
      <c r="E160" s="14"/>
      <c r="F160" s="7"/>
      <c r="G160" s="7"/>
      <c r="L160" s="28" t="s">
        <v>138</v>
      </c>
      <c r="N160" s="986" t="e">
        <f>0.8*D157</f>
        <v>#VALUE!</v>
      </c>
      <c r="O160" s="986"/>
      <c r="V160" s="197"/>
    </row>
    <row r="161" spans="1:22" ht="18" hidden="1" customHeight="1">
      <c r="A161" s="196"/>
      <c r="B161" s="7"/>
      <c r="E161" s="14"/>
      <c r="F161" s="14" t="s">
        <v>763</v>
      </c>
      <c r="G161" s="7"/>
      <c r="L161" s="28" t="s">
        <v>138</v>
      </c>
      <c r="N161" s="960" t="e">
        <f>N160*1.2</f>
        <v>#VALUE!</v>
      </c>
      <c r="O161" s="960"/>
      <c r="V161" s="197"/>
    </row>
    <row r="162" spans="1:22" ht="18" hidden="1" customHeight="1">
      <c r="A162" s="196"/>
      <c r="B162" s="7"/>
      <c r="E162" s="14"/>
      <c r="F162" s="7"/>
      <c r="G162" s="7"/>
      <c r="K162" s="211" t="s">
        <v>486</v>
      </c>
      <c r="L162" s="28" t="e">
        <f>IF(J163&gt;M163,"&gt;","&lt;")</f>
        <v>#VALUE!</v>
      </c>
      <c r="M162" s="269" t="s">
        <v>488</v>
      </c>
      <c r="O162" s="18"/>
      <c r="P162" s="280"/>
      <c r="V162" s="197"/>
    </row>
    <row r="163" spans="1:22" ht="18" hidden="1" customHeight="1">
      <c r="A163" s="196"/>
      <c r="D163" s="223"/>
      <c r="E163" s="223"/>
      <c r="F163" s="27"/>
      <c r="G163" s="223"/>
      <c r="J163" s="637">
        <f>S110</f>
        <v>500</v>
      </c>
      <c r="K163" s="637"/>
      <c r="L163" s="27" t="e">
        <f>IF(J163&gt;=M163,"&gt;","&lt;")</f>
        <v>#VALUE!</v>
      </c>
      <c r="M163" s="637" t="e">
        <f>N161</f>
        <v>#VALUE!</v>
      </c>
      <c r="N163" s="637"/>
      <c r="P163" s="280"/>
      <c r="V163" s="197"/>
    </row>
    <row r="164" spans="1:22" ht="18" hidden="1" customHeight="1">
      <c r="A164" s="196"/>
      <c r="K164" s="256" t="s">
        <v>489</v>
      </c>
      <c r="M164" s="18" t="e">
        <f>IF(J163&gt;M163,"Suitable Dimensions","Under Dimensioned")</f>
        <v>#VALUE!</v>
      </c>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465"/>
      <c r="B168" s="219"/>
      <c r="C168" s="219"/>
      <c r="D168" s="219"/>
      <c r="E168" s="219"/>
      <c r="F168" s="219"/>
      <c r="G168" s="219"/>
      <c r="H168" s="219"/>
      <c r="I168" s="219"/>
      <c r="J168" s="219"/>
      <c r="K168" s="219"/>
      <c r="L168" s="219"/>
      <c r="M168" s="219"/>
      <c r="N168" s="219"/>
      <c r="O168" s="219"/>
      <c r="P168" s="219"/>
      <c r="Q168" s="219"/>
      <c r="R168" s="219"/>
      <c r="S168" s="219"/>
      <c r="T168" s="219"/>
      <c r="U168" s="219"/>
      <c r="V168" s="466"/>
    </row>
    <row r="169" spans="1:22" s="14" customFormat="1" ht="18" hidden="1" customHeight="1">
      <c r="A169" s="206"/>
      <c r="B169" s="207"/>
      <c r="C169" s="207"/>
      <c r="D169" s="207"/>
      <c r="E169" s="207"/>
      <c r="F169" s="207"/>
      <c r="G169" s="207"/>
      <c r="H169" s="207"/>
      <c r="I169" s="207"/>
      <c r="J169" s="207"/>
      <c r="K169" s="207"/>
      <c r="L169" s="207"/>
      <c r="M169" s="207"/>
      <c r="N169" s="207"/>
      <c r="O169" s="207"/>
      <c r="P169" s="207"/>
      <c r="Q169" s="236"/>
      <c r="R169" s="194"/>
      <c r="S169" s="237"/>
      <c r="T169" s="207"/>
      <c r="U169" s="207"/>
      <c r="V169" s="140"/>
    </row>
    <row r="170" spans="1:22" ht="18" hidden="1" customHeight="1">
      <c r="A170" s="238"/>
      <c r="B170" s="239"/>
      <c r="C170" s="239"/>
      <c r="D170" s="239"/>
      <c r="E170" s="239"/>
      <c r="F170" s="239"/>
      <c r="G170" s="239"/>
      <c r="H170" s="239"/>
      <c r="I170" s="239"/>
      <c r="J170" s="239"/>
      <c r="K170" s="239"/>
      <c r="L170" s="239"/>
      <c r="M170" s="239"/>
      <c r="N170" s="239"/>
      <c r="O170" s="239"/>
      <c r="P170" s="239"/>
      <c r="Q170" s="239"/>
      <c r="R170" s="239"/>
      <c r="S170" s="239"/>
      <c r="T170" s="239"/>
      <c r="U170" s="239"/>
      <c r="V170" s="240"/>
    </row>
    <row r="171" spans="1:22" ht="18" hidden="1" customHeight="1">
      <c r="A171" s="196"/>
      <c r="B171" s="650" t="str">
        <f>B89</f>
        <v>T1</v>
      </c>
      <c r="C171" s="651"/>
      <c r="D171" s="650" t="str">
        <f>D89</f>
        <v>Core4</v>
      </c>
      <c r="E171" s="651"/>
      <c r="F171" s="468"/>
      <c r="H171" s="639">
        <f>H89</f>
        <v>0</v>
      </c>
      <c r="I171" s="639"/>
      <c r="J171" s="639"/>
      <c r="K171" s="639"/>
      <c r="L171" s="639"/>
      <c r="M171" s="639"/>
      <c r="P171" s="198"/>
      <c r="S171" s="199" t="s">
        <v>398</v>
      </c>
      <c r="T171" s="650" t="str">
        <f>T89</f>
        <v>REB500</v>
      </c>
      <c r="U171" s="651"/>
      <c r="V171" s="197"/>
    </row>
    <row r="172" spans="1:22" ht="18" hidden="1" customHeight="1">
      <c r="A172" s="469"/>
      <c r="F172" s="468"/>
      <c r="T172" s="650">
        <f>T90</f>
        <v>0</v>
      </c>
      <c r="U172" s="651"/>
      <c r="V172" s="197"/>
    </row>
    <row r="173" spans="1:22" ht="18" hidden="1" customHeight="1">
      <c r="A173" s="196"/>
      <c r="H173" s="661" t="s">
        <v>401</v>
      </c>
      <c r="I173" s="661"/>
      <c r="J173" s="661" t="s">
        <v>402</v>
      </c>
      <c r="K173" s="661"/>
      <c r="L173" s="662" t="s">
        <v>403</v>
      </c>
      <c r="M173" s="662"/>
      <c r="T173" s="650">
        <f>T91</f>
        <v>0</v>
      </c>
      <c r="U173" s="651"/>
      <c r="V173" s="197"/>
    </row>
    <row r="174" spans="1:22" ht="18" hidden="1" customHeight="1">
      <c r="A174" s="196"/>
      <c r="B174" s="47" t="s">
        <v>404</v>
      </c>
      <c r="H174" s="650">
        <f>H92</f>
        <v>2500</v>
      </c>
      <c r="I174" s="651"/>
      <c r="J174" s="650" t="str">
        <f>J92</f>
        <v>-</v>
      </c>
      <c r="K174" s="651"/>
      <c r="L174" s="652" t="str">
        <f>L92</f>
        <v>-</v>
      </c>
      <c r="M174" s="653"/>
      <c r="N174" s="203" t="s">
        <v>353</v>
      </c>
      <c r="O174" s="268">
        <f>O92</f>
        <v>1</v>
      </c>
      <c r="P174" s="27" t="s">
        <v>9</v>
      </c>
      <c r="R174" s="267"/>
      <c r="S174" s="267"/>
      <c r="V174" s="197"/>
    </row>
    <row r="175" spans="1:22" ht="18" hidden="1" customHeight="1">
      <c r="A175" s="196"/>
      <c r="B175" s="47" t="s">
        <v>405</v>
      </c>
      <c r="H175" s="14"/>
      <c r="K175" s="14"/>
      <c r="L175" s="650" t="str">
        <f>J93</f>
        <v>PX-B</v>
      </c>
      <c r="M175" s="651"/>
      <c r="N175" s="14"/>
      <c r="V175" s="197"/>
    </row>
    <row r="176" spans="1:22" ht="18" hidden="1" customHeight="1">
      <c r="A176" s="196"/>
      <c r="B176" s="47" t="s">
        <v>407</v>
      </c>
      <c r="K176" s="120" t="s">
        <v>508</v>
      </c>
      <c r="L176" s="656" t="s">
        <v>7</v>
      </c>
      <c r="M176" s="657"/>
      <c r="N176" s="204" t="s">
        <v>344</v>
      </c>
      <c r="V176" s="197"/>
    </row>
    <row r="177" spans="1:23" ht="18" hidden="1" customHeight="1">
      <c r="A177" s="196"/>
      <c r="B177" s="47" t="s">
        <v>409</v>
      </c>
      <c r="K177" s="120" t="s">
        <v>509</v>
      </c>
      <c r="L177" s="656" t="s">
        <v>7</v>
      </c>
      <c r="M177" s="657"/>
      <c r="N177" s="14" t="s">
        <v>316</v>
      </c>
      <c r="V177" s="197"/>
      <c r="W177" s="30" t="e">
        <f>G237</f>
        <v>#VALUE!</v>
      </c>
    </row>
    <row r="178" spans="1:23" ht="18" hidden="1" customHeight="1">
      <c r="A178" s="196"/>
      <c r="B178" s="14" t="s">
        <v>412</v>
      </c>
      <c r="K178" s="120" t="s">
        <v>413</v>
      </c>
      <c r="L178" s="656" t="s">
        <v>7</v>
      </c>
      <c r="M178" s="657"/>
      <c r="N178" s="14" t="s">
        <v>414</v>
      </c>
      <c r="V178" s="197"/>
    </row>
    <row r="179" spans="1:23" ht="18" hidden="1" customHeight="1">
      <c r="A179" s="196"/>
      <c r="V179" s="197"/>
    </row>
    <row r="180" spans="1:23" ht="18" hidden="1" customHeight="1">
      <c r="A180" s="205" t="s">
        <v>415</v>
      </c>
      <c r="V180" s="197"/>
    </row>
    <row r="181" spans="1:23" ht="18" hidden="1" customHeight="1">
      <c r="A181" s="196"/>
      <c r="V181" s="197"/>
    </row>
    <row r="182" spans="1:23" ht="18" hidden="1" customHeight="1">
      <c r="A182" s="196"/>
      <c r="B182" s="141" t="s">
        <v>416</v>
      </c>
      <c r="C182" s="285"/>
      <c r="D182" s="146" t="str">
        <f>T171</f>
        <v>REB500</v>
      </c>
      <c r="E182" s="239"/>
      <c r="F182" s="239"/>
      <c r="G182" s="239"/>
      <c r="H182" s="145"/>
      <c r="I182" s="272" t="s">
        <v>138</v>
      </c>
      <c r="J182" s="648">
        <f>J100</f>
        <v>0.01</v>
      </c>
      <c r="K182" s="649"/>
      <c r="L182" s="3" t="s">
        <v>168</v>
      </c>
      <c r="N182" s="209" t="s">
        <v>521</v>
      </c>
      <c r="V182" s="197"/>
    </row>
    <row r="183" spans="1:23" ht="18" hidden="1" customHeight="1">
      <c r="A183" s="196"/>
      <c r="B183" s="96" t="s">
        <v>416</v>
      </c>
      <c r="C183" s="14"/>
      <c r="D183" s="47">
        <f>T172</f>
        <v>0</v>
      </c>
      <c r="H183" s="28"/>
      <c r="I183" s="101" t="s">
        <v>138</v>
      </c>
      <c r="J183" s="648">
        <f>J101</f>
        <v>0</v>
      </c>
      <c r="K183" s="649"/>
      <c r="L183" s="3" t="s">
        <v>168</v>
      </c>
      <c r="N183" s="120" t="s">
        <v>502</v>
      </c>
      <c r="O183" s="27" t="s">
        <v>138</v>
      </c>
      <c r="P183" s="27" t="s">
        <v>522</v>
      </c>
      <c r="Q183" s="27" t="s">
        <v>326</v>
      </c>
      <c r="R183" s="27" t="s">
        <v>522</v>
      </c>
      <c r="S183" s="27" t="s">
        <v>326</v>
      </c>
      <c r="T183" s="27" t="s">
        <v>431</v>
      </c>
      <c r="V183" s="197"/>
    </row>
    <row r="184" spans="1:23" ht="18" hidden="1" customHeight="1">
      <c r="A184" s="196"/>
      <c r="B184" s="96" t="s">
        <v>416</v>
      </c>
      <c r="C184" s="14"/>
      <c r="D184" s="47">
        <f>T173</f>
        <v>0</v>
      </c>
      <c r="H184" s="28"/>
      <c r="I184" s="101" t="s">
        <v>138</v>
      </c>
      <c r="J184" s="648">
        <f>J102</f>
        <v>0</v>
      </c>
      <c r="K184" s="649"/>
      <c r="L184" s="3" t="s">
        <v>168</v>
      </c>
      <c r="N184" s="27"/>
      <c r="O184" s="27" t="s">
        <v>138</v>
      </c>
      <c r="P184" s="27">
        <f>O174</f>
        <v>1</v>
      </c>
      <c r="Q184" s="27" t="s">
        <v>326</v>
      </c>
      <c r="R184" s="27">
        <f>O174</f>
        <v>1</v>
      </c>
      <c r="S184" s="27" t="s">
        <v>326</v>
      </c>
      <c r="T184" s="27" t="str">
        <f>L176</f>
        <v>-</v>
      </c>
      <c r="V184" s="197"/>
    </row>
    <row r="185" spans="1:23" ht="18" hidden="1" customHeight="1">
      <c r="A185" s="196"/>
      <c r="B185" s="465" t="s">
        <v>423</v>
      </c>
      <c r="C185" s="271"/>
      <c r="D185" s="271"/>
      <c r="E185" s="271"/>
      <c r="F185" s="219"/>
      <c r="G185" s="219"/>
      <c r="H185" s="202"/>
      <c r="I185" s="220" t="s">
        <v>138</v>
      </c>
      <c r="J185" s="646">
        <f>J103</f>
        <v>1.44186744</v>
      </c>
      <c r="K185" s="647"/>
      <c r="L185" s="309" t="s">
        <v>168</v>
      </c>
      <c r="O185" s="27" t="s">
        <v>138</v>
      </c>
      <c r="P185" s="637" t="e">
        <f>P184*R184*T184</f>
        <v>#VALUE!</v>
      </c>
      <c r="Q185" s="639"/>
      <c r="R185" s="27" t="s">
        <v>168</v>
      </c>
      <c r="V185" s="197"/>
    </row>
    <row r="186" spans="1:23" ht="18" hidden="1" customHeight="1">
      <c r="A186" s="196"/>
      <c r="B186" s="1" t="s">
        <v>424</v>
      </c>
      <c r="C186" s="2"/>
      <c r="D186" s="2"/>
      <c r="E186" s="2"/>
      <c r="F186" s="208"/>
      <c r="G186" s="208"/>
      <c r="H186" s="236" t="s">
        <v>523</v>
      </c>
      <c r="I186" s="195" t="s">
        <v>138</v>
      </c>
      <c r="J186" s="648">
        <f>SUM(J182:J185)</f>
        <v>1.45186744</v>
      </c>
      <c r="K186" s="649"/>
      <c r="L186" s="3" t="s">
        <v>168</v>
      </c>
      <c r="V186" s="197"/>
    </row>
    <row r="187" spans="1:23" ht="18" hidden="1" customHeight="1">
      <c r="A187" s="196"/>
      <c r="B187" s="47"/>
      <c r="C187" s="47"/>
      <c r="D187" s="47"/>
      <c r="E187" s="47"/>
      <c r="H187" s="27"/>
      <c r="I187" s="28"/>
      <c r="J187" s="211"/>
      <c r="L187" s="47"/>
      <c r="S187" s="27"/>
      <c r="V187" s="197"/>
    </row>
    <row r="188" spans="1:23" ht="18" hidden="1" customHeight="1">
      <c r="A188" s="964" t="s">
        <v>547</v>
      </c>
      <c r="B188" s="965"/>
      <c r="C188" s="965"/>
      <c r="D188" s="965"/>
      <c r="E188" s="965"/>
      <c r="F188" s="965"/>
      <c r="G188" s="965"/>
      <c r="H188" s="965"/>
      <c r="I188" s="965"/>
      <c r="J188" s="965"/>
      <c r="K188" s="965"/>
      <c r="L188" s="965"/>
      <c r="M188" s="965"/>
      <c r="N188" s="965"/>
      <c r="O188" s="965"/>
      <c r="P188" s="965"/>
      <c r="Q188" s="965"/>
      <c r="R188" s="965"/>
      <c r="S188" s="965"/>
      <c r="T188" s="965"/>
      <c r="U188" s="965"/>
      <c r="V188" s="966"/>
    </row>
    <row r="189" spans="1:23" ht="18" hidden="1" customHeight="1">
      <c r="A189" s="967"/>
      <c r="B189" s="965"/>
      <c r="C189" s="965"/>
      <c r="D189" s="965"/>
      <c r="E189" s="965"/>
      <c r="F189" s="965"/>
      <c r="G189" s="965"/>
      <c r="H189" s="965"/>
      <c r="I189" s="965"/>
      <c r="J189" s="965"/>
      <c r="K189" s="965"/>
      <c r="L189" s="965"/>
      <c r="M189" s="965"/>
      <c r="N189" s="965"/>
      <c r="O189" s="965"/>
      <c r="P189" s="965"/>
      <c r="Q189" s="965"/>
      <c r="R189" s="965"/>
      <c r="S189" s="965"/>
      <c r="T189" s="965"/>
      <c r="U189" s="965"/>
      <c r="V189" s="966"/>
    </row>
    <row r="190" spans="1:23" ht="18" hidden="1" customHeight="1">
      <c r="A190" s="196"/>
      <c r="Q190" s="223"/>
      <c r="R190" s="204"/>
      <c r="V190" s="197"/>
    </row>
    <row r="191" spans="1:23" ht="18" hidden="1" customHeight="1">
      <c r="A191" s="196"/>
      <c r="C191" s="28" t="s">
        <v>484</v>
      </c>
      <c r="D191" s="28" t="s">
        <v>138</v>
      </c>
      <c r="E191" s="28" t="s">
        <v>548</v>
      </c>
      <c r="F191" s="28" t="s">
        <v>504</v>
      </c>
      <c r="G191" s="28" t="s">
        <v>358</v>
      </c>
      <c r="H191" s="28" t="s">
        <v>502</v>
      </c>
      <c r="I191" s="28" t="s">
        <v>549</v>
      </c>
      <c r="J191" s="28" t="s">
        <v>506</v>
      </c>
      <c r="K191" s="28" t="s">
        <v>550</v>
      </c>
      <c r="L191" s="28" t="s">
        <v>522</v>
      </c>
      <c r="M191" s="28" t="s">
        <v>326</v>
      </c>
      <c r="N191" s="28">
        <v>1.3</v>
      </c>
      <c r="O191" s="47" t="s">
        <v>361</v>
      </c>
      <c r="V191" s="197"/>
    </row>
    <row r="192" spans="1:23" ht="18" hidden="1" customHeight="1">
      <c r="A192" s="196" t="s">
        <v>551</v>
      </c>
      <c r="C192" s="14"/>
      <c r="D192" s="28"/>
      <c r="E192" s="14"/>
      <c r="F192" s="14"/>
      <c r="G192" s="14"/>
      <c r="H192" s="14"/>
      <c r="I192" s="14"/>
      <c r="J192" s="14"/>
      <c r="K192" s="14"/>
      <c r="L192" s="14"/>
      <c r="M192" s="14"/>
      <c r="N192" s="14"/>
      <c r="O192" s="14"/>
      <c r="V192" s="197"/>
    </row>
    <row r="193" spans="1:25" ht="18" hidden="1" customHeight="1">
      <c r="A193" s="196"/>
      <c r="C193" s="28" t="s">
        <v>504</v>
      </c>
      <c r="D193" s="28" t="s">
        <v>138</v>
      </c>
      <c r="E193" s="28" t="s">
        <v>548</v>
      </c>
      <c r="F193" s="28">
        <v>1.3</v>
      </c>
      <c r="G193" s="28" t="s">
        <v>326</v>
      </c>
      <c r="H193" s="638" t="s">
        <v>484</v>
      </c>
      <c r="I193" s="920"/>
      <c r="J193" s="28" t="s">
        <v>326</v>
      </c>
      <c r="K193" s="28" t="s">
        <v>522</v>
      </c>
      <c r="L193" s="28" t="s">
        <v>552</v>
      </c>
      <c r="M193" s="28" t="s">
        <v>506</v>
      </c>
      <c r="N193" s="47" t="s">
        <v>553</v>
      </c>
      <c r="O193" s="28" t="s">
        <v>502</v>
      </c>
      <c r="V193" s="197"/>
    </row>
    <row r="194" spans="1:25" ht="18" hidden="1" customHeight="1">
      <c r="A194" s="196"/>
      <c r="V194" s="197"/>
    </row>
    <row r="195" spans="1:25" ht="18" hidden="1" customHeight="1">
      <c r="A195" s="180"/>
      <c r="B195" s="5"/>
      <c r="C195" s="47" t="s">
        <v>554</v>
      </c>
      <c r="D195" s="14"/>
      <c r="E195" s="14"/>
      <c r="F195" s="14"/>
      <c r="G195" s="14"/>
      <c r="H195" s="291"/>
      <c r="I195" s="120"/>
      <c r="J195" s="291"/>
      <c r="K195" s="291"/>
      <c r="L195" s="14"/>
      <c r="M195" s="14"/>
      <c r="N195" s="14"/>
      <c r="O195" s="14"/>
      <c r="P195" s="14"/>
      <c r="Q195" s="120" t="s">
        <v>555</v>
      </c>
      <c r="R195" s="102" t="s">
        <v>138</v>
      </c>
      <c r="S195" s="638">
        <f>S113</f>
        <v>1</v>
      </c>
      <c r="T195" s="638"/>
      <c r="U195" s="47" t="s">
        <v>9</v>
      </c>
      <c r="V195" s="197"/>
    </row>
    <row r="196" spans="1:25" ht="18" hidden="1" customHeight="1">
      <c r="A196" s="180"/>
      <c r="B196" s="5"/>
      <c r="C196" s="47" t="s">
        <v>556</v>
      </c>
      <c r="D196" s="14"/>
      <c r="E196" s="14"/>
      <c r="F196" s="18"/>
      <c r="G196" s="18"/>
      <c r="H196" s="291"/>
      <c r="I196" s="120"/>
      <c r="J196" s="291"/>
      <c r="K196" s="291"/>
      <c r="L196" s="14"/>
      <c r="M196" s="14"/>
      <c r="N196" s="14"/>
      <c r="O196" s="14"/>
      <c r="P196" s="14"/>
      <c r="Q196" s="120" t="s">
        <v>434</v>
      </c>
      <c r="R196" s="102" t="s">
        <v>138</v>
      </c>
      <c r="S196" s="638" t="str">
        <f>L174</f>
        <v>-</v>
      </c>
      <c r="T196" s="638"/>
      <c r="U196" s="14" t="s">
        <v>9</v>
      </c>
      <c r="V196" s="197"/>
    </row>
    <row r="197" spans="1:25" ht="18" hidden="1" customHeight="1">
      <c r="A197" s="180"/>
      <c r="B197" s="5"/>
      <c r="C197" s="47" t="s">
        <v>557</v>
      </c>
      <c r="D197" s="14"/>
      <c r="E197" s="14"/>
      <c r="F197" s="18"/>
      <c r="G197" s="18"/>
      <c r="H197" s="291"/>
      <c r="I197" s="120"/>
      <c r="J197" s="291"/>
      <c r="K197" s="291"/>
      <c r="L197" s="14"/>
      <c r="M197" s="14"/>
      <c r="N197" s="14"/>
      <c r="O197" s="14"/>
      <c r="P197" s="14"/>
      <c r="Q197" s="120" t="s">
        <v>484</v>
      </c>
      <c r="R197" s="102" t="s">
        <v>138</v>
      </c>
      <c r="S197" s="638" t="str">
        <f>L177</f>
        <v>-</v>
      </c>
      <c r="T197" s="638"/>
      <c r="U197" s="14" t="s">
        <v>316</v>
      </c>
      <c r="V197" s="197"/>
    </row>
    <row r="198" spans="1:25" ht="18" hidden="1" customHeight="1">
      <c r="A198" s="180"/>
      <c r="B198" s="5"/>
      <c r="C198" s="47" t="s">
        <v>558</v>
      </c>
      <c r="D198" s="14"/>
      <c r="E198" s="14"/>
      <c r="F198" s="18"/>
      <c r="G198" s="18"/>
      <c r="H198" s="291"/>
      <c r="I198" s="120"/>
      <c r="J198" s="291"/>
      <c r="K198" s="291"/>
      <c r="L198" s="14"/>
      <c r="M198" s="14"/>
      <c r="N198" s="14"/>
      <c r="O198" s="14"/>
      <c r="P198" s="14"/>
      <c r="Q198" s="120" t="s">
        <v>502</v>
      </c>
      <c r="R198" s="102" t="s">
        <v>138</v>
      </c>
      <c r="S198" s="641" t="e">
        <f>P185</f>
        <v>#VALUE!</v>
      </c>
      <c r="T198" s="638"/>
      <c r="U198" s="14" t="s">
        <v>168</v>
      </c>
      <c r="V198" s="197"/>
      <c r="W198" s="291"/>
      <c r="X198" s="291"/>
      <c r="Y198" s="291"/>
    </row>
    <row r="199" spans="1:25" ht="18" hidden="1" customHeight="1">
      <c r="A199" s="180"/>
      <c r="B199" s="5"/>
      <c r="C199" s="47" t="s">
        <v>559</v>
      </c>
      <c r="D199" s="14"/>
      <c r="E199" s="14"/>
      <c r="F199" s="18"/>
      <c r="G199" s="18"/>
      <c r="H199" s="291"/>
      <c r="I199" s="120"/>
      <c r="J199" s="291"/>
      <c r="K199" s="291"/>
      <c r="L199" s="14"/>
      <c r="M199" s="14"/>
      <c r="N199" s="14"/>
      <c r="O199" s="14"/>
      <c r="P199" s="14"/>
      <c r="Q199" s="120" t="s">
        <v>523</v>
      </c>
      <c r="R199" s="102" t="s">
        <v>138</v>
      </c>
      <c r="S199" s="641">
        <f>J186</f>
        <v>1.45186744</v>
      </c>
      <c r="T199" s="638"/>
      <c r="U199" s="14" t="s">
        <v>168</v>
      </c>
      <c r="V199" s="197"/>
      <c r="X199" s="291"/>
      <c r="Y199" s="291"/>
    </row>
    <row r="200" spans="1:25" ht="18" hidden="1" customHeight="1">
      <c r="A200" s="180"/>
      <c r="B200" s="5"/>
      <c r="C200" s="47" t="s">
        <v>560</v>
      </c>
      <c r="D200" s="14"/>
      <c r="E200" s="14"/>
      <c r="F200" s="14"/>
      <c r="G200" s="14"/>
      <c r="H200" s="291"/>
      <c r="I200" s="120"/>
      <c r="J200" s="291"/>
      <c r="K200" s="291"/>
      <c r="L200" s="14"/>
      <c r="M200" s="14"/>
      <c r="N200" s="14"/>
      <c r="O200" s="14"/>
      <c r="P200" s="14"/>
      <c r="Q200" s="120" t="s">
        <v>522</v>
      </c>
      <c r="R200" s="102" t="s">
        <v>138</v>
      </c>
      <c r="S200" s="638">
        <f>O174</f>
        <v>1</v>
      </c>
      <c r="T200" s="638"/>
      <c r="U200" s="14" t="s">
        <v>9</v>
      </c>
      <c r="V200" s="197"/>
      <c r="X200" s="291"/>
      <c r="Y200" s="291"/>
    </row>
    <row r="201" spans="1:25" ht="18" hidden="1" customHeight="1">
      <c r="A201" s="180"/>
      <c r="B201" s="5"/>
      <c r="C201" s="47" t="s">
        <v>561</v>
      </c>
      <c r="D201" s="14"/>
      <c r="E201" s="14"/>
      <c r="F201" s="14"/>
      <c r="G201" s="14"/>
      <c r="H201" s="291"/>
      <c r="I201" s="120"/>
      <c r="J201" s="291"/>
      <c r="K201" s="291"/>
      <c r="L201" s="14"/>
      <c r="M201" s="14"/>
      <c r="N201" s="14"/>
      <c r="O201" s="14"/>
      <c r="P201" s="14"/>
      <c r="Q201" s="120" t="s">
        <v>506</v>
      </c>
      <c r="R201" s="102" t="s">
        <v>138</v>
      </c>
      <c r="S201" s="638">
        <v>20</v>
      </c>
      <c r="T201" s="638"/>
      <c r="U201" s="47"/>
      <c r="V201" s="197"/>
    </row>
    <row r="202" spans="1:25" ht="18" hidden="1" customHeight="1">
      <c r="A202" s="311"/>
      <c r="B202" s="291"/>
      <c r="C202" s="47" t="s">
        <v>562</v>
      </c>
      <c r="D202" s="14"/>
      <c r="E202" s="14"/>
      <c r="F202" s="14"/>
      <c r="G202" s="14"/>
      <c r="H202" s="291"/>
      <c r="I202" s="120"/>
      <c r="J202" s="291"/>
      <c r="K202" s="291"/>
      <c r="L202" s="14"/>
      <c r="M202" s="14"/>
      <c r="N202" s="291"/>
      <c r="O202" s="291"/>
      <c r="P202" s="14"/>
      <c r="Q202" s="120" t="s">
        <v>504</v>
      </c>
      <c r="R202" s="14"/>
      <c r="S202" s="291"/>
      <c r="T202" s="291"/>
      <c r="U202" s="291"/>
      <c r="V202" s="312"/>
      <c r="W202" s="291"/>
      <c r="X202" s="291"/>
      <c r="Y202" s="291"/>
    </row>
    <row r="203" spans="1:25" ht="18" hidden="1" customHeight="1">
      <c r="A203" s="196"/>
      <c r="C203" s="14"/>
      <c r="D203" s="14"/>
      <c r="E203" s="14"/>
      <c r="F203" s="14"/>
      <c r="G203" s="14"/>
      <c r="H203" s="14"/>
      <c r="I203" s="14"/>
      <c r="J203" s="14"/>
      <c r="K203" s="14"/>
      <c r="L203" s="14"/>
      <c r="M203" s="14"/>
      <c r="N203" s="14"/>
      <c r="O203" s="14"/>
      <c r="P203" s="14"/>
      <c r="Q203" s="14"/>
      <c r="R203" s="14"/>
      <c r="S203" s="14"/>
      <c r="T203" s="14"/>
      <c r="U203" s="14"/>
      <c r="V203" s="197"/>
    </row>
    <row r="204" spans="1:25" ht="18" hidden="1" customHeight="1">
      <c r="A204" s="196"/>
      <c r="C204" s="28" t="s">
        <v>504</v>
      </c>
      <c r="D204" s="28" t="s">
        <v>138</v>
      </c>
      <c r="E204" s="28" t="s">
        <v>548</v>
      </c>
      <c r="F204" s="28">
        <v>1.3</v>
      </c>
      <c r="G204" s="28" t="s">
        <v>326</v>
      </c>
      <c r="H204" s="638" t="s">
        <v>484</v>
      </c>
      <c r="I204" s="920"/>
      <c r="J204" s="28" t="s">
        <v>326</v>
      </c>
      <c r="K204" s="28" t="s">
        <v>522</v>
      </c>
      <c r="L204" s="28" t="s">
        <v>552</v>
      </c>
      <c r="M204" s="28" t="s">
        <v>506</v>
      </c>
      <c r="N204" s="47" t="s">
        <v>553</v>
      </c>
      <c r="O204" s="28" t="s">
        <v>502</v>
      </c>
      <c r="V204" s="197"/>
    </row>
    <row r="205" spans="1:25" ht="18" hidden="1" customHeight="1">
      <c r="A205" s="196"/>
      <c r="D205" s="27" t="s">
        <v>138</v>
      </c>
      <c r="E205" s="27" t="s">
        <v>548</v>
      </c>
      <c r="F205" s="27">
        <v>1.3</v>
      </c>
      <c r="G205" s="27" t="s">
        <v>326</v>
      </c>
      <c r="H205" s="639" t="str">
        <f>S197</f>
        <v>-</v>
      </c>
      <c r="I205" s="985"/>
      <c r="J205" s="27" t="s">
        <v>326</v>
      </c>
      <c r="K205" s="27">
        <f>S200</f>
        <v>1</v>
      </c>
      <c r="L205" s="27" t="s">
        <v>552</v>
      </c>
      <c r="M205" s="27">
        <f>S201</f>
        <v>20</v>
      </c>
      <c r="N205" s="308" t="s">
        <v>553</v>
      </c>
      <c r="O205" s="234" t="e">
        <f>S198</f>
        <v>#VALUE!</v>
      </c>
      <c r="V205" s="197"/>
    </row>
    <row r="206" spans="1:25" ht="18" hidden="1" customHeight="1">
      <c r="A206" s="196"/>
      <c r="D206" s="27" t="s">
        <v>138</v>
      </c>
      <c r="E206" s="639" t="e">
        <f>((F205*H205*K205)/M205)-O205</f>
        <v>#VALUE!</v>
      </c>
      <c r="F206" s="639"/>
      <c r="G206" s="27" t="s">
        <v>168</v>
      </c>
      <c r="V206" s="197"/>
    </row>
    <row r="207" spans="1:25" ht="18" hidden="1" customHeight="1">
      <c r="A207" s="196"/>
      <c r="D207" s="27"/>
      <c r="E207" s="27"/>
      <c r="F207" s="27"/>
      <c r="G207" s="27"/>
      <c r="V207" s="197"/>
    </row>
    <row r="208" spans="1:25" ht="18" hidden="1" customHeight="1">
      <c r="A208" s="196"/>
      <c r="D208" s="27"/>
      <c r="E208" s="27"/>
      <c r="F208" s="27"/>
      <c r="G208" s="27"/>
      <c r="V208" s="197"/>
    </row>
    <row r="209" spans="1:22" ht="18" hidden="1" customHeight="1">
      <c r="A209" s="196"/>
      <c r="D209" s="27"/>
      <c r="E209" s="27"/>
      <c r="F209" s="27"/>
      <c r="G209" s="27"/>
      <c r="V209" s="197"/>
    </row>
    <row r="210" spans="1:22" ht="18" hidden="1" customHeight="1">
      <c r="A210" s="196"/>
      <c r="D210" s="27"/>
      <c r="E210" s="27"/>
      <c r="F210" s="27"/>
      <c r="G210" s="27"/>
      <c r="V210" s="197"/>
    </row>
    <row r="211" spans="1:22" ht="18" hidden="1" customHeight="1">
      <c r="A211" s="196"/>
      <c r="D211" s="27"/>
      <c r="E211" s="27"/>
      <c r="F211" s="27"/>
      <c r="G211" s="27"/>
      <c r="V211" s="197"/>
    </row>
    <row r="212" spans="1:22" ht="18" hidden="1" customHeight="1">
      <c r="A212" s="196"/>
      <c r="V212" s="197"/>
    </row>
    <row r="213" spans="1:22" s="14" customFormat="1" ht="18" hidden="1" customHeight="1">
      <c r="A213" s="206"/>
      <c r="B213" s="207"/>
      <c r="C213" s="207"/>
      <c r="D213" s="207"/>
      <c r="E213" s="207"/>
      <c r="F213" s="207"/>
      <c r="G213" s="207"/>
      <c r="H213" s="207"/>
      <c r="I213" s="207"/>
      <c r="J213" s="207"/>
      <c r="K213" s="207"/>
      <c r="L213" s="207"/>
      <c r="M213" s="207"/>
      <c r="N213" s="207"/>
      <c r="O213" s="207"/>
      <c r="P213" s="207"/>
      <c r="Q213" s="236"/>
      <c r="R213" s="194"/>
      <c r="S213" s="237"/>
      <c r="T213" s="207"/>
      <c r="U213" s="207"/>
      <c r="V213" s="140"/>
    </row>
    <row r="214" spans="1:22" ht="18" hidden="1" customHeight="1">
      <c r="A214" s="238"/>
      <c r="B214" s="239"/>
      <c r="C214" s="239"/>
      <c r="D214" s="239"/>
      <c r="E214" s="239"/>
      <c r="F214" s="239"/>
      <c r="G214" s="239"/>
      <c r="H214" s="239"/>
      <c r="I214" s="239"/>
      <c r="J214" s="239"/>
      <c r="K214" s="239"/>
      <c r="L214" s="239"/>
      <c r="M214" s="239"/>
      <c r="N214" s="239"/>
      <c r="O214" s="239"/>
      <c r="P214" s="239"/>
      <c r="Q214" s="239"/>
      <c r="R214" s="239"/>
      <c r="S214" s="239"/>
      <c r="T214" s="239"/>
      <c r="U214" s="239"/>
      <c r="V214" s="240"/>
    </row>
    <row r="215" spans="1:22" ht="18" hidden="1" customHeight="1">
      <c r="A215" s="96" t="s">
        <v>766</v>
      </c>
      <c r="B215" s="14"/>
      <c r="C215" s="14"/>
      <c r="D215" s="14"/>
      <c r="E215" s="14"/>
      <c r="F215" s="14"/>
      <c r="G215" s="14"/>
      <c r="H215" s="14"/>
      <c r="I215" s="14"/>
      <c r="J215" s="14"/>
      <c r="K215" s="14"/>
      <c r="L215" s="14"/>
      <c r="M215" s="14"/>
      <c r="N215" s="14"/>
      <c r="O215" s="14"/>
      <c r="P215" s="28"/>
      <c r="Q215" s="120"/>
      <c r="R215" s="14"/>
      <c r="S215" s="14"/>
      <c r="T215" s="14"/>
      <c r="U215" s="14"/>
      <c r="V215" s="197"/>
    </row>
    <row r="216" spans="1:22" ht="18" hidden="1" customHeight="1">
      <c r="A216" s="96"/>
      <c r="B216" s="14"/>
      <c r="C216" s="14"/>
      <c r="D216" s="14"/>
      <c r="E216" s="14"/>
      <c r="F216" s="14"/>
      <c r="G216" s="14"/>
      <c r="H216" s="14"/>
      <c r="K216" s="14" t="s">
        <v>767</v>
      </c>
      <c r="L216" s="28"/>
      <c r="M216" s="47"/>
      <c r="N216" s="14"/>
      <c r="O216" s="14"/>
      <c r="P216" s="14"/>
      <c r="Q216" s="14"/>
      <c r="R216" s="14"/>
      <c r="S216" s="14"/>
      <c r="T216" s="14"/>
      <c r="U216" s="14"/>
      <c r="V216" s="197"/>
    </row>
    <row r="217" spans="1:22" ht="18" hidden="1" customHeight="1">
      <c r="A217" s="96"/>
      <c r="B217" s="28" t="s">
        <v>756</v>
      </c>
      <c r="C217" s="290" t="s">
        <v>663</v>
      </c>
      <c r="D217" s="14" t="s">
        <v>768</v>
      </c>
      <c r="E217" s="14"/>
      <c r="F217" s="280" t="s">
        <v>769</v>
      </c>
      <c r="K217" s="28" t="s">
        <v>756</v>
      </c>
      <c r="L217" s="28" t="s">
        <v>138</v>
      </c>
      <c r="M217" s="293" t="s">
        <v>770</v>
      </c>
      <c r="N217" s="28"/>
      <c r="O217" s="47"/>
      <c r="P217" s="14"/>
      <c r="Q217" s="14"/>
      <c r="R217" s="14"/>
      <c r="S217" s="14"/>
      <c r="T217" s="14"/>
      <c r="U217" s="14"/>
      <c r="V217" s="197"/>
    </row>
    <row r="218" spans="1:22" ht="18" hidden="1" customHeight="1">
      <c r="A218" s="96"/>
      <c r="B218" s="28" t="s">
        <v>756</v>
      </c>
      <c r="C218" s="290" t="s">
        <v>663</v>
      </c>
      <c r="D218" s="47" t="s">
        <v>771</v>
      </c>
      <c r="E218" s="14"/>
      <c r="F218" s="280" t="s">
        <v>772</v>
      </c>
      <c r="K218" s="28"/>
      <c r="L218" s="28" t="s">
        <v>138</v>
      </c>
      <c r="M218" s="14" t="s">
        <v>773</v>
      </c>
      <c r="N218" s="14"/>
      <c r="O218" s="14"/>
      <c r="P218" s="14"/>
      <c r="Q218" s="14"/>
      <c r="R218" s="14"/>
      <c r="S218" s="14"/>
      <c r="T218" s="14"/>
      <c r="U218" s="14"/>
      <c r="V218" s="197"/>
    </row>
    <row r="219" spans="1:22" ht="18" hidden="1" customHeight="1">
      <c r="A219" s="96"/>
      <c r="B219" s="14"/>
      <c r="C219" s="14"/>
      <c r="D219" s="14"/>
      <c r="E219" s="14"/>
      <c r="F219" s="14"/>
      <c r="G219" s="14"/>
      <c r="H219" s="14"/>
      <c r="K219" s="28" t="s">
        <v>768</v>
      </c>
      <c r="L219" s="28" t="s">
        <v>138</v>
      </c>
      <c r="M219" s="47" t="s">
        <v>774</v>
      </c>
      <c r="N219" s="14"/>
      <c r="O219" s="14"/>
      <c r="P219" s="14"/>
      <c r="Q219" s="14"/>
      <c r="R219" s="14"/>
      <c r="S219" s="14"/>
      <c r="T219" s="14"/>
      <c r="U219" s="14"/>
      <c r="V219" s="197"/>
    </row>
    <row r="220" spans="1:22" ht="18" hidden="1" customHeight="1">
      <c r="A220" s="96"/>
      <c r="B220" s="14"/>
      <c r="C220" s="14"/>
      <c r="K220" s="28" t="s">
        <v>771</v>
      </c>
      <c r="L220" s="28" t="s">
        <v>138</v>
      </c>
      <c r="M220" s="28">
        <v>10</v>
      </c>
      <c r="O220" s="14" t="s">
        <v>775</v>
      </c>
      <c r="P220" s="28" t="s">
        <v>776</v>
      </c>
      <c r="Q220" s="290" t="s">
        <v>777</v>
      </c>
      <c r="R220" s="28">
        <v>120</v>
      </c>
      <c r="S220" s="14" t="s">
        <v>778</v>
      </c>
      <c r="T220" s="14"/>
      <c r="U220" s="14"/>
      <c r="V220" s="197"/>
    </row>
    <row r="221" spans="1:22" ht="18" hidden="1" customHeight="1">
      <c r="A221" s="96"/>
      <c r="B221" s="14"/>
      <c r="C221" s="14"/>
      <c r="L221" s="28" t="s">
        <v>138</v>
      </c>
      <c r="M221" s="27">
        <v>20</v>
      </c>
      <c r="N221" s="14"/>
      <c r="O221" s="14" t="s">
        <v>775</v>
      </c>
      <c r="P221" s="28" t="s">
        <v>776</v>
      </c>
      <c r="Q221" s="290" t="s">
        <v>777</v>
      </c>
      <c r="R221" s="28">
        <v>300</v>
      </c>
      <c r="S221" s="14" t="s">
        <v>778</v>
      </c>
      <c r="T221" s="14"/>
      <c r="U221" s="14"/>
      <c r="V221" s="197"/>
    </row>
    <row r="222" spans="1:22" ht="18" hidden="1" customHeight="1">
      <c r="A222" s="96"/>
      <c r="B222" s="14"/>
      <c r="C222" s="14"/>
      <c r="N222" s="14"/>
      <c r="O222" s="14"/>
      <c r="P222" s="28"/>
      <c r="Q222" s="120"/>
      <c r="R222" s="14"/>
      <c r="S222" s="14"/>
      <c r="T222" s="14"/>
      <c r="U222" s="14"/>
      <c r="V222" s="197"/>
    </row>
    <row r="223" spans="1:22" ht="18" hidden="1" customHeight="1">
      <c r="A223" s="96" t="s">
        <v>779</v>
      </c>
      <c r="B223" s="14"/>
      <c r="C223" s="14"/>
      <c r="K223" s="27" t="s">
        <v>768</v>
      </c>
      <c r="L223" s="27" t="s">
        <v>138</v>
      </c>
      <c r="M223" s="639" t="s">
        <v>436</v>
      </c>
      <c r="N223" s="639"/>
      <c r="O223" s="27" t="s">
        <v>780</v>
      </c>
      <c r="P223" s="27">
        <v>5</v>
      </c>
      <c r="Q223" s="28" t="s">
        <v>326</v>
      </c>
      <c r="R223" s="639" t="s">
        <v>434</v>
      </c>
      <c r="S223" s="639"/>
      <c r="T223" s="14" t="s">
        <v>361</v>
      </c>
      <c r="U223" s="14"/>
      <c r="V223" s="197"/>
    </row>
    <row r="224" spans="1:22" ht="18" hidden="1" customHeight="1">
      <c r="A224" s="96"/>
      <c r="B224" s="14"/>
      <c r="C224" s="14"/>
      <c r="L224" s="27" t="s">
        <v>138</v>
      </c>
      <c r="M224" s="639">
        <f>S195</f>
        <v>1</v>
      </c>
      <c r="N224" s="639"/>
      <c r="O224" s="27" t="s">
        <v>780</v>
      </c>
      <c r="P224" s="27">
        <v>5</v>
      </c>
      <c r="Q224" s="28" t="s">
        <v>326</v>
      </c>
      <c r="R224" s="639" t="str">
        <f>S196</f>
        <v>-</v>
      </c>
      <c r="S224" s="639"/>
      <c r="T224" s="14" t="s">
        <v>361</v>
      </c>
      <c r="U224" s="14"/>
      <c r="V224" s="197"/>
    </row>
    <row r="225" spans="1:22" ht="18" hidden="1" customHeight="1">
      <c r="A225" s="96"/>
      <c r="B225" s="14"/>
      <c r="C225" s="14"/>
      <c r="D225" s="14"/>
      <c r="E225" s="120"/>
      <c r="F225" s="28"/>
      <c r="L225" s="27" t="s">
        <v>138</v>
      </c>
      <c r="M225" s="638" t="e">
        <f>M224/(P224*R224)</f>
        <v>#VALUE!</v>
      </c>
      <c r="N225" s="639"/>
      <c r="O225" s="14"/>
      <c r="P225" s="14"/>
      <c r="Q225" s="14"/>
      <c r="R225" s="14"/>
      <c r="S225" s="14"/>
      <c r="T225" s="14"/>
      <c r="U225" s="14"/>
      <c r="V225" s="197"/>
    </row>
    <row r="226" spans="1:22" ht="18" hidden="1" customHeight="1">
      <c r="A226" s="96"/>
      <c r="B226" s="14"/>
      <c r="C226" s="14"/>
      <c r="D226" s="14"/>
      <c r="E226" s="14"/>
      <c r="F226" s="28"/>
      <c r="G226" s="14"/>
      <c r="H226" s="14"/>
      <c r="I226" s="102"/>
      <c r="J226" s="47"/>
      <c r="K226" s="47"/>
      <c r="L226" s="14"/>
      <c r="M226" s="14"/>
      <c r="N226" s="14"/>
      <c r="O226" s="14"/>
      <c r="P226" s="14"/>
      <c r="Q226" s="14"/>
      <c r="R226" s="14"/>
      <c r="S226" s="14"/>
      <c r="T226" s="14"/>
      <c r="U226" s="14"/>
      <c r="V226" s="197"/>
    </row>
    <row r="227" spans="1:22" ht="18" hidden="1" customHeight="1">
      <c r="A227" s="96" t="s">
        <v>781</v>
      </c>
      <c r="B227" s="14"/>
      <c r="C227" s="14"/>
      <c r="D227" s="14"/>
      <c r="E227" s="269" t="s">
        <v>782</v>
      </c>
      <c r="F227" s="14"/>
      <c r="G227" s="28" t="s">
        <v>138</v>
      </c>
      <c r="H227" s="641" t="e">
        <f>'[2]Parameters &amp; Fault Cal.'!Q184</f>
        <v>#REF!</v>
      </c>
      <c r="I227" s="639"/>
      <c r="J227" s="30" t="s">
        <v>542</v>
      </c>
      <c r="K227" s="28" t="s">
        <v>771</v>
      </c>
      <c r="L227" s="230" t="s">
        <v>138</v>
      </c>
      <c r="M227" s="641" t="e">
        <f>IF(H227&lt;=120,M220,M221)</f>
        <v>#REF!</v>
      </c>
      <c r="N227" s="639"/>
      <c r="O227" s="14"/>
      <c r="P227" s="14"/>
      <c r="Q227" s="14"/>
      <c r="R227" s="14"/>
      <c r="S227" s="14"/>
      <c r="T227" s="14"/>
      <c r="U227" s="14"/>
      <c r="V227" s="197"/>
    </row>
    <row r="228" spans="1:22" ht="18" hidden="1" customHeight="1">
      <c r="A228" s="196"/>
      <c r="J228" s="14"/>
      <c r="K228" s="269"/>
      <c r="M228" s="14"/>
      <c r="N228" s="14"/>
      <c r="O228" s="14"/>
      <c r="P228" s="14"/>
      <c r="Q228" s="14"/>
      <c r="R228" s="14"/>
      <c r="S228" s="14"/>
      <c r="T228" s="14"/>
      <c r="U228" s="14"/>
      <c r="V228" s="197"/>
    </row>
    <row r="229" spans="1:22" ht="18" hidden="1" customHeight="1">
      <c r="A229" s="96" t="s">
        <v>783</v>
      </c>
      <c r="E229" s="211"/>
      <c r="G229" s="27" t="s">
        <v>138</v>
      </c>
      <c r="H229" s="27" t="s">
        <v>506</v>
      </c>
      <c r="I229" s="27" t="s">
        <v>565</v>
      </c>
      <c r="J229" s="120" t="s">
        <v>502</v>
      </c>
      <c r="K229" s="28" t="s">
        <v>358</v>
      </c>
      <c r="L229" s="120" t="s">
        <v>504</v>
      </c>
      <c r="M229" s="28" t="s">
        <v>550</v>
      </c>
      <c r="N229" s="120" t="s">
        <v>502</v>
      </c>
      <c r="O229" s="28" t="s">
        <v>358</v>
      </c>
      <c r="P229" s="120" t="s">
        <v>523</v>
      </c>
      <c r="Q229" s="308" t="s">
        <v>361</v>
      </c>
      <c r="V229" s="197"/>
    </row>
    <row r="230" spans="1:22" ht="18" hidden="1" customHeight="1">
      <c r="A230" s="196"/>
      <c r="G230" s="27" t="s">
        <v>138</v>
      </c>
      <c r="H230" s="254">
        <f>S201</f>
        <v>20</v>
      </c>
      <c r="I230" s="257" t="s">
        <v>565</v>
      </c>
      <c r="J230" s="313" t="e">
        <f>S198</f>
        <v>#VALUE!</v>
      </c>
      <c r="K230" s="257" t="s">
        <v>358</v>
      </c>
      <c r="L230" s="313" t="e">
        <f>E206</f>
        <v>#VALUE!</v>
      </c>
      <c r="M230" s="257" t="s">
        <v>550</v>
      </c>
      <c r="N230" s="313" t="e">
        <f>S198</f>
        <v>#VALUE!</v>
      </c>
      <c r="O230" s="257" t="s">
        <v>358</v>
      </c>
      <c r="P230" s="313">
        <f>S199</f>
        <v>1.45186744</v>
      </c>
      <c r="Q230" s="474" t="s">
        <v>361</v>
      </c>
      <c r="V230" s="197"/>
    </row>
    <row r="231" spans="1:22" ht="18" hidden="1" customHeight="1">
      <c r="A231" s="196"/>
      <c r="G231" s="27" t="s">
        <v>138</v>
      </c>
      <c r="H231" s="637" t="e">
        <f>H230*((J230+L230)/(N230+P230))</f>
        <v>#VALUE!</v>
      </c>
      <c r="I231" s="637"/>
      <c r="V231" s="197"/>
    </row>
    <row r="232" spans="1:22" ht="18" hidden="1" customHeight="1">
      <c r="A232" s="196"/>
      <c r="V232" s="197"/>
    </row>
    <row r="233" spans="1:22" ht="18" hidden="1" customHeight="1">
      <c r="A233" s="196" t="s">
        <v>784</v>
      </c>
      <c r="E233" s="256"/>
      <c r="F233" s="27"/>
      <c r="G233" s="308"/>
      <c r="V233" s="197"/>
    </row>
    <row r="234" spans="1:22" ht="18" hidden="1" customHeight="1">
      <c r="A234" s="196"/>
      <c r="D234" s="223"/>
      <c r="E234" s="223"/>
      <c r="F234" s="27"/>
      <c r="G234" s="223"/>
      <c r="H234" s="223"/>
      <c r="V234" s="197"/>
    </row>
    <row r="235" spans="1:22" ht="18" hidden="1" customHeight="1">
      <c r="A235" s="196"/>
      <c r="D235" s="637" t="e">
        <f>H231</f>
        <v>#VALUE!</v>
      </c>
      <c r="E235" s="639"/>
      <c r="F235" s="27" t="e">
        <f>IF(D235&gt;=G235,"&gt;","&lt;")</f>
        <v>#VALUE!</v>
      </c>
      <c r="G235" s="637" t="e">
        <f>M225</f>
        <v>#VALUE!</v>
      </c>
      <c r="H235" s="639"/>
      <c r="I235" s="18"/>
      <c r="J235" s="280" t="s">
        <v>769</v>
      </c>
      <c r="V235" s="197"/>
    </row>
    <row r="236" spans="1:22" ht="18" hidden="1" customHeight="1">
      <c r="A236" s="196"/>
      <c r="D236" s="637" t="e">
        <f>H231</f>
        <v>#VALUE!</v>
      </c>
      <c r="E236" s="639"/>
      <c r="F236" s="27" t="e">
        <f>IF(D236&gt;=G236,"&gt;","&lt;")</f>
        <v>#VALUE!</v>
      </c>
      <c r="G236" s="637" t="e">
        <f>M227</f>
        <v>#REF!</v>
      </c>
      <c r="H236" s="639"/>
      <c r="J236" s="280" t="s">
        <v>772</v>
      </c>
      <c r="V236" s="197"/>
    </row>
    <row r="237" spans="1:22" ht="18" hidden="1" customHeight="1">
      <c r="A237" s="196"/>
      <c r="E237" s="256" t="s">
        <v>489</v>
      </c>
      <c r="G237" s="18" t="e">
        <f>IF(AND(F235="&gt;",F236="&gt;")=TRUE,"Suitably Dimensioned","Under Dimensioned")</f>
        <v>#VALUE!</v>
      </c>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s="14" customFormat="1" ht="18" hidden="1" customHeight="1">
      <c r="A257" s="206"/>
      <c r="B257" s="207"/>
      <c r="C257" s="207"/>
      <c r="D257" s="207"/>
      <c r="E257" s="207"/>
      <c r="F257" s="207"/>
      <c r="G257" s="207"/>
      <c r="H257" s="207"/>
      <c r="I257" s="207"/>
      <c r="J257" s="207"/>
      <c r="K257" s="207"/>
      <c r="L257" s="207"/>
      <c r="M257" s="207"/>
      <c r="N257" s="207"/>
      <c r="O257" s="207"/>
      <c r="P257" s="207"/>
      <c r="Q257" s="236"/>
      <c r="R257" s="194"/>
      <c r="S257" s="237"/>
      <c r="T257" s="207"/>
      <c r="U257" s="207"/>
      <c r="V257" s="140"/>
    </row>
    <row r="258" spans="1:22" ht="18" customHeight="1">
      <c r="A258" s="238"/>
      <c r="B258" s="239"/>
      <c r="C258" s="239"/>
      <c r="D258" s="239"/>
      <c r="E258" s="239"/>
      <c r="F258" s="239"/>
      <c r="G258" s="239"/>
      <c r="H258" s="239"/>
      <c r="I258" s="239"/>
      <c r="J258" s="239"/>
      <c r="K258" s="239"/>
      <c r="L258" s="239"/>
      <c r="M258" s="239"/>
      <c r="N258" s="239"/>
      <c r="O258" s="239"/>
      <c r="P258" s="239"/>
      <c r="Q258" s="239"/>
      <c r="R258" s="239"/>
      <c r="S258" s="239"/>
      <c r="T258" s="239"/>
      <c r="U258" s="239"/>
      <c r="V258" s="240"/>
    </row>
    <row r="259" spans="1:22" ht="18" customHeight="1">
      <c r="A259" s="274" t="s">
        <v>512</v>
      </c>
      <c r="B259" s="14"/>
      <c r="C259" s="14"/>
      <c r="D259" s="120"/>
      <c r="E259" s="120"/>
      <c r="F259" s="18"/>
      <c r="G259" s="18"/>
      <c r="H259" s="14"/>
      <c r="I259" s="14"/>
      <c r="J259" s="14"/>
      <c r="K259" s="14"/>
      <c r="L259" s="14"/>
      <c r="M259" s="14"/>
      <c r="N259" s="14"/>
      <c r="O259" s="14"/>
      <c r="P259" s="28"/>
      <c r="Q259" s="120"/>
      <c r="R259" s="47"/>
      <c r="S259" s="218"/>
      <c r="T259" s="271"/>
      <c r="U259" s="14"/>
      <c r="V259" s="97"/>
    </row>
    <row r="260" spans="1:22" ht="18" customHeight="1">
      <c r="A260" s="614" t="s">
        <v>97</v>
      </c>
      <c r="B260" s="620"/>
      <c r="C260" s="615"/>
      <c r="D260" s="614" t="s">
        <v>98</v>
      </c>
      <c r="E260" s="620"/>
      <c r="F260" s="615"/>
      <c r="G260" s="614" t="s">
        <v>99</v>
      </c>
      <c r="H260" s="615"/>
      <c r="I260" s="614" t="s">
        <v>100</v>
      </c>
      <c r="J260" s="615"/>
      <c r="K260" s="614" t="s">
        <v>513</v>
      </c>
      <c r="L260" s="615"/>
      <c r="M260" s="614" t="s">
        <v>514</v>
      </c>
      <c r="N260" s="615"/>
      <c r="O260" s="614" t="s">
        <v>515</v>
      </c>
      <c r="P260" s="615"/>
      <c r="Q260" s="614" t="s">
        <v>516</v>
      </c>
      <c r="R260" s="615"/>
      <c r="S260" s="614" t="s">
        <v>105</v>
      </c>
      <c r="T260" s="620"/>
      <c r="U260" s="620"/>
      <c r="V260" s="615"/>
    </row>
    <row r="261" spans="1:22" ht="18" customHeight="1">
      <c r="A261" s="616"/>
      <c r="B261" s="621"/>
      <c r="C261" s="617"/>
      <c r="D261" s="616"/>
      <c r="E261" s="621"/>
      <c r="F261" s="617"/>
      <c r="G261" s="616"/>
      <c r="H261" s="617"/>
      <c r="I261" s="616"/>
      <c r="J261" s="617"/>
      <c r="K261" s="616"/>
      <c r="L261" s="617"/>
      <c r="M261" s="616"/>
      <c r="N261" s="617"/>
      <c r="O261" s="616"/>
      <c r="P261" s="617"/>
      <c r="Q261" s="616"/>
      <c r="R261" s="617"/>
      <c r="S261" s="616"/>
      <c r="T261" s="621"/>
      <c r="U261" s="621"/>
      <c r="V261" s="617"/>
    </row>
    <row r="262" spans="1:22" ht="18" customHeight="1">
      <c r="A262" s="616"/>
      <c r="B262" s="621"/>
      <c r="C262" s="617"/>
      <c r="D262" s="616"/>
      <c r="E262" s="621"/>
      <c r="F262" s="617"/>
      <c r="G262" s="616"/>
      <c r="H262" s="617"/>
      <c r="I262" s="616"/>
      <c r="J262" s="617"/>
      <c r="K262" s="616"/>
      <c r="L262" s="617"/>
      <c r="M262" s="616"/>
      <c r="N262" s="617"/>
      <c r="O262" s="616"/>
      <c r="P262" s="617"/>
      <c r="Q262" s="616"/>
      <c r="R262" s="617"/>
      <c r="S262" s="616"/>
      <c r="T262" s="621"/>
      <c r="U262" s="621"/>
      <c r="V262" s="617"/>
    </row>
    <row r="263" spans="1:22" ht="18" customHeight="1">
      <c r="A263" s="618"/>
      <c r="B263" s="622"/>
      <c r="C263" s="619"/>
      <c r="D263" s="618"/>
      <c r="E263" s="622"/>
      <c r="F263" s="619"/>
      <c r="G263" s="618"/>
      <c r="H263" s="619"/>
      <c r="I263" s="618"/>
      <c r="J263" s="619"/>
      <c r="K263" s="618"/>
      <c r="L263" s="619"/>
      <c r="M263" s="618"/>
      <c r="N263" s="619"/>
      <c r="O263" s="618"/>
      <c r="P263" s="619"/>
      <c r="Q263" s="618"/>
      <c r="R263" s="619"/>
      <c r="S263" s="618"/>
      <c r="T263" s="622"/>
      <c r="U263" s="622"/>
      <c r="V263" s="619"/>
    </row>
    <row r="264" spans="1:22" ht="18" customHeight="1">
      <c r="A264" s="623" t="str">
        <f>B7</f>
        <v>T1</v>
      </c>
      <c r="B264" s="623" t="str">
        <f>D7</f>
        <v>Core4</v>
      </c>
      <c r="C264" s="623"/>
      <c r="D264" s="613">
        <f>H10</f>
        <v>2500</v>
      </c>
      <c r="E264" s="613"/>
      <c r="F264" s="624">
        <f>O10</f>
        <v>1</v>
      </c>
      <c r="G264" s="613">
        <f>'CT-VT Burdens'!S19</f>
        <v>80</v>
      </c>
      <c r="H264" s="783">
        <f>'CT-VT Burdens'!S10</f>
        <v>2.5</v>
      </c>
      <c r="I264" s="783" t="str">
        <f>H11</f>
        <v>PX-B</v>
      </c>
      <c r="J264" s="783" t="e">
        <f>#REF!</f>
        <v>#REF!</v>
      </c>
      <c r="K264" s="612">
        <f>H12</f>
        <v>5</v>
      </c>
      <c r="L264" s="612"/>
      <c r="M264" s="612">
        <f>H13</f>
        <v>750</v>
      </c>
      <c r="N264" s="612"/>
      <c r="O264" s="613">
        <f>H14</f>
        <v>60</v>
      </c>
      <c r="P264" s="613"/>
      <c r="Q264" s="629" t="str">
        <f>IF(T8="",T7,IF(T9="",T7&amp;"+"&amp;T8,T7&amp;"+"&amp;T8&amp;"+"&amp;T9))</f>
        <v>REB500</v>
      </c>
      <c r="R264" s="629"/>
      <c r="S264" s="628" t="str">
        <f>M83</f>
        <v>Suitable Dimensions</v>
      </c>
      <c r="T264" s="628"/>
      <c r="U264" s="628"/>
      <c r="V264" s="628"/>
    </row>
    <row r="265" spans="1:22" ht="18" customHeight="1">
      <c r="A265" s="623"/>
      <c r="B265" s="623"/>
      <c r="C265" s="623"/>
      <c r="D265" s="613" t="str">
        <f>J10</f>
        <v>-</v>
      </c>
      <c r="E265" s="613"/>
      <c r="F265" s="625"/>
      <c r="G265" s="613"/>
      <c r="H265" s="613"/>
      <c r="I265" s="783"/>
      <c r="J265" s="783"/>
      <c r="K265" s="785" t="s">
        <v>7</v>
      </c>
      <c r="L265" s="612"/>
      <c r="M265" s="785" t="s">
        <v>7</v>
      </c>
      <c r="N265" s="612"/>
      <c r="O265" s="786" t="s">
        <v>7</v>
      </c>
      <c r="P265" s="613"/>
      <c r="Q265" s="629"/>
      <c r="R265" s="629"/>
      <c r="S265" s="961" t="s">
        <v>7</v>
      </c>
      <c r="T265" s="628"/>
      <c r="U265" s="628"/>
      <c r="V265" s="628"/>
    </row>
    <row r="266" spans="1:22" ht="18" customHeight="1">
      <c r="A266" s="623"/>
      <c r="B266" s="623"/>
      <c r="C266" s="623"/>
      <c r="D266" s="613" t="str">
        <f>L10</f>
        <v>-</v>
      </c>
      <c r="E266" s="613"/>
      <c r="F266" s="626"/>
      <c r="G266" s="613"/>
      <c r="H266" s="613"/>
      <c r="I266" s="783"/>
      <c r="J266" s="783"/>
      <c r="K266" s="612" t="str">
        <f>L176</f>
        <v>-</v>
      </c>
      <c r="L266" s="612"/>
      <c r="M266" s="612" t="str">
        <f>L177</f>
        <v>-</v>
      </c>
      <c r="N266" s="612"/>
      <c r="O266" s="613" t="str">
        <f>L178</f>
        <v>-</v>
      </c>
      <c r="P266" s="613"/>
      <c r="Q266" s="629"/>
      <c r="R266" s="629"/>
      <c r="S266" s="628" t="s">
        <v>7</v>
      </c>
      <c r="T266" s="628"/>
      <c r="U266" s="628"/>
      <c r="V266" s="628"/>
    </row>
    <row r="267" spans="1:22" ht="18" customHeight="1">
      <c r="A267" s="196"/>
      <c r="V267" s="197"/>
    </row>
    <row r="268" spans="1:22" ht="18" customHeight="1">
      <c r="A268" s="196"/>
      <c r="V268" s="197"/>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s="14" customFormat="1" ht="18" customHeight="1">
      <c r="A298" s="206"/>
      <c r="B298" s="207"/>
      <c r="C298" s="207"/>
      <c r="D298" s="207"/>
      <c r="E298" s="207"/>
      <c r="F298" s="207"/>
      <c r="G298" s="207"/>
      <c r="H298" s="207"/>
      <c r="I298" s="207"/>
      <c r="J298" s="207"/>
      <c r="K298" s="207"/>
      <c r="L298" s="207"/>
      <c r="M298" s="207"/>
      <c r="N298" s="207"/>
      <c r="O298" s="207"/>
      <c r="P298" s="207"/>
      <c r="Q298" s="236"/>
      <c r="R298" s="194"/>
      <c r="S298" s="237"/>
      <c r="T298" s="207"/>
      <c r="U298" s="207"/>
      <c r="V298" s="140"/>
    </row>
  </sheetData>
  <mergeCells count="195">
    <mergeCell ref="Q264:R266"/>
    <mergeCell ref="S264:V264"/>
    <mergeCell ref="D265:E265"/>
    <mergeCell ref="K265:L265"/>
    <mergeCell ref="M265:N265"/>
    <mergeCell ref="O265:P265"/>
    <mergeCell ref="S265:V265"/>
    <mergeCell ref="O260:P263"/>
    <mergeCell ref="Q260:R263"/>
    <mergeCell ref="S260:V263"/>
    <mergeCell ref="K260:L263"/>
    <mergeCell ref="M260:N263"/>
    <mergeCell ref="K266:L266"/>
    <mergeCell ref="M266:N266"/>
    <mergeCell ref="O266:P266"/>
    <mergeCell ref="S266:V266"/>
    <mergeCell ref="K264:L264"/>
    <mergeCell ref="M264:N264"/>
    <mergeCell ref="O264:P264"/>
    <mergeCell ref="A264:A266"/>
    <mergeCell ref="B264:C266"/>
    <mergeCell ref="D264:E264"/>
    <mergeCell ref="F264:F266"/>
    <mergeCell ref="G264:G266"/>
    <mergeCell ref="H264:H266"/>
    <mergeCell ref="I264:J266"/>
    <mergeCell ref="A260:C263"/>
    <mergeCell ref="D260:F263"/>
    <mergeCell ref="G260:H263"/>
    <mergeCell ref="I260:J263"/>
    <mergeCell ref="D266:E266"/>
    <mergeCell ref="H227:I227"/>
    <mergeCell ref="M227:N227"/>
    <mergeCell ref="H231:I231"/>
    <mergeCell ref="D235:E235"/>
    <mergeCell ref="G235:H235"/>
    <mergeCell ref="D236:E236"/>
    <mergeCell ref="G236:H236"/>
    <mergeCell ref="E206:F206"/>
    <mergeCell ref="M223:N223"/>
    <mergeCell ref="R223:S223"/>
    <mergeCell ref="M224:N224"/>
    <mergeCell ref="R224:S224"/>
    <mergeCell ref="M225:N225"/>
    <mergeCell ref="S198:T198"/>
    <mergeCell ref="S199:T199"/>
    <mergeCell ref="S200:T200"/>
    <mergeCell ref="S201:T201"/>
    <mergeCell ref="H204:I204"/>
    <mergeCell ref="H205:I205"/>
    <mergeCell ref="J186:K186"/>
    <mergeCell ref="A188:V189"/>
    <mergeCell ref="H193:I193"/>
    <mergeCell ref="S195:T195"/>
    <mergeCell ref="S196:T196"/>
    <mergeCell ref="S197:T197"/>
    <mergeCell ref="L178:M178"/>
    <mergeCell ref="J182:K182"/>
    <mergeCell ref="J183:K183"/>
    <mergeCell ref="J184:K184"/>
    <mergeCell ref="J185:K185"/>
    <mergeCell ref="P185:Q185"/>
    <mergeCell ref="H174:I174"/>
    <mergeCell ref="J174:K174"/>
    <mergeCell ref="L174:M174"/>
    <mergeCell ref="L175:M175"/>
    <mergeCell ref="L176:M176"/>
    <mergeCell ref="L177:M177"/>
    <mergeCell ref="T171:U171"/>
    <mergeCell ref="T172:U172"/>
    <mergeCell ref="H173:I173"/>
    <mergeCell ref="J173:K173"/>
    <mergeCell ref="L173:M173"/>
    <mergeCell ref="T173:U173"/>
    <mergeCell ref="F156:G156"/>
    <mergeCell ref="N160:O160"/>
    <mergeCell ref="N161:O161"/>
    <mergeCell ref="J163:K163"/>
    <mergeCell ref="M163:N163"/>
    <mergeCell ref="B171:C171"/>
    <mergeCell ref="D171:E171"/>
    <mergeCell ref="H171:M171"/>
    <mergeCell ref="F143:H143"/>
    <mergeCell ref="J143:J144"/>
    <mergeCell ref="K143:K144"/>
    <mergeCell ref="F145:G145"/>
    <mergeCell ref="F146:G146"/>
    <mergeCell ref="E152:F152"/>
    <mergeCell ref="E132:F132"/>
    <mergeCell ref="E133:F133"/>
    <mergeCell ref="E135:F135"/>
    <mergeCell ref="E138:E139"/>
    <mergeCell ref="F138:G138"/>
    <mergeCell ref="H138:H139"/>
    <mergeCell ref="S112:T112"/>
    <mergeCell ref="S113:T113"/>
    <mergeCell ref="S114:T114"/>
    <mergeCell ref="I118:I119"/>
    <mergeCell ref="J118:J119"/>
    <mergeCell ref="K118:L118"/>
    <mergeCell ref="K119:L119"/>
    <mergeCell ref="J104:K104"/>
    <mergeCell ref="S107:T107"/>
    <mergeCell ref="S108:T108"/>
    <mergeCell ref="S109:T109"/>
    <mergeCell ref="S110:T110"/>
    <mergeCell ref="S111:T111"/>
    <mergeCell ref="J96:K96"/>
    <mergeCell ref="J100:K100"/>
    <mergeCell ref="J101:K101"/>
    <mergeCell ref="J102:K102"/>
    <mergeCell ref="J103:K103"/>
    <mergeCell ref="P103:Q103"/>
    <mergeCell ref="H92:I92"/>
    <mergeCell ref="J92:K92"/>
    <mergeCell ref="L92:M92"/>
    <mergeCell ref="J93:K93"/>
    <mergeCell ref="J94:K94"/>
    <mergeCell ref="J95:K95"/>
    <mergeCell ref="T89:U89"/>
    <mergeCell ref="T90:U90"/>
    <mergeCell ref="H91:I91"/>
    <mergeCell ref="J91:K91"/>
    <mergeCell ref="L91:M91"/>
    <mergeCell ref="T91:U91"/>
    <mergeCell ref="N79:O79"/>
    <mergeCell ref="N80:O80"/>
    <mergeCell ref="I82:J82"/>
    <mergeCell ref="M82:N82"/>
    <mergeCell ref="B89:C89"/>
    <mergeCell ref="D89:E89"/>
    <mergeCell ref="H89:M89"/>
    <mergeCell ref="F59:H59"/>
    <mergeCell ref="J59:J60"/>
    <mergeCell ref="K59:K60"/>
    <mergeCell ref="F62:G62"/>
    <mergeCell ref="F63:G63"/>
    <mergeCell ref="F75:G75"/>
    <mergeCell ref="E50:F50"/>
    <mergeCell ref="E51:F51"/>
    <mergeCell ref="E53:F53"/>
    <mergeCell ref="E56:E57"/>
    <mergeCell ref="F56:G56"/>
    <mergeCell ref="H56:H57"/>
    <mergeCell ref="S30:T30"/>
    <mergeCell ref="S31:T31"/>
    <mergeCell ref="S32:T32"/>
    <mergeCell ref="I36:I37"/>
    <mergeCell ref="J36:J37"/>
    <mergeCell ref="K36:L36"/>
    <mergeCell ref="K37:L37"/>
    <mergeCell ref="J22:K22"/>
    <mergeCell ref="S25:T25"/>
    <mergeCell ref="S26:T26"/>
    <mergeCell ref="S27:T27"/>
    <mergeCell ref="S28:T28"/>
    <mergeCell ref="S29:T29"/>
    <mergeCell ref="H14:I14"/>
    <mergeCell ref="J18:K18"/>
    <mergeCell ref="J19:K19"/>
    <mergeCell ref="J20:K20"/>
    <mergeCell ref="J21:K21"/>
    <mergeCell ref="P21:Q21"/>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235 G237">
    <cfRule type="cellIs" dxfId="83" priority="3" stopIfTrue="1" operator="equal">
      <formula>"Under Dimentioned"</formula>
    </cfRule>
  </conditionalFormatting>
  <conditionalFormatting sqref="O81 M83:M85">
    <cfRule type="cellIs" dxfId="82" priority="1" stopIfTrue="1" operator="equal">
      <formula>"Under Dimentioned"</formula>
    </cfRule>
  </conditionalFormatting>
  <conditionalFormatting sqref="O162 M164">
    <cfRule type="cellIs" dxfId="81" priority="2" stopIfTrue="1" operator="equal">
      <formula>"Under Dimentioned"</formula>
    </cfRule>
  </conditionalFormatting>
  <dataValidations count="2">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42:E65542 IZ65542:JA65542 SV65542:SW65542 ACR65542:ACS65542 AMN65542:AMO65542 AWJ65542:AWK65542 BGF65542:BGG65542 BQB65542:BQC65542 BZX65542:BZY65542 CJT65542:CJU65542 CTP65542:CTQ65542 DDL65542:DDM65542 DNH65542:DNI65542 DXD65542:DXE65542 EGZ65542:EHA65542 EQV65542:EQW65542 FAR65542:FAS65542 FKN65542:FKO65542 FUJ65542:FUK65542 GEF65542:GEG65542 GOB65542:GOC65542 GXX65542:GXY65542 HHT65542:HHU65542 HRP65542:HRQ65542 IBL65542:IBM65542 ILH65542:ILI65542 IVD65542:IVE65542 JEZ65542:JFA65542 JOV65542:JOW65542 JYR65542:JYS65542 KIN65542:KIO65542 KSJ65542:KSK65542 LCF65542:LCG65542 LMB65542:LMC65542 LVX65542:LVY65542 MFT65542:MFU65542 MPP65542:MPQ65542 MZL65542:MZM65542 NJH65542:NJI65542 NTD65542:NTE65542 OCZ65542:ODA65542 OMV65542:OMW65542 OWR65542:OWS65542 PGN65542:PGO65542 PQJ65542:PQK65542 QAF65542:QAG65542 QKB65542:QKC65542 QTX65542:QTY65542 RDT65542:RDU65542 RNP65542:RNQ65542 RXL65542:RXM65542 SHH65542:SHI65542 SRD65542:SRE65542 TAZ65542:TBA65542 TKV65542:TKW65542 TUR65542:TUS65542 UEN65542:UEO65542 UOJ65542:UOK65542 UYF65542:UYG65542 VIB65542:VIC65542 VRX65542:VRY65542 WBT65542:WBU65542 WLP65542:WLQ65542 WVL65542:WVM65542 D131078:E131078 IZ131078:JA131078 SV131078:SW131078 ACR131078:ACS131078 AMN131078:AMO131078 AWJ131078:AWK131078 BGF131078:BGG131078 BQB131078:BQC131078 BZX131078:BZY131078 CJT131078:CJU131078 CTP131078:CTQ131078 DDL131078:DDM131078 DNH131078:DNI131078 DXD131078:DXE131078 EGZ131078:EHA131078 EQV131078:EQW131078 FAR131078:FAS131078 FKN131078:FKO131078 FUJ131078:FUK131078 GEF131078:GEG131078 GOB131078:GOC131078 GXX131078:GXY131078 HHT131078:HHU131078 HRP131078:HRQ131078 IBL131078:IBM131078 ILH131078:ILI131078 IVD131078:IVE131078 JEZ131078:JFA131078 JOV131078:JOW131078 JYR131078:JYS131078 KIN131078:KIO131078 KSJ131078:KSK131078 LCF131078:LCG131078 LMB131078:LMC131078 LVX131078:LVY131078 MFT131078:MFU131078 MPP131078:MPQ131078 MZL131078:MZM131078 NJH131078:NJI131078 NTD131078:NTE131078 OCZ131078:ODA131078 OMV131078:OMW131078 OWR131078:OWS131078 PGN131078:PGO131078 PQJ131078:PQK131078 QAF131078:QAG131078 QKB131078:QKC131078 QTX131078:QTY131078 RDT131078:RDU131078 RNP131078:RNQ131078 RXL131078:RXM131078 SHH131078:SHI131078 SRD131078:SRE131078 TAZ131078:TBA131078 TKV131078:TKW131078 TUR131078:TUS131078 UEN131078:UEO131078 UOJ131078:UOK131078 UYF131078:UYG131078 VIB131078:VIC131078 VRX131078:VRY131078 WBT131078:WBU131078 WLP131078:WLQ131078 WVL131078:WVM131078 D196614:E196614 IZ196614:JA196614 SV196614:SW196614 ACR196614:ACS196614 AMN196614:AMO196614 AWJ196614:AWK196614 BGF196614:BGG196614 BQB196614:BQC196614 BZX196614:BZY196614 CJT196614:CJU196614 CTP196614:CTQ196614 DDL196614:DDM196614 DNH196614:DNI196614 DXD196614:DXE196614 EGZ196614:EHA196614 EQV196614:EQW196614 FAR196614:FAS196614 FKN196614:FKO196614 FUJ196614:FUK196614 GEF196614:GEG196614 GOB196614:GOC196614 GXX196614:GXY196614 HHT196614:HHU196614 HRP196614:HRQ196614 IBL196614:IBM196614 ILH196614:ILI196614 IVD196614:IVE196614 JEZ196614:JFA196614 JOV196614:JOW196614 JYR196614:JYS196614 KIN196614:KIO196614 KSJ196614:KSK196614 LCF196614:LCG196614 LMB196614:LMC196614 LVX196614:LVY196614 MFT196614:MFU196614 MPP196614:MPQ196614 MZL196614:MZM196614 NJH196614:NJI196614 NTD196614:NTE196614 OCZ196614:ODA196614 OMV196614:OMW196614 OWR196614:OWS196614 PGN196614:PGO196614 PQJ196614:PQK196614 QAF196614:QAG196614 QKB196614:QKC196614 QTX196614:QTY196614 RDT196614:RDU196614 RNP196614:RNQ196614 RXL196614:RXM196614 SHH196614:SHI196614 SRD196614:SRE196614 TAZ196614:TBA196614 TKV196614:TKW196614 TUR196614:TUS196614 UEN196614:UEO196614 UOJ196614:UOK196614 UYF196614:UYG196614 VIB196614:VIC196614 VRX196614:VRY196614 WBT196614:WBU196614 WLP196614:WLQ196614 WVL196614:WVM196614 D262150:E262150 IZ262150:JA262150 SV262150:SW262150 ACR262150:ACS262150 AMN262150:AMO262150 AWJ262150:AWK262150 BGF262150:BGG262150 BQB262150:BQC262150 BZX262150:BZY262150 CJT262150:CJU262150 CTP262150:CTQ262150 DDL262150:DDM262150 DNH262150:DNI262150 DXD262150:DXE262150 EGZ262150:EHA262150 EQV262150:EQW262150 FAR262150:FAS262150 FKN262150:FKO262150 FUJ262150:FUK262150 GEF262150:GEG262150 GOB262150:GOC262150 GXX262150:GXY262150 HHT262150:HHU262150 HRP262150:HRQ262150 IBL262150:IBM262150 ILH262150:ILI262150 IVD262150:IVE262150 JEZ262150:JFA262150 JOV262150:JOW262150 JYR262150:JYS262150 KIN262150:KIO262150 KSJ262150:KSK262150 LCF262150:LCG262150 LMB262150:LMC262150 LVX262150:LVY262150 MFT262150:MFU262150 MPP262150:MPQ262150 MZL262150:MZM262150 NJH262150:NJI262150 NTD262150:NTE262150 OCZ262150:ODA262150 OMV262150:OMW262150 OWR262150:OWS262150 PGN262150:PGO262150 PQJ262150:PQK262150 QAF262150:QAG262150 QKB262150:QKC262150 QTX262150:QTY262150 RDT262150:RDU262150 RNP262150:RNQ262150 RXL262150:RXM262150 SHH262150:SHI262150 SRD262150:SRE262150 TAZ262150:TBA262150 TKV262150:TKW262150 TUR262150:TUS262150 UEN262150:UEO262150 UOJ262150:UOK262150 UYF262150:UYG262150 VIB262150:VIC262150 VRX262150:VRY262150 WBT262150:WBU262150 WLP262150:WLQ262150 WVL262150:WVM262150 D327686:E327686 IZ327686:JA327686 SV327686:SW327686 ACR327686:ACS327686 AMN327686:AMO327686 AWJ327686:AWK327686 BGF327686:BGG327686 BQB327686:BQC327686 BZX327686:BZY327686 CJT327686:CJU327686 CTP327686:CTQ327686 DDL327686:DDM327686 DNH327686:DNI327686 DXD327686:DXE327686 EGZ327686:EHA327686 EQV327686:EQW327686 FAR327686:FAS327686 FKN327686:FKO327686 FUJ327686:FUK327686 GEF327686:GEG327686 GOB327686:GOC327686 GXX327686:GXY327686 HHT327686:HHU327686 HRP327686:HRQ327686 IBL327686:IBM327686 ILH327686:ILI327686 IVD327686:IVE327686 JEZ327686:JFA327686 JOV327686:JOW327686 JYR327686:JYS327686 KIN327686:KIO327686 KSJ327686:KSK327686 LCF327686:LCG327686 LMB327686:LMC327686 LVX327686:LVY327686 MFT327686:MFU327686 MPP327686:MPQ327686 MZL327686:MZM327686 NJH327686:NJI327686 NTD327686:NTE327686 OCZ327686:ODA327686 OMV327686:OMW327686 OWR327686:OWS327686 PGN327686:PGO327686 PQJ327686:PQK327686 QAF327686:QAG327686 QKB327686:QKC327686 QTX327686:QTY327686 RDT327686:RDU327686 RNP327686:RNQ327686 RXL327686:RXM327686 SHH327686:SHI327686 SRD327686:SRE327686 TAZ327686:TBA327686 TKV327686:TKW327686 TUR327686:TUS327686 UEN327686:UEO327686 UOJ327686:UOK327686 UYF327686:UYG327686 VIB327686:VIC327686 VRX327686:VRY327686 WBT327686:WBU327686 WLP327686:WLQ327686 WVL327686:WVM327686 D393222:E393222 IZ393222:JA393222 SV393222:SW393222 ACR393222:ACS393222 AMN393222:AMO393222 AWJ393222:AWK393222 BGF393222:BGG393222 BQB393222:BQC393222 BZX393222:BZY393222 CJT393222:CJU393222 CTP393222:CTQ393222 DDL393222:DDM393222 DNH393222:DNI393222 DXD393222:DXE393222 EGZ393222:EHA393222 EQV393222:EQW393222 FAR393222:FAS393222 FKN393222:FKO393222 FUJ393222:FUK393222 GEF393222:GEG393222 GOB393222:GOC393222 GXX393222:GXY393222 HHT393222:HHU393222 HRP393222:HRQ393222 IBL393222:IBM393222 ILH393222:ILI393222 IVD393222:IVE393222 JEZ393222:JFA393222 JOV393222:JOW393222 JYR393222:JYS393222 KIN393222:KIO393222 KSJ393222:KSK393222 LCF393222:LCG393222 LMB393222:LMC393222 LVX393222:LVY393222 MFT393222:MFU393222 MPP393222:MPQ393222 MZL393222:MZM393222 NJH393222:NJI393222 NTD393222:NTE393222 OCZ393222:ODA393222 OMV393222:OMW393222 OWR393222:OWS393222 PGN393222:PGO393222 PQJ393222:PQK393222 QAF393222:QAG393222 QKB393222:QKC393222 QTX393222:QTY393222 RDT393222:RDU393222 RNP393222:RNQ393222 RXL393222:RXM393222 SHH393222:SHI393222 SRD393222:SRE393222 TAZ393222:TBA393222 TKV393222:TKW393222 TUR393222:TUS393222 UEN393222:UEO393222 UOJ393222:UOK393222 UYF393222:UYG393222 VIB393222:VIC393222 VRX393222:VRY393222 WBT393222:WBU393222 WLP393222:WLQ393222 WVL393222:WVM393222 D458758:E458758 IZ458758:JA458758 SV458758:SW458758 ACR458758:ACS458758 AMN458758:AMO458758 AWJ458758:AWK458758 BGF458758:BGG458758 BQB458758:BQC458758 BZX458758:BZY458758 CJT458758:CJU458758 CTP458758:CTQ458758 DDL458758:DDM458758 DNH458758:DNI458758 DXD458758:DXE458758 EGZ458758:EHA458758 EQV458758:EQW458758 FAR458758:FAS458758 FKN458758:FKO458758 FUJ458758:FUK458758 GEF458758:GEG458758 GOB458758:GOC458758 GXX458758:GXY458758 HHT458758:HHU458758 HRP458758:HRQ458758 IBL458758:IBM458758 ILH458758:ILI458758 IVD458758:IVE458758 JEZ458758:JFA458758 JOV458758:JOW458758 JYR458758:JYS458758 KIN458758:KIO458758 KSJ458758:KSK458758 LCF458758:LCG458758 LMB458758:LMC458758 LVX458758:LVY458758 MFT458758:MFU458758 MPP458758:MPQ458758 MZL458758:MZM458758 NJH458758:NJI458758 NTD458758:NTE458758 OCZ458758:ODA458758 OMV458758:OMW458758 OWR458758:OWS458758 PGN458758:PGO458758 PQJ458758:PQK458758 QAF458758:QAG458758 QKB458758:QKC458758 QTX458758:QTY458758 RDT458758:RDU458758 RNP458758:RNQ458758 RXL458758:RXM458758 SHH458758:SHI458758 SRD458758:SRE458758 TAZ458758:TBA458758 TKV458758:TKW458758 TUR458758:TUS458758 UEN458758:UEO458758 UOJ458758:UOK458758 UYF458758:UYG458758 VIB458758:VIC458758 VRX458758:VRY458758 WBT458758:WBU458758 WLP458758:WLQ458758 WVL458758:WVM458758 D524294:E524294 IZ524294:JA524294 SV524294:SW524294 ACR524294:ACS524294 AMN524294:AMO524294 AWJ524294:AWK524294 BGF524294:BGG524294 BQB524294:BQC524294 BZX524294:BZY524294 CJT524294:CJU524294 CTP524294:CTQ524294 DDL524294:DDM524294 DNH524294:DNI524294 DXD524294:DXE524294 EGZ524294:EHA524294 EQV524294:EQW524294 FAR524294:FAS524294 FKN524294:FKO524294 FUJ524294:FUK524294 GEF524294:GEG524294 GOB524294:GOC524294 GXX524294:GXY524294 HHT524294:HHU524294 HRP524294:HRQ524294 IBL524294:IBM524294 ILH524294:ILI524294 IVD524294:IVE524294 JEZ524294:JFA524294 JOV524294:JOW524294 JYR524294:JYS524294 KIN524294:KIO524294 KSJ524294:KSK524294 LCF524294:LCG524294 LMB524294:LMC524294 LVX524294:LVY524294 MFT524294:MFU524294 MPP524294:MPQ524294 MZL524294:MZM524294 NJH524294:NJI524294 NTD524294:NTE524294 OCZ524294:ODA524294 OMV524294:OMW524294 OWR524294:OWS524294 PGN524294:PGO524294 PQJ524294:PQK524294 QAF524294:QAG524294 QKB524294:QKC524294 QTX524294:QTY524294 RDT524294:RDU524294 RNP524294:RNQ524294 RXL524294:RXM524294 SHH524294:SHI524294 SRD524294:SRE524294 TAZ524294:TBA524294 TKV524294:TKW524294 TUR524294:TUS524294 UEN524294:UEO524294 UOJ524294:UOK524294 UYF524294:UYG524294 VIB524294:VIC524294 VRX524294:VRY524294 WBT524294:WBU524294 WLP524294:WLQ524294 WVL524294:WVM524294 D589830:E589830 IZ589830:JA589830 SV589830:SW589830 ACR589830:ACS589830 AMN589830:AMO589830 AWJ589830:AWK589830 BGF589830:BGG589830 BQB589830:BQC589830 BZX589830:BZY589830 CJT589830:CJU589830 CTP589830:CTQ589830 DDL589830:DDM589830 DNH589830:DNI589830 DXD589830:DXE589830 EGZ589830:EHA589830 EQV589830:EQW589830 FAR589830:FAS589830 FKN589830:FKO589830 FUJ589830:FUK589830 GEF589830:GEG589830 GOB589830:GOC589830 GXX589830:GXY589830 HHT589830:HHU589830 HRP589830:HRQ589830 IBL589830:IBM589830 ILH589830:ILI589830 IVD589830:IVE589830 JEZ589830:JFA589830 JOV589830:JOW589830 JYR589830:JYS589830 KIN589830:KIO589830 KSJ589830:KSK589830 LCF589830:LCG589830 LMB589830:LMC589830 LVX589830:LVY589830 MFT589830:MFU589830 MPP589830:MPQ589830 MZL589830:MZM589830 NJH589830:NJI589830 NTD589830:NTE589830 OCZ589830:ODA589830 OMV589830:OMW589830 OWR589830:OWS589830 PGN589830:PGO589830 PQJ589830:PQK589830 QAF589830:QAG589830 QKB589830:QKC589830 QTX589830:QTY589830 RDT589830:RDU589830 RNP589830:RNQ589830 RXL589830:RXM589830 SHH589830:SHI589830 SRD589830:SRE589830 TAZ589830:TBA589830 TKV589830:TKW589830 TUR589830:TUS589830 UEN589830:UEO589830 UOJ589830:UOK589830 UYF589830:UYG589830 VIB589830:VIC589830 VRX589830:VRY589830 WBT589830:WBU589830 WLP589830:WLQ589830 WVL589830:WVM589830 D655366:E655366 IZ655366:JA655366 SV655366:SW655366 ACR655366:ACS655366 AMN655366:AMO655366 AWJ655366:AWK655366 BGF655366:BGG655366 BQB655366:BQC655366 BZX655366:BZY655366 CJT655366:CJU655366 CTP655366:CTQ655366 DDL655366:DDM655366 DNH655366:DNI655366 DXD655366:DXE655366 EGZ655366:EHA655366 EQV655366:EQW655366 FAR655366:FAS655366 FKN655366:FKO655366 FUJ655366:FUK655366 GEF655366:GEG655366 GOB655366:GOC655366 GXX655366:GXY655366 HHT655366:HHU655366 HRP655366:HRQ655366 IBL655366:IBM655366 ILH655366:ILI655366 IVD655366:IVE655366 JEZ655366:JFA655366 JOV655366:JOW655366 JYR655366:JYS655366 KIN655366:KIO655366 KSJ655366:KSK655366 LCF655366:LCG655366 LMB655366:LMC655366 LVX655366:LVY655366 MFT655366:MFU655366 MPP655366:MPQ655366 MZL655366:MZM655366 NJH655366:NJI655366 NTD655366:NTE655366 OCZ655366:ODA655366 OMV655366:OMW655366 OWR655366:OWS655366 PGN655366:PGO655366 PQJ655366:PQK655366 QAF655366:QAG655366 QKB655366:QKC655366 QTX655366:QTY655366 RDT655366:RDU655366 RNP655366:RNQ655366 RXL655366:RXM655366 SHH655366:SHI655366 SRD655366:SRE655366 TAZ655366:TBA655366 TKV655366:TKW655366 TUR655366:TUS655366 UEN655366:UEO655366 UOJ655366:UOK655366 UYF655366:UYG655366 VIB655366:VIC655366 VRX655366:VRY655366 WBT655366:WBU655366 WLP655366:WLQ655366 WVL655366:WVM655366 D720902:E720902 IZ720902:JA720902 SV720902:SW720902 ACR720902:ACS720902 AMN720902:AMO720902 AWJ720902:AWK720902 BGF720902:BGG720902 BQB720902:BQC720902 BZX720902:BZY720902 CJT720902:CJU720902 CTP720902:CTQ720902 DDL720902:DDM720902 DNH720902:DNI720902 DXD720902:DXE720902 EGZ720902:EHA720902 EQV720902:EQW720902 FAR720902:FAS720902 FKN720902:FKO720902 FUJ720902:FUK720902 GEF720902:GEG720902 GOB720902:GOC720902 GXX720902:GXY720902 HHT720902:HHU720902 HRP720902:HRQ720902 IBL720902:IBM720902 ILH720902:ILI720902 IVD720902:IVE720902 JEZ720902:JFA720902 JOV720902:JOW720902 JYR720902:JYS720902 KIN720902:KIO720902 KSJ720902:KSK720902 LCF720902:LCG720902 LMB720902:LMC720902 LVX720902:LVY720902 MFT720902:MFU720902 MPP720902:MPQ720902 MZL720902:MZM720902 NJH720902:NJI720902 NTD720902:NTE720902 OCZ720902:ODA720902 OMV720902:OMW720902 OWR720902:OWS720902 PGN720902:PGO720902 PQJ720902:PQK720902 QAF720902:QAG720902 QKB720902:QKC720902 QTX720902:QTY720902 RDT720902:RDU720902 RNP720902:RNQ720902 RXL720902:RXM720902 SHH720902:SHI720902 SRD720902:SRE720902 TAZ720902:TBA720902 TKV720902:TKW720902 TUR720902:TUS720902 UEN720902:UEO720902 UOJ720902:UOK720902 UYF720902:UYG720902 VIB720902:VIC720902 VRX720902:VRY720902 WBT720902:WBU720902 WLP720902:WLQ720902 WVL720902:WVM720902 D786438:E786438 IZ786438:JA786438 SV786438:SW786438 ACR786438:ACS786438 AMN786438:AMO786438 AWJ786438:AWK786438 BGF786438:BGG786438 BQB786438:BQC786438 BZX786438:BZY786438 CJT786438:CJU786438 CTP786438:CTQ786438 DDL786438:DDM786438 DNH786438:DNI786438 DXD786438:DXE786438 EGZ786438:EHA786438 EQV786438:EQW786438 FAR786438:FAS786438 FKN786438:FKO786438 FUJ786438:FUK786438 GEF786438:GEG786438 GOB786438:GOC786438 GXX786438:GXY786438 HHT786438:HHU786438 HRP786438:HRQ786438 IBL786438:IBM786438 ILH786438:ILI786438 IVD786438:IVE786438 JEZ786438:JFA786438 JOV786438:JOW786438 JYR786438:JYS786438 KIN786438:KIO786438 KSJ786438:KSK786438 LCF786438:LCG786438 LMB786438:LMC786438 LVX786438:LVY786438 MFT786438:MFU786438 MPP786438:MPQ786438 MZL786438:MZM786438 NJH786438:NJI786438 NTD786438:NTE786438 OCZ786438:ODA786438 OMV786438:OMW786438 OWR786438:OWS786438 PGN786438:PGO786438 PQJ786438:PQK786438 QAF786438:QAG786438 QKB786438:QKC786438 QTX786438:QTY786438 RDT786438:RDU786438 RNP786438:RNQ786438 RXL786438:RXM786438 SHH786438:SHI786438 SRD786438:SRE786438 TAZ786438:TBA786438 TKV786438:TKW786438 TUR786438:TUS786438 UEN786438:UEO786438 UOJ786438:UOK786438 UYF786438:UYG786438 VIB786438:VIC786438 VRX786438:VRY786438 WBT786438:WBU786438 WLP786438:WLQ786438 WVL786438:WVM786438 D851974:E851974 IZ851974:JA851974 SV851974:SW851974 ACR851974:ACS851974 AMN851974:AMO851974 AWJ851974:AWK851974 BGF851974:BGG851974 BQB851974:BQC851974 BZX851974:BZY851974 CJT851974:CJU851974 CTP851974:CTQ851974 DDL851974:DDM851974 DNH851974:DNI851974 DXD851974:DXE851974 EGZ851974:EHA851974 EQV851974:EQW851974 FAR851974:FAS851974 FKN851974:FKO851974 FUJ851974:FUK851974 GEF851974:GEG851974 GOB851974:GOC851974 GXX851974:GXY851974 HHT851974:HHU851974 HRP851974:HRQ851974 IBL851974:IBM851974 ILH851974:ILI851974 IVD851974:IVE851974 JEZ851974:JFA851974 JOV851974:JOW851974 JYR851974:JYS851974 KIN851974:KIO851974 KSJ851974:KSK851974 LCF851974:LCG851974 LMB851974:LMC851974 LVX851974:LVY851974 MFT851974:MFU851974 MPP851974:MPQ851974 MZL851974:MZM851974 NJH851974:NJI851974 NTD851974:NTE851974 OCZ851974:ODA851974 OMV851974:OMW851974 OWR851974:OWS851974 PGN851974:PGO851974 PQJ851974:PQK851974 QAF851974:QAG851974 QKB851974:QKC851974 QTX851974:QTY851974 RDT851974:RDU851974 RNP851974:RNQ851974 RXL851974:RXM851974 SHH851974:SHI851974 SRD851974:SRE851974 TAZ851974:TBA851974 TKV851974:TKW851974 TUR851974:TUS851974 UEN851974:UEO851974 UOJ851974:UOK851974 UYF851974:UYG851974 VIB851974:VIC851974 VRX851974:VRY851974 WBT851974:WBU851974 WLP851974:WLQ851974 WVL851974:WVM851974 D917510:E917510 IZ917510:JA917510 SV917510:SW917510 ACR917510:ACS917510 AMN917510:AMO917510 AWJ917510:AWK917510 BGF917510:BGG917510 BQB917510:BQC917510 BZX917510:BZY917510 CJT917510:CJU917510 CTP917510:CTQ917510 DDL917510:DDM917510 DNH917510:DNI917510 DXD917510:DXE917510 EGZ917510:EHA917510 EQV917510:EQW917510 FAR917510:FAS917510 FKN917510:FKO917510 FUJ917510:FUK917510 GEF917510:GEG917510 GOB917510:GOC917510 GXX917510:GXY917510 HHT917510:HHU917510 HRP917510:HRQ917510 IBL917510:IBM917510 ILH917510:ILI917510 IVD917510:IVE917510 JEZ917510:JFA917510 JOV917510:JOW917510 JYR917510:JYS917510 KIN917510:KIO917510 KSJ917510:KSK917510 LCF917510:LCG917510 LMB917510:LMC917510 LVX917510:LVY917510 MFT917510:MFU917510 MPP917510:MPQ917510 MZL917510:MZM917510 NJH917510:NJI917510 NTD917510:NTE917510 OCZ917510:ODA917510 OMV917510:OMW917510 OWR917510:OWS917510 PGN917510:PGO917510 PQJ917510:PQK917510 QAF917510:QAG917510 QKB917510:QKC917510 QTX917510:QTY917510 RDT917510:RDU917510 RNP917510:RNQ917510 RXL917510:RXM917510 SHH917510:SHI917510 SRD917510:SRE917510 TAZ917510:TBA917510 TKV917510:TKW917510 TUR917510:TUS917510 UEN917510:UEO917510 UOJ917510:UOK917510 UYF917510:UYG917510 VIB917510:VIC917510 VRX917510:VRY917510 WBT917510:WBU917510 WLP917510:WLQ917510 WVL917510:WVM917510 D983046:E983046 IZ983046:JA983046 SV983046:SW983046 ACR983046:ACS983046 AMN983046:AMO983046 AWJ983046:AWK983046 BGF983046:BGG983046 BQB983046:BQC983046 BZX983046:BZY983046 CJT983046:CJU983046 CTP983046:CTQ983046 DDL983046:DDM983046 DNH983046:DNI983046 DXD983046:DXE983046 EGZ983046:EHA983046 EQV983046:EQW983046 FAR983046:FAS983046 FKN983046:FKO983046 FUJ983046:FUK983046 GEF983046:GEG983046 GOB983046:GOC983046 GXX983046:GXY983046 HHT983046:HHU983046 HRP983046:HRQ983046 IBL983046:IBM983046 ILH983046:ILI983046 IVD983046:IVE983046 JEZ983046:JFA983046 JOV983046:JOW983046 JYR983046:JYS983046 KIN983046:KIO983046 KSJ983046:KSK983046 LCF983046:LCG983046 LMB983046:LMC983046 LVX983046:LVY983046 MFT983046:MFU983046 MPP983046:MPQ983046 MZL983046:MZM983046 NJH983046:NJI983046 NTD983046:NTE983046 OCZ983046:ODA983046 OMV983046:OMW983046 OWR983046:OWS983046 PGN983046:PGO983046 PQJ983046:PQK983046 QAF983046:QAG983046 QKB983046:QKC983046 QTX983046:QTY983046 RDT983046:RDU983046 RNP983046:RNQ983046 RXL983046:RXM983046 SHH983046:SHI983046 SRD983046:SRE983046 TAZ983046:TBA983046 TKV983046:TKW983046 TUR983046:TUS983046 UEN983046:UEO983046 UOJ983046:UOK983046 UYF983046:UYG983046 VIB983046:VIC983046 VRX983046:VRY983046 WBT983046:WBU983046 WLP983046:WLQ983046 WVL983046:WVM983046" xr:uid="{34A2C459-1AA9-4327-B91B-1A577F4667DE}">
      <formula1>"Core1,Core2,Core3,Core4,Core5,Core6,Core7"</formula1>
    </dataValidation>
    <dataValidation type="list" allowBlank="1" showInputMessage="1" showErrorMessage="1" sqref="D171 IZ171 SV171 ACR171 AMN171 AWJ171 BGF171 BQB171 BZX171 CJT171 CTP171 DDL171 DNH171 DXD171 EGZ171 EQV171 FAR171 FKN171 FUJ171 GEF171 GOB171 GXX171 HHT171 HRP171 IBL171 ILH171 IVD171 JEZ171 JOV171 JYR171 KIN171 KSJ171 LCF171 LMB171 LVX171 MFT171 MPP171 MZL171 NJH171 NTD171 OCZ171 OMV171 OWR171 PGN171 PQJ171 QAF171 QKB171 QTX171 RDT171 RNP171 RXL171 SHH171 SRD171 TAZ171 TKV171 TUR171 UEN171 UOJ171 UYF171 VIB171 VRX171 WBT171 WLP171 WVL171 D65707 IZ65707 SV65707 ACR65707 AMN65707 AWJ65707 BGF65707 BQB65707 BZX65707 CJT65707 CTP65707 DDL65707 DNH65707 DXD65707 EGZ65707 EQV65707 FAR65707 FKN65707 FUJ65707 GEF65707 GOB65707 GXX65707 HHT65707 HRP65707 IBL65707 ILH65707 IVD65707 JEZ65707 JOV65707 JYR65707 KIN65707 KSJ65707 LCF65707 LMB65707 LVX65707 MFT65707 MPP65707 MZL65707 NJH65707 NTD65707 OCZ65707 OMV65707 OWR65707 PGN65707 PQJ65707 QAF65707 QKB65707 QTX65707 RDT65707 RNP65707 RXL65707 SHH65707 SRD65707 TAZ65707 TKV65707 TUR65707 UEN65707 UOJ65707 UYF65707 VIB65707 VRX65707 WBT65707 WLP65707 WVL65707 D131243 IZ131243 SV131243 ACR131243 AMN131243 AWJ131243 BGF131243 BQB131243 BZX131243 CJT131243 CTP131243 DDL131243 DNH131243 DXD131243 EGZ131243 EQV131243 FAR131243 FKN131243 FUJ131243 GEF131243 GOB131243 GXX131243 HHT131243 HRP131243 IBL131243 ILH131243 IVD131243 JEZ131243 JOV131243 JYR131243 KIN131243 KSJ131243 LCF131243 LMB131243 LVX131243 MFT131243 MPP131243 MZL131243 NJH131243 NTD131243 OCZ131243 OMV131243 OWR131243 PGN131243 PQJ131243 QAF131243 QKB131243 QTX131243 RDT131243 RNP131243 RXL131243 SHH131243 SRD131243 TAZ131243 TKV131243 TUR131243 UEN131243 UOJ131243 UYF131243 VIB131243 VRX131243 WBT131243 WLP131243 WVL131243 D196779 IZ196779 SV196779 ACR196779 AMN196779 AWJ196779 BGF196779 BQB196779 BZX196779 CJT196779 CTP196779 DDL196779 DNH196779 DXD196779 EGZ196779 EQV196779 FAR196779 FKN196779 FUJ196779 GEF196779 GOB196779 GXX196779 HHT196779 HRP196779 IBL196779 ILH196779 IVD196779 JEZ196779 JOV196779 JYR196779 KIN196779 KSJ196779 LCF196779 LMB196779 LVX196779 MFT196779 MPP196779 MZL196779 NJH196779 NTD196779 OCZ196779 OMV196779 OWR196779 PGN196779 PQJ196779 QAF196779 QKB196779 QTX196779 RDT196779 RNP196779 RXL196779 SHH196779 SRD196779 TAZ196779 TKV196779 TUR196779 UEN196779 UOJ196779 UYF196779 VIB196779 VRX196779 WBT196779 WLP196779 WVL196779 D262315 IZ262315 SV262315 ACR262315 AMN262315 AWJ262315 BGF262315 BQB262315 BZX262315 CJT262315 CTP262315 DDL262315 DNH262315 DXD262315 EGZ262315 EQV262315 FAR262315 FKN262315 FUJ262315 GEF262315 GOB262315 GXX262315 HHT262315 HRP262315 IBL262315 ILH262315 IVD262315 JEZ262315 JOV262315 JYR262315 KIN262315 KSJ262315 LCF262315 LMB262315 LVX262315 MFT262315 MPP262315 MZL262315 NJH262315 NTD262315 OCZ262315 OMV262315 OWR262315 PGN262315 PQJ262315 QAF262315 QKB262315 QTX262315 RDT262315 RNP262315 RXL262315 SHH262315 SRD262315 TAZ262315 TKV262315 TUR262315 UEN262315 UOJ262315 UYF262315 VIB262315 VRX262315 WBT262315 WLP262315 WVL262315 D327851 IZ327851 SV327851 ACR327851 AMN327851 AWJ327851 BGF327851 BQB327851 BZX327851 CJT327851 CTP327851 DDL327851 DNH327851 DXD327851 EGZ327851 EQV327851 FAR327851 FKN327851 FUJ327851 GEF327851 GOB327851 GXX327851 HHT327851 HRP327851 IBL327851 ILH327851 IVD327851 JEZ327851 JOV327851 JYR327851 KIN327851 KSJ327851 LCF327851 LMB327851 LVX327851 MFT327851 MPP327851 MZL327851 NJH327851 NTD327851 OCZ327851 OMV327851 OWR327851 PGN327851 PQJ327851 QAF327851 QKB327851 QTX327851 RDT327851 RNP327851 RXL327851 SHH327851 SRD327851 TAZ327851 TKV327851 TUR327851 UEN327851 UOJ327851 UYF327851 VIB327851 VRX327851 WBT327851 WLP327851 WVL327851 D393387 IZ393387 SV393387 ACR393387 AMN393387 AWJ393387 BGF393387 BQB393387 BZX393387 CJT393387 CTP393387 DDL393387 DNH393387 DXD393387 EGZ393387 EQV393387 FAR393387 FKN393387 FUJ393387 GEF393387 GOB393387 GXX393387 HHT393387 HRP393387 IBL393387 ILH393387 IVD393387 JEZ393387 JOV393387 JYR393387 KIN393387 KSJ393387 LCF393387 LMB393387 LVX393387 MFT393387 MPP393387 MZL393387 NJH393387 NTD393387 OCZ393387 OMV393387 OWR393387 PGN393387 PQJ393387 QAF393387 QKB393387 QTX393387 RDT393387 RNP393387 RXL393387 SHH393387 SRD393387 TAZ393387 TKV393387 TUR393387 UEN393387 UOJ393387 UYF393387 VIB393387 VRX393387 WBT393387 WLP393387 WVL393387 D458923 IZ458923 SV458923 ACR458923 AMN458923 AWJ458923 BGF458923 BQB458923 BZX458923 CJT458923 CTP458923 DDL458923 DNH458923 DXD458923 EGZ458923 EQV458923 FAR458923 FKN458923 FUJ458923 GEF458923 GOB458923 GXX458923 HHT458923 HRP458923 IBL458923 ILH458923 IVD458923 JEZ458923 JOV458923 JYR458923 KIN458923 KSJ458923 LCF458923 LMB458923 LVX458923 MFT458923 MPP458923 MZL458923 NJH458923 NTD458923 OCZ458923 OMV458923 OWR458923 PGN458923 PQJ458923 QAF458923 QKB458923 QTX458923 RDT458923 RNP458923 RXL458923 SHH458923 SRD458923 TAZ458923 TKV458923 TUR458923 UEN458923 UOJ458923 UYF458923 VIB458923 VRX458923 WBT458923 WLP458923 WVL458923 D524459 IZ524459 SV524459 ACR524459 AMN524459 AWJ524459 BGF524459 BQB524459 BZX524459 CJT524459 CTP524459 DDL524459 DNH524459 DXD524459 EGZ524459 EQV524459 FAR524459 FKN524459 FUJ524459 GEF524459 GOB524459 GXX524459 HHT524459 HRP524459 IBL524459 ILH524459 IVD524459 JEZ524459 JOV524459 JYR524459 KIN524459 KSJ524459 LCF524459 LMB524459 LVX524459 MFT524459 MPP524459 MZL524459 NJH524459 NTD524459 OCZ524459 OMV524459 OWR524459 PGN524459 PQJ524459 QAF524459 QKB524459 QTX524459 RDT524459 RNP524459 RXL524459 SHH524459 SRD524459 TAZ524459 TKV524459 TUR524459 UEN524459 UOJ524459 UYF524459 VIB524459 VRX524459 WBT524459 WLP524459 WVL524459 D589995 IZ589995 SV589995 ACR589995 AMN589995 AWJ589995 BGF589995 BQB589995 BZX589995 CJT589995 CTP589995 DDL589995 DNH589995 DXD589995 EGZ589995 EQV589995 FAR589995 FKN589995 FUJ589995 GEF589995 GOB589995 GXX589995 HHT589995 HRP589995 IBL589995 ILH589995 IVD589995 JEZ589995 JOV589995 JYR589995 KIN589995 KSJ589995 LCF589995 LMB589995 LVX589995 MFT589995 MPP589995 MZL589995 NJH589995 NTD589995 OCZ589995 OMV589995 OWR589995 PGN589995 PQJ589995 QAF589995 QKB589995 QTX589995 RDT589995 RNP589995 RXL589995 SHH589995 SRD589995 TAZ589995 TKV589995 TUR589995 UEN589995 UOJ589995 UYF589995 VIB589995 VRX589995 WBT589995 WLP589995 WVL589995 D655531 IZ655531 SV655531 ACR655531 AMN655531 AWJ655531 BGF655531 BQB655531 BZX655531 CJT655531 CTP655531 DDL655531 DNH655531 DXD655531 EGZ655531 EQV655531 FAR655531 FKN655531 FUJ655531 GEF655531 GOB655531 GXX655531 HHT655531 HRP655531 IBL655531 ILH655531 IVD655531 JEZ655531 JOV655531 JYR655531 KIN655531 KSJ655531 LCF655531 LMB655531 LVX655531 MFT655531 MPP655531 MZL655531 NJH655531 NTD655531 OCZ655531 OMV655531 OWR655531 PGN655531 PQJ655531 QAF655531 QKB655531 QTX655531 RDT655531 RNP655531 RXL655531 SHH655531 SRD655531 TAZ655531 TKV655531 TUR655531 UEN655531 UOJ655531 UYF655531 VIB655531 VRX655531 WBT655531 WLP655531 WVL655531 D721067 IZ721067 SV721067 ACR721067 AMN721067 AWJ721067 BGF721067 BQB721067 BZX721067 CJT721067 CTP721067 DDL721067 DNH721067 DXD721067 EGZ721067 EQV721067 FAR721067 FKN721067 FUJ721067 GEF721067 GOB721067 GXX721067 HHT721067 HRP721067 IBL721067 ILH721067 IVD721067 JEZ721067 JOV721067 JYR721067 KIN721067 KSJ721067 LCF721067 LMB721067 LVX721067 MFT721067 MPP721067 MZL721067 NJH721067 NTD721067 OCZ721067 OMV721067 OWR721067 PGN721067 PQJ721067 QAF721067 QKB721067 QTX721067 RDT721067 RNP721067 RXL721067 SHH721067 SRD721067 TAZ721067 TKV721067 TUR721067 UEN721067 UOJ721067 UYF721067 VIB721067 VRX721067 WBT721067 WLP721067 WVL721067 D786603 IZ786603 SV786603 ACR786603 AMN786603 AWJ786603 BGF786603 BQB786603 BZX786603 CJT786603 CTP786603 DDL786603 DNH786603 DXD786603 EGZ786603 EQV786603 FAR786603 FKN786603 FUJ786603 GEF786603 GOB786603 GXX786603 HHT786603 HRP786603 IBL786603 ILH786603 IVD786603 JEZ786603 JOV786603 JYR786603 KIN786603 KSJ786603 LCF786603 LMB786603 LVX786603 MFT786603 MPP786603 MZL786603 NJH786603 NTD786603 OCZ786603 OMV786603 OWR786603 PGN786603 PQJ786603 QAF786603 QKB786603 QTX786603 RDT786603 RNP786603 RXL786603 SHH786603 SRD786603 TAZ786603 TKV786603 TUR786603 UEN786603 UOJ786603 UYF786603 VIB786603 VRX786603 WBT786603 WLP786603 WVL786603 D852139 IZ852139 SV852139 ACR852139 AMN852139 AWJ852139 BGF852139 BQB852139 BZX852139 CJT852139 CTP852139 DDL852139 DNH852139 DXD852139 EGZ852139 EQV852139 FAR852139 FKN852139 FUJ852139 GEF852139 GOB852139 GXX852139 HHT852139 HRP852139 IBL852139 ILH852139 IVD852139 JEZ852139 JOV852139 JYR852139 KIN852139 KSJ852139 LCF852139 LMB852139 LVX852139 MFT852139 MPP852139 MZL852139 NJH852139 NTD852139 OCZ852139 OMV852139 OWR852139 PGN852139 PQJ852139 QAF852139 QKB852139 QTX852139 RDT852139 RNP852139 RXL852139 SHH852139 SRD852139 TAZ852139 TKV852139 TUR852139 UEN852139 UOJ852139 UYF852139 VIB852139 VRX852139 WBT852139 WLP852139 WVL852139 D917675 IZ917675 SV917675 ACR917675 AMN917675 AWJ917675 BGF917675 BQB917675 BZX917675 CJT917675 CTP917675 DDL917675 DNH917675 DXD917675 EGZ917675 EQV917675 FAR917675 FKN917675 FUJ917675 GEF917675 GOB917675 GXX917675 HHT917675 HRP917675 IBL917675 ILH917675 IVD917675 JEZ917675 JOV917675 JYR917675 KIN917675 KSJ917675 LCF917675 LMB917675 LVX917675 MFT917675 MPP917675 MZL917675 NJH917675 NTD917675 OCZ917675 OMV917675 OWR917675 PGN917675 PQJ917675 QAF917675 QKB917675 QTX917675 RDT917675 RNP917675 RXL917675 SHH917675 SRD917675 TAZ917675 TKV917675 TUR917675 UEN917675 UOJ917675 UYF917675 VIB917675 VRX917675 WBT917675 WLP917675 WVL917675 D983211 IZ983211 SV983211 ACR983211 AMN983211 AWJ983211 BGF983211 BQB983211 BZX983211 CJT983211 CTP983211 DDL983211 DNH983211 DXD983211 EGZ983211 EQV983211 FAR983211 FKN983211 FUJ983211 GEF983211 GOB983211 GXX983211 HHT983211 HRP983211 IBL983211 ILH983211 IVD983211 JEZ983211 JOV983211 JYR983211 KIN983211 KSJ983211 LCF983211 LMB983211 LVX983211 MFT983211 MPP983211 MZL983211 NJH983211 NTD983211 OCZ983211 OMV983211 OWR983211 PGN983211 PQJ983211 QAF983211 QKB983211 QTX983211 RDT983211 RNP983211 RXL983211 SHH983211 SRD983211 TAZ983211 TKV983211 TUR983211 UEN983211 UOJ983211 UYF983211 VIB983211 VRX983211 WBT983211 WLP983211 WVL983211 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5 IZ65625 SV65625 ACR65625 AMN65625 AWJ65625 BGF65625 BQB65625 BZX65625 CJT65625 CTP65625 DDL65625 DNH65625 DXD65625 EGZ65625 EQV65625 FAR65625 FKN65625 FUJ65625 GEF65625 GOB65625 GXX65625 HHT65625 HRP65625 IBL65625 ILH65625 IVD65625 JEZ65625 JOV65625 JYR65625 KIN65625 KSJ65625 LCF65625 LMB65625 LVX65625 MFT65625 MPP65625 MZL65625 NJH65625 NTD65625 OCZ65625 OMV65625 OWR65625 PGN65625 PQJ65625 QAF65625 QKB65625 QTX65625 RDT65625 RNP65625 RXL65625 SHH65625 SRD65625 TAZ65625 TKV65625 TUR65625 UEN65625 UOJ65625 UYF65625 VIB65625 VRX65625 WBT65625 WLP65625 WVL65625 D131161 IZ131161 SV131161 ACR131161 AMN131161 AWJ131161 BGF131161 BQB131161 BZX131161 CJT131161 CTP131161 DDL131161 DNH131161 DXD131161 EGZ131161 EQV131161 FAR131161 FKN131161 FUJ131161 GEF131161 GOB131161 GXX131161 HHT131161 HRP131161 IBL131161 ILH131161 IVD131161 JEZ131161 JOV131161 JYR131161 KIN131161 KSJ131161 LCF131161 LMB131161 LVX131161 MFT131161 MPP131161 MZL131161 NJH131161 NTD131161 OCZ131161 OMV131161 OWR131161 PGN131161 PQJ131161 QAF131161 QKB131161 QTX131161 RDT131161 RNP131161 RXL131161 SHH131161 SRD131161 TAZ131161 TKV131161 TUR131161 UEN131161 UOJ131161 UYF131161 VIB131161 VRX131161 WBT131161 WLP131161 WVL131161 D196697 IZ196697 SV196697 ACR196697 AMN196697 AWJ196697 BGF196697 BQB196697 BZX196697 CJT196697 CTP196697 DDL196697 DNH196697 DXD196697 EGZ196697 EQV196697 FAR196697 FKN196697 FUJ196697 GEF196697 GOB196697 GXX196697 HHT196697 HRP196697 IBL196697 ILH196697 IVD196697 JEZ196697 JOV196697 JYR196697 KIN196697 KSJ196697 LCF196697 LMB196697 LVX196697 MFT196697 MPP196697 MZL196697 NJH196697 NTD196697 OCZ196697 OMV196697 OWR196697 PGN196697 PQJ196697 QAF196697 QKB196697 QTX196697 RDT196697 RNP196697 RXL196697 SHH196697 SRD196697 TAZ196697 TKV196697 TUR196697 UEN196697 UOJ196697 UYF196697 VIB196697 VRX196697 WBT196697 WLP196697 WVL196697 D262233 IZ262233 SV262233 ACR262233 AMN262233 AWJ262233 BGF262233 BQB262233 BZX262233 CJT262233 CTP262233 DDL262233 DNH262233 DXD262233 EGZ262233 EQV262233 FAR262233 FKN262233 FUJ262233 GEF262233 GOB262233 GXX262233 HHT262233 HRP262233 IBL262233 ILH262233 IVD262233 JEZ262233 JOV262233 JYR262233 KIN262233 KSJ262233 LCF262233 LMB262233 LVX262233 MFT262233 MPP262233 MZL262233 NJH262233 NTD262233 OCZ262233 OMV262233 OWR262233 PGN262233 PQJ262233 QAF262233 QKB262233 QTX262233 RDT262233 RNP262233 RXL262233 SHH262233 SRD262233 TAZ262233 TKV262233 TUR262233 UEN262233 UOJ262233 UYF262233 VIB262233 VRX262233 WBT262233 WLP262233 WVL262233 D327769 IZ327769 SV327769 ACR327769 AMN327769 AWJ327769 BGF327769 BQB327769 BZX327769 CJT327769 CTP327769 DDL327769 DNH327769 DXD327769 EGZ327769 EQV327769 FAR327769 FKN327769 FUJ327769 GEF327769 GOB327769 GXX327769 HHT327769 HRP327769 IBL327769 ILH327769 IVD327769 JEZ327769 JOV327769 JYR327769 KIN327769 KSJ327769 LCF327769 LMB327769 LVX327769 MFT327769 MPP327769 MZL327769 NJH327769 NTD327769 OCZ327769 OMV327769 OWR327769 PGN327769 PQJ327769 QAF327769 QKB327769 QTX327769 RDT327769 RNP327769 RXL327769 SHH327769 SRD327769 TAZ327769 TKV327769 TUR327769 UEN327769 UOJ327769 UYF327769 VIB327769 VRX327769 WBT327769 WLP327769 WVL327769 D393305 IZ393305 SV393305 ACR393305 AMN393305 AWJ393305 BGF393305 BQB393305 BZX393305 CJT393305 CTP393305 DDL393305 DNH393305 DXD393305 EGZ393305 EQV393305 FAR393305 FKN393305 FUJ393305 GEF393305 GOB393305 GXX393305 HHT393305 HRP393305 IBL393305 ILH393305 IVD393305 JEZ393305 JOV393305 JYR393305 KIN393305 KSJ393305 LCF393305 LMB393305 LVX393305 MFT393305 MPP393305 MZL393305 NJH393305 NTD393305 OCZ393305 OMV393305 OWR393305 PGN393305 PQJ393305 QAF393305 QKB393305 QTX393305 RDT393305 RNP393305 RXL393305 SHH393305 SRD393305 TAZ393305 TKV393305 TUR393305 UEN393305 UOJ393305 UYF393305 VIB393305 VRX393305 WBT393305 WLP393305 WVL393305 D458841 IZ458841 SV458841 ACR458841 AMN458841 AWJ458841 BGF458841 BQB458841 BZX458841 CJT458841 CTP458841 DDL458841 DNH458841 DXD458841 EGZ458841 EQV458841 FAR458841 FKN458841 FUJ458841 GEF458841 GOB458841 GXX458841 HHT458841 HRP458841 IBL458841 ILH458841 IVD458841 JEZ458841 JOV458841 JYR458841 KIN458841 KSJ458841 LCF458841 LMB458841 LVX458841 MFT458841 MPP458841 MZL458841 NJH458841 NTD458841 OCZ458841 OMV458841 OWR458841 PGN458841 PQJ458841 QAF458841 QKB458841 QTX458841 RDT458841 RNP458841 RXL458841 SHH458841 SRD458841 TAZ458841 TKV458841 TUR458841 UEN458841 UOJ458841 UYF458841 VIB458841 VRX458841 WBT458841 WLP458841 WVL458841 D524377 IZ524377 SV524377 ACR524377 AMN524377 AWJ524377 BGF524377 BQB524377 BZX524377 CJT524377 CTP524377 DDL524377 DNH524377 DXD524377 EGZ524377 EQV524377 FAR524377 FKN524377 FUJ524377 GEF524377 GOB524377 GXX524377 HHT524377 HRP524377 IBL524377 ILH524377 IVD524377 JEZ524377 JOV524377 JYR524377 KIN524377 KSJ524377 LCF524377 LMB524377 LVX524377 MFT524377 MPP524377 MZL524377 NJH524377 NTD524377 OCZ524377 OMV524377 OWR524377 PGN524377 PQJ524377 QAF524377 QKB524377 QTX524377 RDT524377 RNP524377 RXL524377 SHH524377 SRD524377 TAZ524377 TKV524377 TUR524377 UEN524377 UOJ524377 UYF524377 VIB524377 VRX524377 WBT524377 WLP524377 WVL524377 D589913 IZ589913 SV589913 ACR589913 AMN589913 AWJ589913 BGF589913 BQB589913 BZX589913 CJT589913 CTP589913 DDL589913 DNH589913 DXD589913 EGZ589913 EQV589913 FAR589913 FKN589913 FUJ589913 GEF589913 GOB589913 GXX589913 HHT589913 HRP589913 IBL589913 ILH589913 IVD589913 JEZ589913 JOV589913 JYR589913 KIN589913 KSJ589913 LCF589913 LMB589913 LVX589913 MFT589913 MPP589913 MZL589913 NJH589913 NTD589913 OCZ589913 OMV589913 OWR589913 PGN589913 PQJ589913 QAF589913 QKB589913 QTX589913 RDT589913 RNP589913 RXL589913 SHH589913 SRD589913 TAZ589913 TKV589913 TUR589913 UEN589913 UOJ589913 UYF589913 VIB589913 VRX589913 WBT589913 WLP589913 WVL589913 D655449 IZ655449 SV655449 ACR655449 AMN655449 AWJ655449 BGF655449 BQB655449 BZX655449 CJT655449 CTP655449 DDL655449 DNH655449 DXD655449 EGZ655449 EQV655449 FAR655449 FKN655449 FUJ655449 GEF655449 GOB655449 GXX655449 HHT655449 HRP655449 IBL655449 ILH655449 IVD655449 JEZ655449 JOV655449 JYR655449 KIN655449 KSJ655449 LCF655449 LMB655449 LVX655449 MFT655449 MPP655449 MZL655449 NJH655449 NTD655449 OCZ655449 OMV655449 OWR655449 PGN655449 PQJ655449 QAF655449 QKB655449 QTX655449 RDT655449 RNP655449 RXL655449 SHH655449 SRD655449 TAZ655449 TKV655449 TUR655449 UEN655449 UOJ655449 UYF655449 VIB655449 VRX655449 WBT655449 WLP655449 WVL655449 D720985 IZ720985 SV720985 ACR720985 AMN720985 AWJ720985 BGF720985 BQB720985 BZX720985 CJT720985 CTP720985 DDL720985 DNH720985 DXD720985 EGZ720985 EQV720985 FAR720985 FKN720985 FUJ720985 GEF720985 GOB720985 GXX720985 HHT720985 HRP720985 IBL720985 ILH720985 IVD720985 JEZ720985 JOV720985 JYR720985 KIN720985 KSJ720985 LCF720985 LMB720985 LVX720985 MFT720985 MPP720985 MZL720985 NJH720985 NTD720985 OCZ720985 OMV720985 OWR720985 PGN720985 PQJ720985 QAF720985 QKB720985 QTX720985 RDT720985 RNP720985 RXL720985 SHH720985 SRD720985 TAZ720985 TKV720985 TUR720985 UEN720985 UOJ720985 UYF720985 VIB720985 VRX720985 WBT720985 WLP720985 WVL720985 D786521 IZ786521 SV786521 ACR786521 AMN786521 AWJ786521 BGF786521 BQB786521 BZX786521 CJT786521 CTP786521 DDL786521 DNH786521 DXD786521 EGZ786521 EQV786521 FAR786521 FKN786521 FUJ786521 GEF786521 GOB786521 GXX786521 HHT786521 HRP786521 IBL786521 ILH786521 IVD786521 JEZ786521 JOV786521 JYR786521 KIN786521 KSJ786521 LCF786521 LMB786521 LVX786521 MFT786521 MPP786521 MZL786521 NJH786521 NTD786521 OCZ786521 OMV786521 OWR786521 PGN786521 PQJ786521 QAF786521 QKB786521 QTX786521 RDT786521 RNP786521 RXL786521 SHH786521 SRD786521 TAZ786521 TKV786521 TUR786521 UEN786521 UOJ786521 UYF786521 VIB786521 VRX786521 WBT786521 WLP786521 WVL786521 D852057 IZ852057 SV852057 ACR852057 AMN852057 AWJ852057 BGF852057 BQB852057 BZX852057 CJT852057 CTP852057 DDL852057 DNH852057 DXD852057 EGZ852057 EQV852057 FAR852057 FKN852057 FUJ852057 GEF852057 GOB852057 GXX852057 HHT852057 HRP852057 IBL852057 ILH852057 IVD852057 JEZ852057 JOV852057 JYR852057 KIN852057 KSJ852057 LCF852057 LMB852057 LVX852057 MFT852057 MPP852057 MZL852057 NJH852057 NTD852057 OCZ852057 OMV852057 OWR852057 PGN852057 PQJ852057 QAF852057 QKB852057 QTX852057 RDT852057 RNP852057 RXL852057 SHH852057 SRD852057 TAZ852057 TKV852057 TUR852057 UEN852057 UOJ852057 UYF852057 VIB852057 VRX852057 WBT852057 WLP852057 WVL852057 D917593 IZ917593 SV917593 ACR917593 AMN917593 AWJ917593 BGF917593 BQB917593 BZX917593 CJT917593 CTP917593 DDL917593 DNH917593 DXD917593 EGZ917593 EQV917593 FAR917593 FKN917593 FUJ917593 GEF917593 GOB917593 GXX917593 HHT917593 HRP917593 IBL917593 ILH917593 IVD917593 JEZ917593 JOV917593 JYR917593 KIN917593 KSJ917593 LCF917593 LMB917593 LVX917593 MFT917593 MPP917593 MZL917593 NJH917593 NTD917593 OCZ917593 OMV917593 OWR917593 PGN917593 PQJ917593 QAF917593 QKB917593 QTX917593 RDT917593 RNP917593 RXL917593 SHH917593 SRD917593 TAZ917593 TKV917593 TUR917593 UEN917593 UOJ917593 UYF917593 VIB917593 VRX917593 WBT917593 WLP917593 WVL917593 D983129 IZ983129 SV983129 ACR983129 AMN983129 AWJ983129 BGF983129 BQB983129 BZX983129 CJT983129 CTP983129 DDL983129 DNH983129 DXD983129 EGZ983129 EQV983129 FAR983129 FKN983129 FUJ983129 GEF983129 GOB983129 GXX983129 HHT983129 HRP983129 IBL983129 ILH983129 IVD983129 JEZ983129 JOV983129 JYR983129 KIN983129 KSJ983129 LCF983129 LMB983129 LVX983129 MFT983129 MPP983129 MZL983129 NJH983129 NTD983129 OCZ983129 OMV983129 OWR983129 PGN983129 PQJ983129 QAF983129 QKB983129 QTX983129 RDT983129 RNP983129 RXL983129 SHH983129 SRD983129 TAZ983129 TKV983129 TUR983129 UEN983129 UOJ983129 UYF983129 VIB983129 VRX983129 WBT983129 WLP983129 WVL983129" xr:uid="{F77C55F8-46FA-4FA9-BB7D-0C423A0749ED}">
      <formula1>"Core1,Core2,Core3"</formula1>
    </dataValidation>
  </dataValidations>
  <printOptions horizontalCentered="1" verticalCentered="1"/>
  <pageMargins left="0.5" right="0.5" top="0.5" bottom="0.5" header="0" footer="0"/>
  <pageSetup paperSize="9" scale="90" orientation="portrait" r:id="rId1"/>
  <headerFooter alignWithMargins="0"/>
  <rowBreaks count="2" manualBreakCount="2">
    <brk id="46" max="21" man="1"/>
    <brk id="87" max="21"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A4BCD-5A3B-485D-A75A-792F20FF2F28}">
  <sheetPr>
    <tabColor rgb="FFFFFF00"/>
  </sheetPr>
  <dimension ref="A1:AR301"/>
  <sheetViews>
    <sheetView showZeros="0" view="pageBreakPreview" topLeftCell="A31" zoomScaleNormal="100" zoomScaleSheetLayoutView="100" workbookViewId="0">
      <selection activeCell="K13" sqref="K1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717" t="s">
        <v>0</v>
      </c>
      <c r="B1" s="718"/>
      <c r="C1" s="718"/>
      <c r="D1" s="718"/>
      <c r="E1" s="718"/>
      <c r="F1" s="718"/>
      <c r="G1" s="719"/>
      <c r="H1" s="726" t="str">
        <f>[4]Title!H1</f>
        <v>CT / VT</v>
      </c>
      <c r="I1" s="727"/>
      <c r="J1" s="727"/>
      <c r="K1" s="727"/>
      <c r="L1" s="727"/>
      <c r="M1" s="727"/>
      <c r="N1" s="728"/>
      <c r="O1" s="702" t="str">
        <f>[4]Title!O1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[4]Title!H2</f>
        <v>ADEQUACY CHECK</v>
      </c>
      <c r="I2" s="730"/>
      <c r="J2" s="730"/>
      <c r="K2" s="730"/>
      <c r="L2" s="730"/>
      <c r="M2" s="730"/>
      <c r="N2" s="731"/>
      <c r="O2" s="702" t="str">
        <f>[4]Title!O2</f>
        <v>Date</v>
      </c>
      <c r="P2" s="703"/>
      <c r="Q2" s="704"/>
      <c r="R2" s="732">
        <f>Title!R2</f>
        <v>46106</v>
      </c>
      <c r="S2" s="706"/>
      <c r="T2" s="706"/>
      <c r="U2" s="706"/>
      <c r="V2" s="707"/>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[4]Title!O3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[4]Title!O4</f>
        <v>Revision No.</v>
      </c>
      <c r="P4" s="703"/>
      <c r="Q4" s="704"/>
      <c r="R4" s="705" t="str">
        <f>Title!R4</f>
        <v>A</v>
      </c>
      <c r="S4" s="706"/>
      <c r="T4" s="706"/>
      <c r="U4" s="706"/>
      <c r="V4" s="707"/>
      <c r="W4" s="14"/>
      <c r="X4" s="14"/>
    </row>
    <row r="5" spans="1:24" ht="18" customHeight="1">
      <c r="A5" s="708" t="str">
        <f>[4]Title!A5</f>
        <v>Prep. By</v>
      </c>
      <c r="B5" s="709"/>
      <c r="C5" s="25" t="str">
        <f>[4]Title!C5</f>
        <v>AP</v>
      </c>
      <c r="D5" s="708" t="str">
        <f>[4]Title!D5</f>
        <v>Checked By</v>
      </c>
      <c r="E5" s="710"/>
      <c r="F5" s="709"/>
      <c r="G5" s="25" t="str">
        <f>[4]Title!G5</f>
        <v>RB</v>
      </c>
      <c r="H5" s="711" t="s">
        <v>926</v>
      </c>
      <c r="I5" s="712"/>
      <c r="J5" s="712"/>
      <c r="K5" s="712"/>
      <c r="L5" s="712"/>
      <c r="M5" s="712"/>
      <c r="N5" s="713"/>
      <c r="O5" s="714" t="str">
        <f>[4]Title!O5</f>
        <v>Contractor</v>
      </c>
      <c r="P5" s="715"/>
      <c r="Q5" s="716"/>
      <c r="R5" s="705" t="str">
        <f>Title!R5</f>
        <v>HITACHI</v>
      </c>
      <c r="S5" s="706"/>
      <c r="T5" s="706"/>
      <c r="U5" s="706"/>
      <c r="V5" s="707"/>
      <c r="W5" s="14"/>
      <c r="X5" s="14"/>
    </row>
    <row r="6" spans="1:24" ht="18" customHeight="1">
      <c r="A6" s="196"/>
      <c r="V6" s="197"/>
    </row>
    <row r="7" spans="1:24" ht="18" customHeight="1">
      <c r="A7" s="196"/>
      <c r="B7" s="940" t="s">
        <v>120</v>
      </c>
      <c r="C7" s="941"/>
      <c r="D7" s="944" t="s">
        <v>124</v>
      </c>
      <c r="E7" s="945"/>
      <c r="F7" s="468"/>
      <c r="H7" s="639"/>
      <c r="I7" s="639"/>
      <c r="J7" s="639"/>
      <c r="K7" s="639"/>
      <c r="L7" s="639"/>
      <c r="M7" s="639"/>
      <c r="P7" s="198"/>
      <c r="S7" s="199" t="s">
        <v>398</v>
      </c>
      <c r="T7" s="940" t="s">
        <v>917</v>
      </c>
      <c r="U7" s="941"/>
      <c r="V7" s="197"/>
    </row>
    <row r="8" spans="1:24" ht="18" customHeight="1">
      <c r="A8" s="469"/>
      <c r="F8" s="468"/>
      <c r="T8" s="940"/>
      <c r="U8" s="941"/>
      <c r="V8" s="197"/>
    </row>
    <row r="9" spans="1:24" ht="18" customHeight="1">
      <c r="A9" s="196"/>
      <c r="H9" s="662" t="s">
        <v>401</v>
      </c>
      <c r="I9" s="662"/>
      <c r="J9" s="701" t="s">
        <v>402</v>
      </c>
      <c r="K9" s="701"/>
      <c r="L9" s="701" t="s">
        <v>403</v>
      </c>
      <c r="M9" s="701"/>
      <c r="T9" s="940"/>
      <c r="U9" s="941"/>
      <c r="V9" s="197"/>
    </row>
    <row r="10" spans="1:24" ht="18" customHeight="1">
      <c r="A10" s="196"/>
      <c r="B10" s="47" t="s">
        <v>404</v>
      </c>
      <c r="H10" s="942">
        <v>2500</v>
      </c>
      <c r="I10" s="943"/>
      <c r="J10" s="940" t="s">
        <v>7</v>
      </c>
      <c r="K10" s="941"/>
      <c r="L10" s="940" t="s">
        <v>7</v>
      </c>
      <c r="M10" s="941"/>
      <c r="N10" s="203" t="s">
        <v>353</v>
      </c>
      <c r="O10" s="515">
        <v>1</v>
      </c>
      <c r="P10" s="27" t="s">
        <v>9</v>
      </c>
      <c r="R10" s="267"/>
      <c r="S10" s="267"/>
      <c r="V10" s="197"/>
    </row>
    <row r="11" spans="1:24" ht="18" customHeight="1">
      <c r="A11" s="196"/>
      <c r="B11" s="47" t="s">
        <v>405</v>
      </c>
      <c r="H11" s="940" t="s">
        <v>849</v>
      </c>
      <c r="I11" s="941"/>
      <c r="V11" s="197"/>
    </row>
    <row r="12" spans="1:24" ht="18" customHeight="1">
      <c r="A12" s="196"/>
      <c r="B12" s="47" t="s">
        <v>407</v>
      </c>
      <c r="G12" s="120" t="s">
        <v>508</v>
      </c>
      <c r="H12" s="981">
        <v>5</v>
      </c>
      <c r="I12" s="982"/>
      <c r="J12" s="204" t="s">
        <v>344</v>
      </c>
      <c r="V12" s="197"/>
    </row>
    <row r="13" spans="1:24" ht="18" customHeight="1">
      <c r="A13" s="196"/>
      <c r="B13" s="47" t="s">
        <v>409</v>
      </c>
      <c r="G13" s="120" t="s">
        <v>509</v>
      </c>
      <c r="H13" s="940">
        <v>750</v>
      </c>
      <c r="I13" s="941"/>
      <c r="J13" s="14" t="s">
        <v>316</v>
      </c>
      <c r="U13" s="18"/>
      <c r="V13" s="197"/>
      <c r="W13" s="30" t="str">
        <f>H58</f>
        <v>Suitably Dimentioned</v>
      </c>
    </row>
    <row r="14" spans="1:24" ht="18" customHeight="1">
      <c r="A14" s="196"/>
      <c r="B14" s="14" t="s">
        <v>412</v>
      </c>
      <c r="G14" s="120" t="s">
        <v>413</v>
      </c>
      <c r="H14" s="940">
        <v>60</v>
      </c>
      <c r="I14" s="941"/>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P743</v>
      </c>
      <c r="E18" s="239"/>
      <c r="F18" s="239"/>
      <c r="G18" s="239"/>
      <c r="H18" s="145"/>
      <c r="I18" s="272" t="s">
        <v>138</v>
      </c>
      <c r="J18" s="946">
        <f>'CT-VT Burdens'!Q98</f>
        <v>0.1</v>
      </c>
      <c r="K18" s="947"/>
      <c r="L18" s="3" t="s">
        <v>168</v>
      </c>
      <c r="N18" s="209"/>
      <c r="V18" s="197"/>
    </row>
    <row r="19" spans="1:25" ht="18" customHeight="1">
      <c r="A19" s="196"/>
      <c r="B19" s="96" t="s">
        <v>416</v>
      </c>
      <c r="C19" s="14"/>
      <c r="D19" s="47">
        <f>T8</f>
        <v>0</v>
      </c>
      <c r="E19" s="14"/>
      <c r="G19" s="211"/>
      <c r="H19" s="27"/>
      <c r="I19" s="101" t="s">
        <v>138</v>
      </c>
      <c r="J19" s="971"/>
      <c r="K19" s="972"/>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71"/>
      <c r="K20" s="972"/>
      <c r="L20" s="214" t="s">
        <v>168</v>
      </c>
      <c r="N20" s="27"/>
      <c r="O20" s="27"/>
      <c r="P20" s="27"/>
      <c r="Q20" s="102"/>
      <c r="R20" s="27"/>
      <c r="S20" s="27"/>
      <c r="T20" s="27"/>
      <c r="V20" s="197"/>
    </row>
    <row r="21" spans="1:25" ht="18" customHeight="1">
      <c r="A21" s="196"/>
      <c r="B21" s="196" t="s">
        <v>423</v>
      </c>
      <c r="C21" s="14"/>
      <c r="D21" s="14"/>
      <c r="E21" s="14"/>
      <c r="H21" s="27"/>
      <c r="I21" s="101" t="s">
        <v>138</v>
      </c>
      <c r="J21" s="950">
        <f>'CT-VT Burdens'!S22</f>
        <v>1.44186744</v>
      </c>
      <c r="K21" s="951"/>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648">
        <f>SUM(J18:J21)</f>
        <v>1.5418674400000001</v>
      </c>
      <c r="K22" s="649"/>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852</v>
      </c>
      <c r="D24" s="14"/>
      <c r="E24" s="14"/>
      <c r="F24" s="14"/>
      <c r="G24" s="14"/>
      <c r="H24" s="291"/>
      <c r="I24" s="120"/>
      <c r="J24" s="291"/>
      <c r="K24" s="291"/>
      <c r="L24" s="14"/>
      <c r="M24" s="14"/>
      <c r="N24" s="14"/>
      <c r="O24" s="14"/>
      <c r="P24" s="14"/>
      <c r="Q24" s="120" t="s">
        <v>853</v>
      </c>
      <c r="R24" s="102" t="s">
        <v>138</v>
      </c>
      <c r="S24" s="983">
        <f>'Parameters &amp; Fault Cal. (4)'!Q10 *1000</f>
        <v>40000</v>
      </c>
      <c r="T24" s="984"/>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638">
        <f>H10</f>
        <v>2500</v>
      </c>
      <c r="T25" s="638"/>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641">
        <f>S24/S25*O10</f>
        <v>16</v>
      </c>
      <c r="T26" s="641"/>
      <c r="U26" s="14" t="s">
        <v>9</v>
      </c>
      <c r="V26" s="197"/>
    </row>
    <row r="27" spans="1:25" ht="18" customHeight="1">
      <c r="A27" s="180"/>
      <c r="B27" s="5"/>
      <c r="C27" s="47" t="s">
        <v>856</v>
      </c>
      <c r="D27" s="14"/>
      <c r="E27" s="14"/>
      <c r="F27" s="18"/>
      <c r="G27" s="18"/>
      <c r="H27" s="291"/>
      <c r="I27" s="120"/>
      <c r="J27" s="291"/>
      <c r="K27" s="291"/>
      <c r="L27" s="14"/>
      <c r="M27" s="14"/>
      <c r="N27" s="14"/>
      <c r="O27" s="14"/>
      <c r="P27" s="14"/>
      <c r="Q27" s="120" t="s">
        <v>700</v>
      </c>
      <c r="R27" s="28" t="s">
        <v>138</v>
      </c>
      <c r="S27" s="641">
        <f>J22/O10*O10</f>
        <v>1.5418674400000001</v>
      </c>
      <c r="T27" s="641"/>
      <c r="U27" s="204" t="s">
        <v>344</v>
      </c>
      <c r="V27" s="197"/>
      <c r="X27" s="291"/>
      <c r="Y27" s="291"/>
    </row>
    <row r="28" spans="1:25" ht="18" customHeight="1">
      <c r="A28" s="180"/>
      <c r="B28" s="5"/>
      <c r="C28" s="47" t="s">
        <v>857</v>
      </c>
      <c r="Q28" s="120" t="s">
        <v>858</v>
      </c>
      <c r="R28" s="28" t="s">
        <v>138</v>
      </c>
      <c r="S28" s="983">
        <f>20*S25</f>
        <v>50000</v>
      </c>
      <c r="T28" s="984"/>
      <c r="U28" s="14" t="s">
        <v>9</v>
      </c>
      <c r="V28" s="197"/>
      <c r="X28" s="291"/>
      <c r="Y28" s="291"/>
    </row>
    <row r="29" spans="1:25" ht="18" customHeight="1">
      <c r="A29" s="311"/>
      <c r="B29" s="291"/>
      <c r="C29" s="47" t="s">
        <v>859</v>
      </c>
      <c r="Q29" s="256" t="s">
        <v>860</v>
      </c>
      <c r="R29" s="28" t="s">
        <v>138</v>
      </c>
      <c r="S29" s="637">
        <f>S28/S25</f>
        <v>20</v>
      </c>
      <c r="T29" s="637"/>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2" ht="18" customHeight="1">
      <c r="A33" s="205" t="s">
        <v>861</v>
      </c>
      <c r="H33" s="28"/>
      <c r="I33" s="28"/>
      <c r="J33" s="28"/>
      <c r="K33" s="28"/>
      <c r="T33" s="14"/>
      <c r="U33" s="14"/>
      <c r="V33" s="197"/>
    </row>
    <row r="34" spans="1:22" ht="18" customHeight="1">
      <c r="A34" s="205"/>
      <c r="H34" s="28"/>
      <c r="I34" s="28"/>
      <c r="J34" s="28"/>
      <c r="K34" s="28"/>
      <c r="T34" s="14"/>
      <c r="U34" s="14"/>
      <c r="V34" s="197"/>
    </row>
    <row r="35" spans="1:22" ht="18" customHeight="1">
      <c r="A35" s="196"/>
      <c r="B35" s="638" t="s">
        <v>484</v>
      </c>
      <c r="C35" s="638"/>
      <c r="D35" s="28" t="s">
        <v>862</v>
      </c>
      <c r="E35" s="28">
        <v>0.5</v>
      </c>
      <c r="F35" s="28" t="s">
        <v>326</v>
      </c>
      <c r="G35" s="638" t="s">
        <v>855</v>
      </c>
      <c r="H35" s="638"/>
      <c r="I35" s="28" t="s">
        <v>683</v>
      </c>
      <c r="J35" s="638" t="s">
        <v>431</v>
      </c>
      <c r="K35" s="638"/>
      <c r="L35" s="28" t="s">
        <v>358</v>
      </c>
      <c r="M35" s="638" t="s">
        <v>700</v>
      </c>
      <c r="N35" s="638"/>
      <c r="O35" s="14" t="s">
        <v>361</v>
      </c>
      <c r="P35" s="14"/>
      <c r="Q35" s="14"/>
      <c r="R35" s="14"/>
      <c r="T35" s="14"/>
      <c r="U35" s="14"/>
      <c r="V35" s="197"/>
    </row>
    <row r="36" spans="1:22" ht="18" customHeight="1">
      <c r="A36" s="196"/>
      <c r="B36" s="14"/>
      <c r="C36" s="14"/>
      <c r="D36" s="102" t="s">
        <v>138</v>
      </c>
      <c r="E36" s="28">
        <v>0.5</v>
      </c>
      <c r="F36" s="28" t="s">
        <v>326</v>
      </c>
      <c r="G36" s="641">
        <f>S26</f>
        <v>16</v>
      </c>
      <c r="H36" s="638"/>
      <c r="I36" s="28" t="s">
        <v>683</v>
      </c>
      <c r="J36" s="638">
        <f>H12</f>
        <v>5</v>
      </c>
      <c r="K36" s="638"/>
      <c r="L36" s="28" t="s">
        <v>358</v>
      </c>
      <c r="M36" s="641">
        <f>S27</f>
        <v>1.5418674400000001</v>
      </c>
      <c r="N36" s="638"/>
      <c r="O36" s="14" t="s">
        <v>361</v>
      </c>
      <c r="S36" s="14"/>
      <c r="T36" s="14"/>
      <c r="U36" s="14"/>
      <c r="V36" s="197"/>
    </row>
    <row r="37" spans="1:22" ht="18" customHeight="1">
      <c r="A37" s="196"/>
      <c r="B37" s="14"/>
      <c r="C37" s="14"/>
      <c r="D37" s="102" t="s">
        <v>138</v>
      </c>
      <c r="E37" s="641">
        <f>E36*G36*(J36+M36)</f>
        <v>52.334939519999999</v>
      </c>
      <c r="F37" s="641"/>
      <c r="G37" s="223"/>
      <c r="H37" s="230"/>
      <c r="I37" s="14"/>
      <c r="J37" s="14"/>
      <c r="K37" s="14"/>
      <c r="L37" s="14"/>
      <c r="M37" s="14"/>
      <c r="N37" s="14"/>
      <c r="O37" s="14"/>
      <c r="P37" s="14"/>
      <c r="Q37" s="14"/>
      <c r="R37" s="14"/>
      <c r="V37" s="197"/>
    </row>
    <row r="38" spans="1:22" ht="18" customHeight="1">
      <c r="A38" s="196"/>
      <c r="B38" s="14"/>
      <c r="C38" s="14"/>
      <c r="D38" s="28"/>
      <c r="E38" s="230"/>
      <c r="F38" s="230"/>
      <c r="G38" s="223"/>
      <c r="H38" s="230"/>
      <c r="I38" s="14"/>
      <c r="J38" s="14"/>
      <c r="K38" s="14"/>
      <c r="L38" s="14"/>
      <c r="M38" s="14"/>
      <c r="N38" s="14"/>
      <c r="O38" s="14"/>
      <c r="P38" s="14"/>
      <c r="Q38" s="14"/>
      <c r="R38" s="14"/>
      <c r="V38" s="197"/>
    </row>
    <row r="39" spans="1:22" ht="18" customHeight="1">
      <c r="A39" s="205" t="s">
        <v>863</v>
      </c>
      <c r="B39" s="14"/>
      <c r="C39" s="14"/>
      <c r="D39" s="28"/>
      <c r="E39" s="230"/>
      <c r="F39" s="230"/>
      <c r="G39" s="223"/>
      <c r="H39" s="230"/>
      <c r="I39" s="14"/>
      <c r="J39" s="14"/>
      <c r="K39" s="14"/>
      <c r="L39" s="14"/>
      <c r="M39" s="14"/>
      <c r="N39" s="14"/>
      <c r="O39" s="14"/>
      <c r="P39" s="14"/>
      <c r="Q39" s="14"/>
      <c r="R39" s="14"/>
      <c r="V39" s="197"/>
    </row>
    <row r="40" spans="1:22" ht="18" customHeight="1">
      <c r="A40" s="196"/>
      <c r="B40" s="14"/>
      <c r="C40" s="14"/>
      <c r="D40" s="28"/>
      <c r="E40" s="230"/>
      <c r="F40" s="230"/>
      <c r="G40" s="223"/>
      <c r="H40" s="230"/>
      <c r="I40" s="14"/>
      <c r="J40" s="14"/>
      <c r="K40" s="14"/>
      <c r="L40" s="14"/>
      <c r="M40" s="14"/>
      <c r="N40" s="14"/>
      <c r="O40" s="14"/>
      <c r="P40" s="14"/>
      <c r="Q40" s="14"/>
      <c r="R40" s="14"/>
      <c r="V40" s="197"/>
    </row>
    <row r="41" spans="1:22" ht="18" customHeight="1">
      <c r="A41" s="196"/>
      <c r="B41" s="638" t="s">
        <v>484</v>
      </c>
      <c r="C41" s="638"/>
      <c r="D41" s="28" t="s">
        <v>862</v>
      </c>
      <c r="E41" s="638" t="s">
        <v>860</v>
      </c>
      <c r="F41" s="638"/>
      <c r="G41" s="28" t="s">
        <v>683</v>
      </c>
      <c r="H41" s="638" t="s">
        <v>431</v>
      </c>
      <c r="I41" s="638"/>
      <c r="J41" s="28" t="s">
        <v>358</v>
      </c>
      <c r="K41" s="638" t="s">
        <v>700</v>
      </c>
      <c r="L41" s="638"/>
      <c r="M41" s="14" t="s">
        <v>361</v>
      </c>
      <c r="P41" s="14"/>
      <c r="Q41" s="14"/>
      <c r="R41" s="14"/>
      <c r="V41" s="197"/>
    </row>
    <row r="42" spans="1:22" ht="18" customHeight="1">
      <c r="A42" s="196"/>
      <c r="B42" s="14"/>
      <c r="C42" s="14"/>
      <c r="D42" s="102" t="s">
        <v>138</v>
      </c>
      <c r="E42" s="641">
        <f>S29</f>
        <v>20</v>
      </c>
      <c r="F42" s="638"/>
      <c r="G42" s="28" t="s">
        <v>683</v>
      </c>
      <c r="H42" s="638">
        <f>H12</f>
        <v>5</v>
      </c>
      <c r="I42" s="638"/>
      <c r="J42" s="28" t="s">
        <v>358</v>
      </c>
      <c r="K42" s="641">
        <f>S27</f>
        <v>1.5418674400000001</v>
      </c>
      <c r="L42" s="638"/>
      <c r="M42" s="14" t="s">
        <v>361</v>
      </c>
      <c r="N42" s="14"/>
      <c r="O42" s="14"/>
      <c r="P42" s="14"/>
      <c r="Q42" s="14"/>
      <c r="R42" s="14"/>
      <c r="V42" s="197"/>
    </row>
    <row r="43" spans="1:22" ht="18" customHeight="1">
      <c r="A43" s="196"/>
      <c r="B43" s="14"/>
      <c r="C43" s="14"/>
      <c r="D43" s="102" t="s">
        <v>138</v>
      </c>
      <c r="E43" s="641">
        <f>E42*(H42+K42)</f>
        <v>130.8373488</v>
      </c>
      <c r="F43" s="641"/>
      <c r="G43" s="223"/>
      <c r="H43" s="230"/>
      <c r="I43" s="14"/>
      <c r="J43" s="14"/>
      <c r="K43" s="14"/>
      <c r="L43" s="14"/>
      <c r="M43" s="14"/>
      <c r="N43" s="14"/>
      <c r="O43" s="14"/>
      <c r="P43" s="14"/>
      <c r="Q43" s="14"/>
      <c r="R43" s="14"/>
      <c r="V43" s="197"/>
    </row>
    <row r="44" spans="1:22" ht="18" customHeight="1">
      <c r="A44" s="196"/>
      <c r="B44" s="14"/>
      <c r="C44" s="14"/>
      <c r="D44" s="102"/>
      <c r="E44" s="230"/>
      <c r="F44" s="230"/>
      <c r="G44" s="223"/>
      <c r="H44" s="230"/>
      <c r="I44" s="14"/>
      <c r="J44" s="14"/>
      <c r="K44" s="14"/>
      <c r="L44" s="14"/>
      <c r="M44" s="14"/>
      <c r="N44" s="14"/>
      <c r="O44" s="14"/>
      <c r="P44" s="14"/>
      <c r="Q44" s="14"/>
      <c r="R44" s="14"/>
      <c r="V44" s="197"/>
    </row>
    <row r="45" spans="1:22" s="14"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2" s="14" customFormat="1" ht="18" customHeight="1">
      <c r="A46" s="141"/>
      <c r="B46" s="285"/>
      <c r="C46" s="285"/>
      <c r="D46" s="285"/>
      <c r="E46" s="285"/>
      <c r="F46" s="285"/>
      <c r="G46" s="285"/>
      <c r="H46" s="285"/>
      <c r="I46" s="285"/>
      <c r="J46" s="285"/>
      <c r="K46" s="285"/>
      <c r="L46" s="285"/>
      <c r="M46" s="285"/>
      <c r="N46" s="285"/>
      <c r="O46" s="285"/>
      <c r="P46" s="285"/>
      <c r="Q46" s="286"/>
      <c r="R46" s="145"/>
      <c r="S46" s="287"/>
      <c r="T46" s="285"/>
      <c r="U46" s="285"/>
      <c r="V46" s="288"/>
    </row>
    <row r="47" spans="1:22" ht="18" customHeight="1">
      <c r="A47" s="205" t="s">
        <v>864</v>
      </c>
      <c r="B47" s="209"/>
      <c r="C47" s="209"/>
      <c r="D47" s="209"/>
      <c r="E47" s="14"/>
      <c r="F47" s="14"/>
      <c r="G47" s="14"/>
      <c r="H47" s="14"/>
      <c r="I47" s="14"/>
      <c r="J47" s="14"/>
      <c r="K47" s="14"/>
      <c r="L47" s="14"/>
      <c r="M47" s="14"/>
      <c r="N47" s="14"/>
      <c r="O47" s="14"/>
      <c r="P47" s="27"/>
      <c r="Q47" s="28"/>
      <c r="T47" s="14"/>
      <c r="U47" s="14"/>
      <c r="V47" s="197"/>
    </row>
    <row r="48" spans="1:22" ht="18" customHeight="1">
      <c r="A48" s="205"/>
      <c r="B48" s="209"/>
      <c r="C48" s="209"/>
      <c r="D48" s="209"/>
      <c r="E48" s="14"/>
      <c r="F48" s="14"/>
      <c r="G48" s="14"/>
      <c r="H48" s="14"/>
      <c r="I48" s="14"/>
      <c r="J48" s="14"/>
      <c r="K48" s="14"/>
      <c r="L48" s="14"/>
      <c r="M48" s="14"/>
      <c r="N48" s="14"/>
      <c r="O48" s="14"/>
      <c r="P48" s="27"/>
      <c r="Q48" s="28"/>
      <c r="T48" s="14"/>
      <c r="U48" s="14"/>
      <c r="V48" s="197"/>
    </row>
    <row r="49" spans="1:22" ht="18" customHeight="1">
      <c r="A49" s="96"/>
      <c r="B49" s="209" t="s">
        <v>861</v>
      </c>
      <c r="C49" s="209"/>
      <c r="D49" s="14"/>
      <c r="E49" s="14"/>
      <c r="F49" s="14"/>
      <c r="G49" s="14"/>
      <c r="H49" s="14"/>
      <c r="I49" s="14"/>
      <c r="J49" s="14"/>
      <c r="K49" s="14"/>
      <c r="L49" s="14"/>
      <c r="M49" s="14"/>
      <c r="N49" s="14"/>
      <c r="O49" s="14"/>
      <c r="P49" s="14"/>
      <c r="Q49" s="14"/>
      <c r="R49" s="14"/>
      <c r="S49" s="14"/>
      <c r="T49" s="14"/>
      <c r="U49" s="14"/>
      <c r="V49" s="197"/>
    </row>
    <row r="50" spans="1:22" ht="18" customHeight="1">
      <c r="A50" s="96"/>
      <c r="B50" s="14"/>
      <c r="C50" s="14"/>
      <c r="D50" s="14"/>
      <c r="E50" s="14"/>
      <c r="F50" s="256" t="s">
        <v>486</v>
      </c>
      <c r="G50" s="28" t="str">
        <f>IF(E51&gt;H51, "&gt;","&lt;")</f>
        <v>&gt;</v>
      </c>
      <c r="H50" s="14" t="s">
        <v>488</v>
      </c>
      <c r="I50" s="14"/>
      <c r="J50" s="14"/>
      <c r="K50" s="14"/>
      <c r="L50" s="14" t="s">
        <v>865</v>
      </c>
      <c r="M50" s="14"/>
      <c r="N50" s="14"/>
      <c r="O50" s="14"/>
      <c r="P50" s="14"/>
      <c r="Q50" s="14"/>
      <c r="R50" s="14"/>
      <c r="S50" s="14"/>
      <c r="T50" s="14"/>
      <c r="U50" s="14"/>
      <c r="V50" s="197"/>
    </row>
    <row r="51" spans="1:22" ht="18" customHeight="1">
      <c r="A51" s="96"/>
      <c r="B51" s="14"/>
      <c r="C51" s="14"/>
      <c r="D51" s="14"/>
      <c r="E51" s="959">
        <f>H13</f>
        <v>750</v>
      </c>
      <c r="F51" s="959"/>
      <c r="G51" s="28" t="str">
        <f>G50</f>
        <v>&gt;</v>
      </c>
      <c r="H51" s="641">
        <f>E37</f>
        <v>52.334939519999999</v>
      </c>
      <c r="I51" s="641"/>
      <c r="J51" s="14"/>
      <c r="K51" s="14"/>
      <c r="L51" s="14"/>
      <c r="M51" s="14"/>
      <c r="N51" s="14"/>
      <c r="O51" s="14"/>
      <c r="P51" s="14"/>
      <c r="Q51" s="14"/>
      <c r="R51" s="14"/>
      <c r="S51" s="14"/>
      <c r="T51" s="14"/>
      <c r="U51" s="14"/>
      <c r="V51" s="197"/>
    </row>
    <row r="52" spans="1:22" ht="18" customHeight="1">
      <c r="A52" s="196"/>
      <c r="D52" s="223"/>
      <c r="E52" s="230"/>
      <c r="F52" s="211" t="s">
        <v>866</v>
      </c>
      <c r="G52" s="223"/>
      <c r="H52" s="293" t="s">
        <v>867</v>
      </c>
      <c r="J52" s="28" t="s">
        <v>868</v>
      </c>
      <c r="K52" s="18" t="str">
        <f>IF(G51="&gt;", "Satisfied", "Not Satisfied")</f>
        <v>Satisfied</v>
      </c>
      <c r="P52" s="14"/>
      <c r="Q52" s="14"/>
      <c r="R52" s="14"/>
      <c r="S52" s="14"/>
      <c r="T52" s="14"/>
      <c r="U52" s="14"/>
      <c r="V52" s="197"/>
    </row>
    <row r="53" spans="1:22" ht="18" customHeight="1">
      <c r="A53" s="96"/>
      <c r="B53" s="209" t="s">
        <v>863</v>
      </c>
      <c r="C53" s="209"/>
      <c r="D53" s="14"/>
      <c r="E53" s="14"/>
      <c r="F53" s="14"/>
      <c r="G53" s="14"/>
      <c r="H53" s="14"/>
      <c r="I53" s="14"/>
      <c r="J53" s="14"/>
      <c r="K53" s="14"/>
      <c r="L53" s="14"/>
      <c r="M53" s="14"/>
      <c r="N53" s="14"/>
      <c r="O53" s="14"/>
      <c r="P53" s="120"/>
      <c r="Q53" s="308"/>
      <c r="V53" s="197"/>
    </row>
    <row r="54" spans="1:22" ht="18" customHeight="1">
      <c r="A54" s="96"/>
      <c r="B54" s="14"/>
      <c r="C54" s="14"/>
      <c r="D54" s="14"/>
      <c r="E54" s="14"/>
      <c r="F54" s="256" t="s">
        <v>486</v>
      </c>
      <c r="G54" s="28" t="str">
        <f>IF(E55&gt;H55, "&gt;","&lt;")</f>
        <v>&gt;</v>
      </c>
      <c r="H54" s="14" t="s">
        <v>488</v>
      </c>
      <c r="I54" s="14"/>
      <c r="J54" s="14"/>
      <c r="K54" s="14"/>
      <c r="L54" s="14" t="s">
        <v>869</v>
      </c>
      <c r="M54" s="14"/>
      <c r="N54" s="14"/>
      <c r="O54" s="14"/>
      <c r="P54" s="313"/>
      <c r="Q54" s="474"/>
      <c r="V54" s="197"/>
    </row>
    <row r="55" spans="1:22" ht="18" customHeight="1">
      <c r="A55" s="96"/>
      <c r="B55" s="14"/>
      <c r="C55" s="14"/>
      <c r="D55" s="14"/>
      <c r="E55" s="959">
        <f>H13</f>
        <v>750</v>
      </c>
      <c r="F55" s="959"/>
      <c r="G55" s="28" t="str">
        <f>G54</f>
        <v>&gt;</v>
      </c>
      <c r="H55" s="641">
        <f>E43</f>
        <v>130.8373488</v>
      </c>
      <c r="I55" s="641"/>
      <c r="J55" s="14"/>
      <c r="K55" s="14"/>
      <c r="L55" s="14"/>
      <c r="M55" s="14"/>
      <c r="N55" s="14"/>
      <c r="O55" s="14"/>
      <c r="V55" s="197"/>
    </row>
    <row r="56" spans="1:22" ht="18" customHeight="1">
      <c r="A56" s="196"/>
      <c r="D56" s="223"/>
      <c r="E56" s="14"/>
      <c r="F56" s="211" t="s">
        <v>866</v>
      </c>
      <c r="G56" s="223"/>
      <c r="H56" s="293" t="s">
        <v>863</v>
      </c>
      <c r="J56" s="28" t="s">
        <v>868</v>
      </c>
      <c r="K56" s="18" t="str">
        <f>IF(G55="&gt;", "Satisfied", "Not Satisfied")</f>
        <v>Satisfied</v>
      </c>
      <c r="P56" s="244"/>
      <c r="Q56" s="244"/>
      <c r="R56" s="244"/>
      <c r="S56" s="244"/>
      <c r="T56" s="244"/>
      <c r="U56" s="244"/>
      <c r="V56" s="245"/>
    </row>
    <row r="57" spans="1:22" ht="18" customHeight="1">
      <c r="A57" s="196"/>
      <c r="H57" s="28"/>
      <c r="I57" s="28"/>
      <c r="J57" s="28"/>
      <c r="K57" s="28"/>
      <c r="L57" s="28"/>
      <c r="M57" s="28"/>
      <c r="N57" s="28"/>
      <c r="O57" s="28"/>
      <c r="P57" s="244"/>
      <c r="Q57" s="244"/>
      <c r="R57" s="244"/>
      <c r="S57" s="244"/>
      <c r="T57" s="244"/>
      <c r="U57" s="244"/>
      <c r="V57" s="245"/>
    </row>
    <row r="58" spans="1:22" ht="18" customHeight="1">
      <c r="A58" s="96"/>
      <c r="B58" s="14"/>
      <c r="C58" s="14"/>
      <c r="D58" s="14"/>
      <c r="E58" s="14"/>
      <c r="F58" s="256" t="s">
        <v>489</v>
      </c>
      <c r="G58" s="14"/>
      <c r="H58" s="18" t="str">
        <f>IF(AND(E51&gt;H51,E55&gt;H55),"Suitably Dimentioned","Under Dimentioned")</f>
        <v>Suitably Dimentioned</v>
      </c>
      <c r="I58" s="18"/>
      <c r="J58" s="18"/>
      <c r="K58" s="18"/>
      <c r="L58" s="18"/>
      <c r="M58" s="18"/>
      <c r="N58" s="14"/>
      <c r="O58" s="14"/>
      <c r="V58" s="197"/>
    </row>
    <row r="59" spans="1:22" ht="18" customHeight="1">
      <c r="A59" s="196"/>
      <c r="B59" s="27"/>
      <c r="C59" s="27"/>
      <c r="D59" s="27"/>
      <c r="E59" s="28"/>
      <c r="F59" s="27"/>
      <c r="G59" s="28"/>
      <c r="H59" s="27"/>
      <c r="I59" s="28"/>
      <c r="J59" s="27"/>
      <c r="K59" s="27"/>
      <c r="L59" s="27"/>
      <c r="M59" s="27"/>
      <c r="V59" s="197"/>
    </row>
    <row r="60" spans="1:22" ht="18" customHeight="1">
      <c r="A60" s="196"/>
      <c r="C60" s="27"/>
      <c r="D60" s="257"/>
      <c r="E60" s="233"/>
      <c r="F60" s="257"/>
      <c r="G60" s="234"/>
      <c r="H60" s="257"/>
      <c r="I60" s="257"/>
      <c r="J60" s="257"/>
      <c r="K60" s="257"/>
      <c r="L60" s="257"/>
      <c r="M60" s="27"/>
      <c r="V60" s="197"/>
    </row>
    <row r="61" spans="1:22" ht="18" customHeight="1">
      <c r="A61" s="196"/>
      <c r="C61" s="27"/>
      <c r="D61" s="216"/>
      <c r="E61" s="216"/>
      <c r="G61" s="18"/>
      <c r="V61" s="197"/>
    </row>
    <row r="62" spans="1:22" s="14" customFormat="1" ht="18" customHeight="1">
      <c r="A62" s="96"/>
      <c r="Q62" s="120"/>
      <c r="R62" s="28"/>
      <c r="S62" s="558"/>
      <c r="V62" s="394"/>
    </row>
    <row r="63" spans="1:22" s="14" customFormat="1" ht="18" customHeight="1">
      <c r="A63" s="96"/>
      <c r="Q63" s="120"/>
      <c r="R63" s="28"/>
      <c r="S63" s="558"/>
      <c r="V63" s="394"/>
    </row>
    <row r="64" spans="1:22" s="14" customFormat="1" ht="18" customHeight="1">
      <c r="A64" s="96"/>
      <c r="Q64" s="120"/>
      <c r="R64" s="28"/>
      <c r="S64" s="558"/>
      <c r="V64" s="394"/>
    </row>
    <row r="65" spans="1:22" s="14" customFormat="1" ht="18" customHeight="1">
      <c r="A65" s="96"/>
      <c r="Q65" s="120"/>
      <c r="R65" s="28"/>
      <c r="S65" s="558"/>
      <c r="V65" s="394"/>
    </row>
    <row r="66" spans="1:22" s="14" customFormat="1" ht="18" customHeight="1">
      <c r="A66" s="96"/>
      <c r="Q66" s="120"/>
      <c r="R66" s="28"/>
      <c r="S66" s="558"/>
      <c r="V66" s="394"/>
    </row>
    <row r="67" spans="1:22" s="14" customFormat="1" ht="18" customHeight="1">
      <c r="A67" s="96"/>
      <c r="Q67" s="120"/>
      <c r="R67" s="28"/>
      <c r="S67" s="558"/>
      <c r="V67" s="394"/>
    </row>
    <row r="68" spans="1:22" s="14" customFormat="1" ht="18" customHeight="1">
      <c r="A68" s="96"/>
      <c r="Q68" s="120"/>
      <c r="R68" s="28"/>
      <c r="S68" s="558"/>
      <c r="V68" s="394"/>
    </row>
    <row r="69" spans="1:22" s="14" customFormat="1" ht="18" customHeight="1">
      <c r="A69" s="96"/>
      <c r="Q69" s="120"/>
      <c r="R69" s="28"/>
      <c r="S69" s="558"/>
      <c r="V69" s="394"/>
    </row>
    <row r="70" spans="1:22" s="14" customFormat="1" ht="18" customHeight="1">
      <c r="A70" s="96"/>
      <c r="Q70" s="120"/>
      <c r="R70" s="28"/>
      <c r="S70" s="558"/>
      <c r="V70" s="394"/>
    </row>
    <row r="71" spans="1:22" s="14" customFormat="1" ht="18" customHeight="1">
      <c r="A71" s="96"/>
      <c r="Q71" s="120"/>
      <c r="R71" s="28"/>
      <c r="S71" s="558"/>
      <c r="V71" s="394"/>
    </row>
    <row r="72" spans="1:22" s="14" customFormat="1" ht="18" customHeight="1">
      <c r="A72" s="96"/>
      <c r="Q72" s="120"/>
      <c r="R72" s="28"/>
      <c r="S72" s="558"/>
      <c r="V72" s="394"/>
    </row>
    <row r="73" spans="1:22" s="14" customFormat="1" ht="18" customHeight="1">
      <c r="A73" s="96"/>
      <c r="Q73" s="120"/>
      <c r="R73" s="28"/>
      <c r="S73" s="558"/>
      <c r="V73" s="394"/>
    </row>
    <row r="74" spans="1:22" s="14" customFormat="1" ht="18" customHeight="1">
      <c r="A74" s="96"/>
      <c r="Q74" s="120"/>
      <c r="R74" s="28"/>
      <c r="S74" s="558"/>
      <c r="V74" s="394"/>
    </row>
    <row r="75" spans="1:22" s="14" customFormat="1" ht="18" customHeight="1">
      <c r="A75" s="96"/>
      <c r="Q75" s="120"/>
      <c r="R75" s="28"/>
      <c r="S75" s="558"/>
      <c r="V75" s="394"/>
    </row>
    <row r="76" spans="1:22" s="14" customFormat="1" ht="18" customHeight="1">
      <c r="A76" s="96"/>
      <c r="Q76" s="120"/>
      <c r="R76" s="28"/>
      <c r="S76" s="558"/>
      <c r="V76" s="394"/>
    </row>
    <row r="77" spans="1:22" s="14" customFormat="1" ht="18" customHeight="1">
      <c r="A77" s="96"/>
      <c r="Q77" s="120"/>
      <c r="R77" s="28"/>
      <c r="S77" s="558"/>
      <c r="V77" s="394"/>
    </row>
    <row r="78" spans="1:22" s="14" customFormat="1" ht="18" customHeight="1">
      <c r="A78" s="96"/>
      <c r="Q78" s="120"/>
      <c r="R78" s="28"/>
      <c r="S78" s="558"/>
      <c r="V78" s="394"/>
    </row>
    <row r="79" spans="1:22" s="14" customFormat="1" ht="18" customHeight="1">
      <c r="A79" s="96"/>
      <c r="Q79" s="120"/>
      <c r="R79" s="28"/>
      <c r="S79" s="558"/>
      <c r="V79" s="394"/>
    </row>
    <row r="80" spans="1:22" s="14" customFormat="1" ht="18" customHeight="1">
      <c r="A80" s="96"/>
      <c r="Q80" s="120"/>
      <c r="R80" s="28"/>
      <c r="S80" s="558"/>
      <c r="V80" s="394"/>
    </row>
    <row r="81" spans="1:23" s="14" customFormat="1" ht="18" customHeight="1">
      <c r="A81" s="96"/>
      <c r="Q81" s="120"/>
      <c r="R81" s="28"/>
      <c r="S81" s="558"/>
      <c r="V81" s="394"/>
    </row>
    <row r="82" spans="1:23" s="14" customFormat="1" ht="18" customHeight="1">
      <c r="A82" s="96"/>
      <c r="Q82" s="120"/>
      <c r="R82" s="28"/>
      <c r="S82" s="558"/>
      <c r="V82" s="394"/>
    </row>
    <row r="83" spans="1:23" s="14" customFormat="1" ht="18" customHeight="1">
      <c r="A83" s="96"/>
      <c r="Q83" s="120"/>
      <c r="R83" s="28"/>
      <c r="S83" s="558"/>
      <c r="V83" s="394"/>
    </row>
    <row r="84" spans="1:23" s="14" customFormat="1" ht="18" customHeight="1">
      <c r="A84" s="96"/>
      <c r="Q84" s="120"/>
      <c r="R84" s="28"/>
      <c r="S84" s="558"/>
      <c r="V84" s="394"/>
    </row>
    <row r="85" spans="1:23" s="14" customFormat="1"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3" ht="18" hidden="1" customHeight="1">
      <c r="A86" s="238"/>
      <c r="B86" s="239"/>
      <c r="C86" s="239"/>
      <c r="D86" s="239"/>
      <c r="E86" s="239"/>
      <c r="F86" s="239"/>
      <c r="G86" s="239"/>
      <c r="H86" s="239"/>
      <c r="I86" s="239"/>
      <c r="J86" s="239"/>
      <c r="K86" s="239"/>
      <c r="L86" s="239"/>
      <c r="M86" s="239"/>
      <c r="N86" s="239"/>
      <c r="O86" s="239"/>
      <c r="P86" s="239"/>
      <c r="Q86" s="239"/>
      <c r="R86" s="239"/>
      <c r="S86" s="239"/>
      <c r="T86" s="239"/>
      <c r="U86" s="239"/>
      <c r="V86" s="240"/>
    </row>
    <row r="87" spans="1:23" ht="18" hidden="1" customHeight="1">
      <c r="A87" s="196"/>
      <c r="B87" s="650" t="str">
        <f>B7</f>
        <v>T1</v>
      </c>
      <c r="C87" s="651"/>
      <c r="D87" s="650" t="str">
        <f>D7</f>
        <v>Core5</v>
      </c>
      <c r="E87" s="651"/>
      <c r="F87" s="468"/>
      <c r="H87" s="639" t="s">
        <v>722</v>
      </c>
      <c r="I87" s="639"/>
      <c r="J87" s="639"/>
      <c r="K87" s="639"/>
      <c r="L87" s="639"/>
      <c r="M87" s="639"/>
      <c r="P87" s="198"/>
      <c r="S87" s="199" t="s">
        <v>398</v>
      </c>
      <c r="T87" s="650" t="str">
        <f>T7</f>
        <v>P743</v>
      </c>
      <c r="U87" s="651"/>
      <c r="V87" s="197"/>
    </row>
    <row r="88" spans="1:23" ht="18" hidden="1" customHeight="1">
      <c r="A88" s="469"/>
      <c r="F88" s="468"/>
      <c r="T88" s="650">
        <f>T8</f>
        <v>0</v>
      </c>
      <c r="U88" s="651"/>
      <c r="V88" s="197"/>
    </row>
    <row r="89" spans="1:23" ht="18" hidden="1" customHeight="1">
      <c r="A89" s="196"/>
      <c r="H89" s="661" t="s">
        <v>401</v>
      </c>
      <c r="I89" s="661"/>
      <c r="J89" s="662" t="s">
        <v>402</v>
      </c>
      <c r="K89" s="662"/>
      <c r="L89" s="701" t="s">
        <v>403</v>
      </c>
      <c r="M89" s="701"/>
      <c r="T89" s="650">
        <f>T9</f>
        <v>0</v>
      </c>
      <c r="U89" s="651"/>
      <c r="V89" s="197"/>
    </row>
    <row r="90" spans="1:23" ht="18" hidden="1" customHeight="1">
      <c r="A90" s="196"/>
      <c r="B90" s="47" t="s">
        <v>404</v>
      </c>
      <c r="H90" s="650">
        <f>H10</f>
        <v>2500</v>
      </c>
      <c r="I90" s="651"/>
      <c r="J90" s="652" t="str">
        <f>J10</f>
        <v>-</v>
      </c>
      <c r="K90" s="653"/>
      <c r="L90" s="650" t="str">
        <f>L10</f>
        <v>-</v>
      </c>
      <c r="M90" s="651"/>
      <c r="N90" s="203" t="s">
        <v>353</v>
      </c>
      <c r="O90" s="268">
        <f>O10</f>
        <v>1</v>
      </c>
      <c r="P90" s="27" t="s">
        <v>9</v>
      </c>
      <c r="R90" s="267"/>
      <c r="S90" s="267"/>
      <c r="V90" s="197"/>
    </row>
    <row r="91" spans="1:23" ht="18" hidden="1" customHeight="1">
      <c r="A91" s="196"/>
      <c r="B91" s="47" t="s">
        <v>405</v>
      </c>
      <c r="J91" s="650" t="str">
        <f>H11</f>
        <v>PX-B</v>
      </c>
      <c r="K91" s="651"/>
      <c r="V91" s="197"/>
    </row>
    <row r="92" spans="1:23" ht="18" hidden="1" customHeight="1">
      <c r="A92" s="196"/>
      <c r="B92" s="47" t="s">
        <v>407</v>
      </c>
      <c r="I92" s="120" t="s">
        <v>508</v>
      </c>
      <c r="J92" s="981"/>
      <c r="K92" s="982"/>
      <c r="L92" s="204" t="s">
        <v>344</v>
      </c>
      <c r="V92" s="197"/>
    </row>
    <row r="93" spans="1:23" ht="18" hidden="1" customHeight="1">
      <c r="A93" s="196"/>
      <c r="B93" s="47" t="s">
        <v>409</v>
      </c>
      <c r="I93" s="120" t="s">
        <v>509</v>
      </c>
      <c r="J93" s="940"/>
      <c r="K93" s="941"/>
      <c r="L93" s="14" t="s">
        <v>316</v>
      </c>
      <c r="U93" s="18"/>
      <c r="V93" s="197"/>
      <c r="W93" s="30" t="str">
        <f>H142</f>
        <v>Under Dimentioned</v>
      </c>
    </row>
    <row r="94" spans="1:23" ht="18" hidden="1" customHeight="1">
      <c r="A94" s="196"/>
      <c r="B94" s="14" t="s">
        <v>412</v>
      </c>
      <c r="I94" s="120" t="s">
        <v>413</v>
      </c>
      <c r="J94" s="940"/>
      <c r="K94" s="941"/>
      <c r="L94" s="14" t="s">
        <v>414</v>
      </c>
      <c r="V94" s="197"/>
    </row>
    <row r="95" spans="1:23" ht="18" hidden="1" customHeight="1">
      <c r="A95" s="196"/>
      <c r="V95" s="197"/>
    </row>
    <row r="96" spans="1:23" ht="18" hidden="1" customHeight="1">
      <c r="A96" s="205" t="s">
        <v>415</v>
      </c>
      <c r="V96" s="197"/>
    </row>
    <row r="97" spans="1:22" ht="18" hidden="1" customHeight="1">
      <c r="A97" s="196"/>
      <c r="V97" s="197"/>
    </row>
    <row r="98" spans="1:22" ht="18" hidden="1" customHeight="1">
      <c r="A98" s="196"/>
      <c r="B98" s="141" t="s">
        <v>416</v>
      </c>
      <c r="C98" s="285"/>
      <c r="D98" s="146" t="str">
        <f>T87</f>
        <v>P743</v>
      </c>
      <c r="E98" s="239"/>
      <c r="F98" s="239"/>
      <c r="G98" s="239"/>
      <c r="H98" s="145"/>
      <c r="I98" s="272" t="s">
        <v>138</v>
      </c>
      <c r="J98" s="644">
        <f>J18</f>
        <v>0.1</v>
      </c>
      <c r="K98" s="648"/>
      <c r="L98" s="3" t="s">
        <v>168</v>
      </c>
      <c r="N98" s="209"/>
      <c r="V98" s="197"/>
    </row>
    <row r="99" spans="1:22" ht="18" hidden="1" customHeight="1">
      <c r="A99" s="196"/>
      <c r="B99" s="96" t="s">
        <v>416</v>
      </c>
      <c r="C99" s="14"/>
      <c r="D99" s="47">
        <f>T88</f>
        <v>0</v>
      </c>
      <c r="E99" s="14"/>
      <c r="G99" s="211"/>
      <c r="H99" s="27"/>
      <c r="I99" s="101" t="s">
        <v>138</v>
      </c>
      <c r="J99" s="644">
        <f>J19</f>
        <v>0</v>
      </c>
      <c r="K99" s="648"/>
      <c r="L99" s="214" t="s">
        <v>168</v>
      </c>
      <c r="N99" s="28"/>
      <c r="O99" s="27"/>
      <c r="P99" s="28"/>
      <c r="Q99" s="102"/>
      <c r="R99" s="28"/>
      <c r="S99" s="27"/>
      <c r="T99" s="28"/>
      <c r="V99" s="197"/>
    </row>
    <row r="100" spans="1:22" ht="18" hidden="1" customHeight="1">
      <c r="A100" s="196"/>
      <c r="B100" s="96" t="s">
        <v>416</v>
      </c>
      <c r="C100" s="14"/>
      <c r="D100" s="47">
        <f>T89</f>
        <v>0</v>
      </c>
      <c r="E100" s="14"/>
      <c r="G100" s="211"/>
      <c r="H100" s="27"/>
      <c r="I100" s="101" t="s">
        <v>138</v>
      </c>
      <c r="J100" s="644">
        <f>J20</f>
        <v>0</v>
      </c>
      <c r="K100" s="648"/>
      <c r="L100" s="214" t="s">
        <v>168</v>
      </c>
      <c r="N100" s="27"/>
      <c r="O100" s="27"/>
      <c r="P100" s="27"/>
      <c r="Q100" s="102"/>
      <c r="R100" s="27"/>
      <c r="S100" s="27"/>
      <c r="T100" s="27"/>
      <c r="V100" s="197"/>
    </row>
    <row r="101" spans="1:22" ht="18" hidden="1" customHeight="1">
      <c r="A101" s="196"/>
      <c r="B101" s="196" t="s">
        <v>423</v>
      </c>
      <c r="C101" s="14"/>
      <c r="D101" s="14"/>
      <c r="E101" s="14"/>
      <c r="H101" s="27"/>
      <c r="I101" s="101" t="s">
        <v>138</v>
      </c>
      <c r="J101" s="644">
        <f>J21</f>
        <v>1.44186744</v>
      </c>
      <c r="K101" s="648"/>
      <c r="L101" s="309" t="s">
        <v>168</v>
      </c>
      <c r="N101" s="27"/>
      <c r="O101" s="27"/>
      <c r="P101" s="216"/>
      <c r="R101" s="204"/>
      <c r="S101" s="27"/>
      <c r="T101" s="27"/>
      <c r="V101" s="197"/>
    </row>
    <row r="102" spans="1:22" ht="18" hidden="1" customHeight="1">
      <c r="A102" s="196"/>
      <c r="B102" s="1" t="s">
        <v>424</v>
      </c>
      <c r="C102" s="2"/>
      <c r="D102" s="2"/>
      <c r="E102" s="2"/>
      <c r="F102" s="208"/>
      <c r="G102" s="208"/>
      <c r="H102" s="236" t="s">
        <v>523</v>
      </c>
      <c r="I102" s="195" t="s">
        <v>138</v>
      </c>
      <c r="J102" s="648">
        <f>SUM(J98:J101)</f>
        <v>1.5418674400000001</v>
      </c>
      <c r="K102" s="649"/>
      <c r="L102" s="3" t="s">
        <v>168</v>
      </c>
      <c r="V102" s="197"/>
    </row>
    <row r="103" spans="1:22" ht="18" hidden="1" customHeight="1">
      <c r="A103" s="196"/>
      <c r="B103" s="47"/>
      <c r="C103" s="47"/>
      <c r="D103" s="47"/>
      <c r="E103" s="47"/>
      <c r="H103" s="27"/>
      <c r="I103" s="28"/>
      <c r="J103" s="211"/>
      <c r="L103" s="47"/>
      <c r="O103" s="27"/>
      <c r="P103" s="223"/>
      <c r="Q103" s="27"/>
      <c r="R103" s="216"/>
      <c r="S103" s="27"/>
      <c r="V103" s="197"/>
    </row>
    <row r="104" spans="1:22" ht="18" hidden="1" customHeight="1">
      <c r="A104" s="180"/>
      <c r="B104" s="5"/>
      <c r="C104" s="47" t="s">
        <v>852</v>
      </c>
      <c r="D104" s="14"/>
      <c r="E104" s="14"/>
      <c r="F104" s="14"/>
      <c r="G104" s="14"/>
      <c r="H104" s="291"/>
      <c r="I104" s="120"/>
      <c r="J104" s="291"/>
      <c r="K104" s="291"/>
      <c r="L104" s="14"/>
      <c r="M104" s="14"/>
      <c r="N104" s="14"/>
      <c r="O104" s="14"/>
      <c r="P104" s="14"/>
      <c r="Q104" s="120" t="s">
        <v>853</v>
      </c>
      <c r="R104" s="102" t="s">
        <v>138</v>
      </c>
      <c r="S104" s="650">
        <f>S24</f>
        <v>40000</v>
      </c>
      <c r="T104" s="651"/>
      <c r="U104" s="47" t="s">
        <v>9</v>
      </c>
      <c r="V104" s="197"/>
    </row>
    <row r="105" spans="1:22" ht="18" hidden="1" customHeight="1">
      <c r="A105" s="180"/>
      <c r="B105" s="5"/>
      <c r="C105" s="47" t="s">
        <v>665</v>
      </c>
      <c r="D105" s="14"/>
      <c r="E105" s="14"/>
      <c r="F105" s="18"/>
      <c r="G105" s="18"/>
      <c r="H105" s="291"/>
      <c r="I105" s="120"/>
      <c r="J105" s="291"/>
      <c r="K105" s="291"/>
      <c r="L105" s="14"/>
      <c r="M105" s="14"/>
      <c r="N105" s="14"/>
      <c r="O105" s="14"/>
      <c r="P105" s="14"/>
      <c r="Q105" s="120" t="s">
        <v>434</v>
      </c>
      <c r="R105" s="102" t="s">
        <v>138</v>
      </c>
      <c r="S105" s="638">
        <f>H90</f>
        <v>2500</v>
      </c>
      <c r="T105" s="638"/>
      <c r="U105" s="14" t="s">
        <v>9</v>
      </c>
      <c r="V105" s="197"/>
    </row>
    <row r="106" spans="1:22" ht="18" hidden="1" customHeight="1">
      <c r="A106" s="180"/>
      <c r="B106" s="5"/>
      <c r="C106" s="47" t="s">
        <v>854</v>
      </c>
      <c r="E106" s="14"/>
      <c r="F106" s="18"/>
      <c r="G106" s="18"/>
      <c r="H106" s="291"/>
      <c r="I106" s="120"/>
      <c r="J106" s="291"/>
      <c r="K106" s="291"/>
      <c r="L106" s="14"/>
      <c r="M106" s="14"/>
      <c r="N106" s="14"/>
      <c r="O106" s="14"/>
      <c r="P106" s="14"/>
      <c r="Q106" s="120" t="s">
        <v>855</v>
      </c>
      <c r="R106" s="28" t="s">
        <v>138</v>
      </c>
      <c r="S106" s="641">
        <f>S104/S105*O90</f>
        <v>16</v>
      </c>
      <c r="T106" s="641"/>
      <c r="U106" s="14" t="s">
        <v>9</v>
      </c>
      <c r="V106" s="197"/>
    </row>
    <row r="107" spans="1:22" ht="18" hidden="1" customHeight="1">
      <c r="A107" s="180"/>
      <c r="B107" s="5"/>
      <c r="C107" s="47" t="s">
        <v>856</v>
      </c>
      <c r="D107" s="14"/>
      <c r="E107" s="14"/>
      <c r="F107" s="18"/>
      <c r="G107" s="18"/>
      <c r="H107" s="291"/>
      <c r="I107" s="120"/>
      <c r="J107" s="291"/>
      <c r="K107" s="291"/>
      <c r="L107" s="14"/>
      <c r="M107" s="14"/>
      <c r="N107" s="14"/>
      <c r="O107" s="14"/>
      <c r="P107" s="14"/>
      <c r="Q107" s="120" t="s">
        <v>700</v>
      </c>
      <c r="R107" s="28" t="s">
        <v>138</v>
      </c>
      <c r="S107" s="641">
        <f>J102/O90*O90</f>
        <v>1.5418674400000001</v>
      </c>
      <c r="T107" s="641"/>
      <c r="U107" s="204" t="s">
        <v>344</v>
      </c>
      <c r="V107" s="197"/>
    </row>
    <row r="108" spans="1:22" ht="18" hidden="1" customHeight="1">
      <c r="A108" s="180"/>
      <c r="B108" s="5"/>
      <c r="C108" s="47" t="s">
        <v>857</v>
      </c>
      <c r="Q108" s="120" t="s">
        <v>858</v>
      </c>
      <c r="R108" s="28" t="s">
        <v>138</v>
      </c>
      <c r="S108" s="650">
        <f>S28</f>
        <v>50000</v>
      </c>
      <c r="T108" s="651"/>
      <c r="U108" s="14" t="s">
        <v>9</v>
      </c>
      <c r="V108" s="197"/>
    </row>
    <row r="109" spans="1:22" ht="18" hidden="1" customHeight="1">
      <c r="A109" s="311"/>
      <c r="B109" s="291"/>
      <c r="C109" s="47" t="s">
        <v>859</v>
      </c>
      <c r="Q109" s="256" t="s">
        <v>860</v>
      </c>
      <c r="R109" s="28" t="s">
        <v>138</v>
      </c>
      <c r="S109" s="637">
        <f>S108/S105</f>
        <v>20</v>
      </c>
      <c r="T109" s="637"/>
      <c r="U109" s="14" t="s">
        <v>9</v>
      </c>
      <c r="V109" s="312"/>
    </row>
    <row r="110" spans="1:22" ht="18" hidden="1" customHeight="1">
      <c r="A110" s="96"/>
      <c r="B110" s="14"/>
      <c r="C110" s="14"/>
      <c r="D110" s="14"/>
      <c r="E110" s="14"/>
      <c r="F110" s="14"/>
      <c r="G110" s="14"/>
      <c r="H110" s="14"/>
      <c r="I110" s="14"/>
      <c r="J110" s="14"/>
      <c r="K110" s="14"/>
      <c r="L110" s="14"/>
      <c r="M110" s="14"/>
      <c r="N110" s="14"/>
      <c r="O110" s="14"/>
      <c r="P110" s="28"/>
      <c r="Q110" s="120"/>
      <c r="R110" s="14"/>
      <c r="S110" s="14"/>
      <c r="T110" s="14"/>
      <c r="U110" s="14"/>
      <c r="V110" s="197"/>
    </row>
    <row r="111" spans="1:22" ht="18" hidden="1" customHeight="1">
      <c r="A111" s="205" t="s">
        <v>766</v>
      </c>
      <c r="B111" s="14"/>
      <c r="C111" s="14"/>
      <c r="D111" s="14"/>
      <c r="E111" s="14"/>
      <c r="F111" s="14"/>
      <c r="G111" s="14"/>
      <c r="H111" s="14"/>
      <c r="K111" s="14"/>
      <c r="T111" s="14"/>
      <c r="U111" s="14"/>
      <c r="V111" s="197"/>
    </row>
    <row r="112" spans="1:22" ht="18" hidden="1" customHeight="1">
      <c r="A112" s="96"/>
      <c r="B112" s="14"/>
      <c r="C112" s="14"/>
      <c r="D112" s="14"/>
      <c r="E112" s="14"/>
      <c r="F112" s="14"/>
      <c r="G112" s="14"/>
      <c r="H112" s="14"/>
      <c r="K112" s="14"/>
      <c r="T112" s="14"/>
      <c r="U112" s="14"/>
      <c r="V112" s="197"/>
    </row>
    <row r="113" spans="1:22" ht="18" hidden="1" customHeight="1">
      <c r="A113" s="205" t="s">
        <v>861</v>
      </c>
      <c r="H113" s="28"/>
      <c r="I113" s="28"/>
      <c r="J113" s="28"/>
      <c r="K113" s="28"/>
      <c r="T113" s="14"/>
      <c r="U113" s="14"/>
      <c r="V113" s="197"/>
    </row>
    <row r="114" spans="1:22" ht="18" hidden="1" customHeight="1">
      <c r="A114" s="205"/>
      <c r="H114" s="28"/>
      <c r="I114" s="28"/>
      <c r="J114" s="28"/>
      <c r="K114" s="28"/>
      <c r="T114" s="14"/>
      <c r="U114" s="14"/>
      <c r="V114" s="197"/>
    </row>
    <row r="115" spans="1:22" ht="18" hidden="1" customHeight="1">
      <c r="A115" s="196"/>
      <c r="B115" s="638" t="s">
        <v>484</v>
      </c>
      <c r="C115" s="638"/>
      <c r="D115" s="28" t="s">
        <v>862</v>
      </c>
      <c r="E115" s="28">
        <v>0.5</v>
      </c>
      <c r="F115" s="28" t="s">
        <v>326</v>
      </c>
      <c r="G115" s="638" t="s">
        <v>855</v>
      </c>
      <c r="H115" s="638"/>
      <c r="I115" s="28" t="s">
        <v>683</v>
      </c>
      <c r="J115" s="638" t="s">
        <v>431</v>
      </c>
      <c r="K115" s="638"/>
      <c r="L115" s="28" t="s">
        <v>358</v>
      </c>
      <c r="M115" s="638" t="s">
        <v>700</v>
      </c>
      <c r="N115" s="638"/>
      <c r="O115" s="14" t="s">
        <v>361</v>
      </c>
      <c r="P115" s="14"/>
      <c r="Q115" s="14"/>
      <c r="R115" s="14"/>
      <c r="T115" s="14"/>
      <c r="U115" s="14"/>
      <c r="V115" s="197"/>
    </row>
    <row r="116" spans="1:22" ht="18" hidden="1" customHeight="1">
      <c r="A116" s="196"/>
      <c r="B116" s="14"/>
      <c r="C116" s="14"/>
      <c r="D116" s="102" t="s">
        <v>138</v>
      </c>
      <c r="E116" s="28">
        <v>0.5</v>
      </c>
      <c r="F116" s="28" t="s">
        <v>326</v>
      </c>
      <c r="G116" s="641">
        <f>S106</f>
        <v>16</v>
      </c>
      <c r="H116" s="638"/>
      <c r="I116" s="28" t="s">
        <v>683</v>
      </c>
      <c r="J116" s="638">
        <f>J92</f>
        <v>0</v>
      </c>
      <c r="K116" s="638"/>
      <c r="L116" s="28" t="s">
        <v>358</v>
      </c>
      <c r="M116" s="641">
        <f>S107</f>
        <v>1.5418674400000001</v>
      </c>
      <c r="N116" s="638"/>
      <c r="O116" s="14" t="s">
        <v>361</v>
      </c>
      <c r="S116" s="14"/>
      <c r="T116" s="14"/>
      <c r="U116" s="14"/>
      <c r="V116" s="197"/>
    </row>
    <row r="117" spans="1:22" ht="18" hidden="1" customHeight="1">
      <c r="A117" s="196"/>
      <c r="B117" s="14"/>
      <c r="C117" s="14"/>
      <c r="D117" s="102" t="s">
        <v>138</v>
      </c>
      <c r="E117" s="641">
        <f>E116*G116*(J116+M116)</f>
        <v>12.334939520000001</v>
      </c>
      <c r="F117" s="641"/>
      <c r="G117" s="223"/>
      <c r="H117" s="230"/>
      <c r="I117" s="14"/>
      <c r="J117" s="14"/>
      <c r="K117" s="14"/>
      <c r="L117" s="14"/>
      <c r="M117" s="14"/>
      <c r="N117" s="14"/>
      <c r="O117" s="14"/>
      <c r="P117" s="14"/>
      <c r="Q117" s="14"/>
      <c r="R117" s="14"/>
      <c r="V117" s="197"/>
    </row>
    <row r="118" spans="1:22" ht="18" hidden="1" customHeight="1">
      <c r="A118" s="196"/>
      <c r="B118" s="14"/>
      <c r="C118" s="14"/>
      <c r="D118" s="28"/>
      <c r="E118" s="230"/>
      <c r="F118" s="230"/>
      <c r="G118" s="223"/>
      <c r="H118" s="230"/>
      <c r="I118" s="14"/>
      <c r="J118" s="14"/>
      <c r="K118" s="14"/>
      <c r="L118" s="14"/>
      <c r="M118" s="14"/>
      <c r="N118" s="14"/>
      <c r="O118" s="14"/>
      <c r="P118" s="14"/>
      <c r="Q118" s="14"/>
      <c r="R118" s="14"/>
      <c r="V118" s="197"/>
    </row>
    <row r="119" spans="1:22" ht="18" hidden="1" customHeight="1">
      <c r="A119" s="205" t="s">
        <v>863</v>
      </c>
      <c r="B119" s="14"/>
      <c r="C119" s="14"/>
      <c r="D119" s="28"/>
      <c r="E119" s="230"/>
      <c r="F119" s="230"/>
      <c r="G119" s="223"/>
      <c r="H119" s="230"/>
      <c r="I119" s="14"/>
      <c r="J119" s="14"/>
      <c r="K119" s="14"/>
      <c r="L119" s="14"/>
      <c r="M119" s="14"/>
      <c r="N119" s="14"/>
      <c r="O119" s="14"/>
      <c r="P119" s="14"/>
      <c r="Q119" s="14"/>
      <c r="R119" s="14"/>
      <c r="V119" s="197"/>
    </row>
    <row r="120" spans="1:22" ht="18" hidden="1" customHeight="1">
      <c r="A120" s="196"/>
      <c r="B120" s="14"/>
      <c r="C120" s="14"/>
      <c r="D120" s="28"/>
      <c r="E120" s="230"/>
      <c r="F120" s="230"/>
      <c r="G120" s="223"/>
      <c r="H120" s="230"/>
      <c r="I120" s="14"/>
      <c r="J120" s="14"/>
      <c r="K120" s="14"/>
      <c r="L120" s="14"/>
      <c r="M120" s="14"/>
      <c r="N120" s="14"/>
      <c r="O120" s="14"/>
      <c r="P120" s="14"/>
      <c r="Q120" s="14"/>
      <c r="R120" s="14"/>
      <c r="V120" s="197"/>
    </row>
    <row r="121" spans="1:22" ht="18" hidden="1" customHeight="1">
      <c r="A121" s="196"/>
      <c r="B121" s="638" t="s">
        <v>484</v>
      </c>
      <c r="C121" s="638"/>
      <c r="D121" s="28" t="s">
        <v>862</v>
      </c>
      <c r="E121" s="638" t="s">
        <v>860</v>
      </c>
      <c r="F121" s="638"/>
      <c r="G121" s="28" t="s">
        <v>683</v>
      </c>
      <c r="H121" s="638" t="s">
        <v>431</v>
      </c>
      <c r="I121" s="638"/>
      <c r="J121" s="28" t="s">
        <v>358</v>
      </c>
      <c r="K121" s="638" t="s">
        <v>700</v>
      </c>
      <c r="L121" s="638"/>
      <c r="M121" s="14" t="s">
        <v>361</v>
      </c>
      <c r="P121" s="14"/>
      <c r="Q121" s="14"/>
      <c r="R121" s="14"/>
      <c r="V121" s="197"/>
    </row>
    <row r="122" spans="1:22" ht="18" hidden="1" customHeight="1">
      <c r="A122" s="196"/>
      <c r="B122" s="14"/>
      <c r="C122" s="14"/>
      <c r="D122" s="102" t="s">
        <v>138</v>
      </c>
      <c r="E122" s="641">
        <f>S109</f>
        <v>20</v>
      </c>
      <c r="F122" s="638"/>
      <c r="G122" s="28" t="s">
        <v>683</v>
      </c>
      <c r="H122" s="638">
        <f>J92</f>
        <v>0</v>
      </c>
      <c r="I122" s="638"/>
      <c r="J122" s="28" t="s">
        <v>358</v>
      </c>
      <c r="K122" s="641">
        <f>S107</f>
        <v>1.5418674400000001</v>
      </c>
      <c r="L122" s="638"/>
      <c r="M122" s="14" t="s">
        <v>361</v>
      </c>
      <c r="N122" s="14"/>
      <c r="O122" s="14"/>
      <c r="P122" s="14"/>
      <c r="Q122" s="14"/>
      <c r="R122" s="14"/>
      <c r="V122" s="197"/>
    </row>
    <row r="123" spans="1:22" ht="18" hidden="1" customHeight="1">
      <c r="A123" s="196"/>
      <c r="B123" s="14"/>
      <c r="C123" s="14"/>
      <c r="D123" s="102" t="s">
        <v>138</v>
      </c>
      <c r="E123" s="641">
        <f>E122*(H122+K122)</f>
        <v>30.837348800000001</v>
      </c>
      <c r="F123" s="641"/>
      <c r="G123" s="223"/>
      <c r="H123" s="230"/>
      <c r="I123" s="14"/>
      <c r="J123" s="14"/>
      <c r="K123" s="14"/>
      <c r="L123" s="14"/>
      <c r="M123" s="14"/>
      <c r="N123" s="14"/>
      <c r="O123" s="14"/>
      <c r="P123" s="14"/>
      <c r="Q123" s="14"/>
      <c r="R123" s="14"/>
      <c r="V123" s="197"/>
    </row>
    <row r="124" spans="1:22" ht="18" hidden="1" customHeight="1">
      <c r="A124" s="196"/>
      <c r="B124" s="14"/>
      <c r="C124" s="14"/>
      <c r="D124" s="102"/>
      <c r="E124" s="230"/>
      <c r="F124" s="230"/>
      <c r="G124" s="223"/>
      <c r="H124" s="230"/>
      <c r="I124" s="14"/>
      <c r="J124" s="14"/>
      <c r="K124" s="14"/>
      <c r="L124" s="14"/>
      <c r="M124" s="14"/>
      <c r="N124" s="14"/>
      <c r="O124" s="14"/>
      <c r="P124" s="14"/>
      <c r="Q124" s="14"/>
      <c r="R124" s="14"/>
      <c r="V124" s="197"/>
    </row>
    <row r="125" spans="1:22" ht="18" hidden="1" customHeight="1">
      <c r="A125" s="196"/>
      <c r="B125" s="14"/>
      <c r="C125" s="14"/>
      <c r="D125" s="102"/>
      <c r="E125" s="230"/>
      <c r="F125" s="230"/>
      <c r="G125" s="223"/>
      <c r="H125" s="230"/>
      <c r="I125" s="14"/>
      <c r="J125" s="14"/>
      <c r="K125" s="14"/>
      <c r="L125" s="14"/>
      <c r="M125" s="14"/>
      <c r="N125" s="14"/>
      <c r="O125" s="14"/>
      <c r="P125" s="14"/>
      <c r="Q125" s="14"/>
      <c r="R125" s="14"/>
      <c r="V125" s="197"/>
    </row>
    <row r="126" spans="1:22" ht="18" hidden="1" customHeight="1">
      <c r="A126" s="196"/>
      <c r="B126" s="14"/>
      <c r="C126" s="14"/>
      <c r="D126" s="102"/>
      <c r="E126" s="230"/>
      <c r="F126" s="230"/>
      <c r="G126" s="223"/>
      <c r="H126" s="230"/>
      <c r="I126" s="14"/>
      <c r="J126" s="14"/>
      <c r="K126" s="14"/>
      <c r="L126" s="14"/>
      <c r="M126" s="14"/>
      <c r="N126" s="14"/>
      <c r="O126" s="14"/>
      <c r="P126" s="14"/>
      <c r="Q126" s="14"/>
      <c r="R126" s="14"/>
      <c r="V126" s="197"/>
    </row>
    <row r="127" spans="1:22" ht="18" hidden="1" customHeight="1">
      <c r="A127" s="196"/>
      <c r="G127" s="223"/>
      <c r="H127" s="230"/>
      <c r="J127" s="28"/>
      <c r="K127" s="28"/>
      <c r="L127" s="28"/>
      <c r="M127" s="28"/>
      <c r="N127" s="28"/>
      <c r="O127" s="28"/>
      <c r="P127" s="28"/>
      <c r="Q127" s="28"/>
      <c r="R127" s="28"/>
      <c r="V127" s="197"/>
    </row>
    <row r="128" spans="1:22" ht="18" hidden="1" customHeight="1">
      <c r="A128" s="196"/>
      <c r="V128" s="197"/>
    </row>
    <row r="129" spans="1:22" ht="18" hidden="1" customHeight="1">
      <c r="A129" s="206"/>
      <c r="B129" s="207"/>
      <c r="C129" s="207"/>
      <c r="D129" s="207"/>
      <c r="E129" s="207"/>
      <c r="F129" s="207"/>
      <c r="G129" s="207"/>
      <c r="H129" s="207"/>
      <c r="I129" s="207"/>
      <c r="J129" s="207"/>
      <c r="K129" s="207"/>
      <c r="L129" s="207"/>
      <c r="M129" s="207"/>
      <c r="N129" s="207"/>
      <c r="O129" s="207"/>
      <c r="P129" s="207"/>
      <c r="Q129" s="236"/>
      <c r="R129" s="194"/>
      <c r="S129" s="237"/>
      <c r="T129" s="207"/>
      <c r="U129" s="207"/>
      <c r="V129" s="140"/>
    </row>
    <row r="130" spans="1:22" ht="18" hidden="1" customHeight="1">
      <c r="A130" s="141"/>
      <c r="B130" s="285"/>
      <c r="C130" s="285"/>
      <c r="D130" s="285"/>
      <c r="E130" s="285"/>
      <c r="F130" s="285"/>
      <c r="G130" s="285"/>
      <c r="H130" s="285"/>
      <c r="I130" s="285"/>
      <c r="J130" s="285"/>
      <c r="K130" s="285"/>
      <c r="L130" s="285"/>
      <c r="M130" s="285"/>
      <c r="N130" s="285"/>
      <c r="O130" s="285"/>
      <c r="P130" s="285"/>
      <c r="Q130" s="286"/>
      <c r="R130" s="145"/>
      <c r="S130" s="287"/>
      <c r="T130" s="285"/>
      <c r="U130" s="285"/>
      <c r="V130" s="288"/>
    </row>
    <row r="131" spans="1:22" ht="18" hidden="1" customHeight="1">
      <c r="A131" s="205" t="s">
        <v>864</v>
      </c>
      <c r="B131" s="209"/>
      <c r="C131" s="209"/>
      <c r="D131" s="209"/>
      <c r="E131" s="14"/>
      <c r="F131" s="14"/>
      <c r="G131" s="14"/>
      <c r="H131" s="14"/>
      <c r="I131" s="14"/>
      <c r="J131" s="14"/>
      <c r="K131" s="14"/>
      <c r="L131" s="14"/>
      <c r="M131" s="14"/>
      <c r="N131" s="14"/>
      <c r="O131" s="14"/>
      <c r="P131" s="27"/>
      <c r="Q131" s="28"/>
      <c r="T131" s="14"/>
      <c r="U131" s="14"/>
      <c r="V131" s="197"/>
    </row>
    <row r="132" spans="1:22" ht="18" hidden="1" customHeight="1">
      <c r="A132" s="205"/>
      <c r="B132" s="209"/>
      <c r="C132" s="209"/>
      <c r="D132" s="209"/>
      <c r="E132" s="14"/>
      <c r="F132" s="14"/>
      <c r="G132" s="14"/>
      <c r="H132" s="14"/>
      <c r="I132" s="14"/>
      <c r="J132" s="14"/>
      <c r="K132" s="14"/>
      <c r="L132" s="14"/>
      <c r="M132" s="14"/>
      <c r="N132" s="14"/>
      <c r="O132" s="14"/>
      <c r="P132" s="27"/>
      <c r="Q132" s="28"/>
      <c r="T132" s="14"/>
      <c r="U132" s="14"/>
      <c r="V132" s="197"/>
    </row>
    <row r="133" spans="1:22" ht="18" hidden="1" customHeight="1">
      <c r="A133" s="96"/>
      <c r="B133" s="209" t="s">
        <v>861</v>
      </c>
      <c r="C133" s="209"/>
      <c r="D133" s="14"/>
      <c r="E133" s="14"/>
      <c r="F133" s="14"/>
      <c r="G133" s="14"/>
      <c r="H133" s="14"/>
      <c r="I133" s="14"/>
      <c r="J133" s="14"/>
      <c r="K133" s="14"/>
      <c r="L133" s="14"/>
      <c r="M133" s="14"/>
      <c r="N133" s="14"/>
      <c r="O133" s="14"/>
      <c r="P133" s="14"/>
      <c r="Q133" s="14"/>
      <c r="R133" s="14"/>
      <c r="S133" s="14"/>
      <c r="T133" s="14"/>
      <c r="U133" s="14"/>
      <c r="V133" s="197"/>
    </row>
    <row r="134" spans="1:22" ht="18" hidden="1" customHeight="1">
      <c r="A134" s="96"/>
      <c r="B134" s="14"/>
      <c r="C134" s="14"/>
      <c r="D134" s="14"/>
      <c r="E134" s="14"/>
      <c r="F134" s="256" t="s">
        <v>486</v>
      </c>
      <c r="G134" s="28" t="str">
        <f>IF(E135&gt;H135, "&gt;","&lt;")</f>
        <v>&lt;</v>
      </c>
      <c r="H134" s="14" t="s">
        <v>488</v>
      </c>
      <c r="I134" s="14"/>
      <c r="J134" s="14"/>
      <c r="K134" s="14"/>
      <c r="L134" s="14" t="s">
        <v>865</v>
      </c>
      <c r="M134" s="14"/>
      <c r="N134" s="14"/>
      <c r="O134" s="14"/>
      <c r="P134" s="14"/>
      <c r="Q134" s="14"/>
      <c r="R134" s="14"/>
      <c r="S134" s="14"/>
      <c r="T134" s="14"/>
      <c r="U134" s="14"/>
      <c r="V134" s="197"/>
    </row>
    <row r="135" spans="1:22" ht="18" hidden="1" customHeight="1">
      <c r="A135" s="96"/>
      <c r="B135" s="14"/>
      <c r="C135" s="14"/>
      <c r="D135" s="14"/>
      <c r="E135" s="959">
        <f>J93</f>
        <v>0</v>
      </c>
      <c r="F135" s="959"/>
      <c r="G135" s="28" t="str">
        <f>G134</f>
        <v>&lt;</v>
      </c>
      <c r="H135" s="641">
        <f>E117</f>
        <v>12.334939520000001</v>
      </c>
      <c r="I135" s="641"/>
      <c r="J135" s="14"/>
      <c r="K135" s="14"/>
      <c r="L135" s="14"/>
      <c r="M135" s="14"/>
      <c r="N135" s="14"/>
      <c r="O135" s="14"/>
      <c r="P135" s="14"/>
      <c r="Q135" s="14"/>
      <c r="R135" s="14"/>
      <c r="S135" s="14"/>
      <c r="T135" s="14"/>
      <c r="U135" s="14"/>
      <c r="V135" s="197"/>
    </row>
    <row r="136" spans="1:22" ht="18" hidden="1" customHeight="1">
      <c r="A136" s="196"/>
      <c r="D136" s="223"/>
      <c r="E136" s="230"/>
      <c r="F136" s="211" t="s">
        <v>866</v>
      </c>
      <c r="G136" s="223"/>
      <c r="H136" s="293" t="s">
        <v>867</v>
      </c>
      <c r="J136" s="28" t="s">
        <v>868</v>
      </c>
      <c r="K136" s="18" t="str">
        <f>IF(G135="&gt;", "Satisfied", "Not Satisfied")</f>
        <v>Not Satisfied</v>
      </c>
      <c r="P136" s="14"/>
      <c r="Q136" s="14"/>
      <c r="R136" s="14"/>
      <c r="S136" s="14"/>
      <c r="T136" s="14"/>
      <c r="U136" s="14"/>
      <c r="V136" s="197"/>
    </row>
    <row r="137" spans="1:22" ht="18" hidden="1" customHeight="1">
      <c r="A137" s="96"/>
      <c r="B137" s="209" t="s">
        <v>863</v>
      </c>
      <c r="C137" s="209"/>
      <c r="D137" s="14"/>
      <c r="E137" s="14"/>
      <c r="F137" s="14"/>
      <c r="G137" s="14"/>
      <c r="H137" s="14"/>
      <c r="I137" s="14"/>
      <c r="J137" s="14"/>
      <c r="K137" s="14"/>
      <c r="L137" s="14"/>
      <c r="M137" s="14"/>
      <c r="N137" s="14"/>
      <c r="O137" s="14"/>
      <c r="P137" s="120"/>
      <c r="Q137" s="308"/>
      <c r="V137" s="197"/>
    </row>
    <row r="138" spans="1:22" ht="18" hidden="1" customHeight="1">
      <c r="A138" s="96"/>
      <c r="B138" s="14"/>
      <c r="C138" s="14"/>
      <c r="D138" s="14"/>
      <c r="E138" s="14"/>
      <c r="F138" s="256" t="s">
        <v>486</v>
      </c>
      <c r="G138" s="28" t="str">
        <f>IF(E139&gt;H139, "&gt;","&lt;")</f>
        <v>&lt;</v>
      </c>
      <c r="H138" s="14" t="s">
        <v>488</v>
      </c>
      <c r="I138" s="14"/>
      <c r="J138" s="14"/>
      <c r="K138" s="14"/>
      <c r="L138" s="14" t="s">
        <v>869</v>
      </c>
      <c r="M138" s="14"/>
      <c r="N138" s="14"/>
      <c r="O138" s="14"/>
      <c r="P138" s="313"/>
      <c r="Q138" s="474"/>
      <c r="V138" s="197"/>
    </row>
    <row r="139" spans="1:22" ht="18" hidden="1" customHeight="1">
      <c r="A139" s="96"/>
      <c r="B139" s="14"/>
      <c r="C139" s="14"/>
      <c r="D139" s="14"/>
      <c r="E139" s="959">
        <f>J93</f>
        <v>0</v>
      </c>
      <c r="F139" s="959"/>
      <c r="G139" s="28" t="str">
        <f>G138</f>
        <v>&lt;</v>
      </c>
      <c r="H139" s="641">
        <f>E123</f>
        <v>30.837348800000001</v>
      </c>
      <c r="I139" s="641"/>
      <c r="J139" s="14"/>
      <c r="K139" s="14"/>
      <c r="L139" s="14"/>
      <c r="M139" s="14"/>
      <c r="N139" s="14"/>
      <c r="O139" s="14"/>
      <c r="V139" s="197"/>
    </row>
    <row r="140" spans="1:22" ht="18" hidden="1" customHeight="1">
      <c r="A140" s="196"/>
      <c r="D140" s="223"/>
      <c r="E140" s="14"/>
      <c r="F140" s="211" t="s">
        <v>866</v>
      </c>
      <c r="G140" s="223"/>
      <c r="H140" s="293" t="s">
        <v>863</v>
      </c>
      <c r="J140" s="28" t="s">
        <v>868</v>
      </c>
      <c r="K140" s="18" t="str">
        <f>IF(G139="&gt;", "Satisfied", "Not Satisfied")</f>
        <v>Not Satisfied</v>
      </c>
      <c r="P140" s="244"/>
      <c r="Q140" s="244"/>
      <c r="R140" s="244"/>
      <c r="S140" s="244"/>
      <c r="T140" s="244"/>
      <c r="U140" s="244"/>
      <c r="V140" s="245"/>
    </row>
    <row r="141" spans="1:22" ht="18" hidden="1" customHeight="1">
      <c r="A141" s="196"/>
      <c r="H141" s="28"/>
      <c r="I141" s="28"/>
      <c r="J141" s="28"/>
      <c r="K141" s="28"/>
      <c r="L141" s="28"/>
      <c r="M141" s="28"/>
      <c r="N141" s="28"/>
      <c r="O141" s="28"/>
      <c r="P141" s="244"/>
      <c r="Q141" s="244"/>
      <c r="R141" s="244"/>
      <c r="S141" s="244"/>
      <c r="T141" s="244"/>
      <c r="U141" s="244"/>
      <c r="V141" s="245"/>
    </row>
    <row r="142" spans="1:22" ht="18" hidden="1" customHeight="1">
      <c r="A142" s="96"/>
      <c r="B142" s="14"/>
      <c r="C142" s="14"/>
      <c r="D142" s="14"/>
      <c r="E142" s="14"/>
      <c r="F142" s="256" t="s">
        <v>489</v>
      </c>
      <c r="G142" s="14"/>
      <c r="H142" s="18" t="str">
        <f>IF(AND(E135&gt;H135,E139&gt;H139),"Suitably Dimentioned","Under Dimentioned")</f>
        <v>Under Dimentioned</v>
      </c>
      <c r="I142" s="18"/>
      <c r="J142" s="18"/>
      <c r="K142" s="18"/>
      <c r="L142" s="18"/>
      <c r="M142" s="18"/>
      <c r="N142" s="14"/>
      <c r="O142" s="14"/>
      <c r="V142" s="197"/>
    </row>
    <row r="143" spans="1:22" ht="18" hidden="1" customHeight="1">
      <c r="A143" s="196"/>
      <c r="B143" s="27"/>
      <c r="C143" s="27"/>
      <c r="D143" s="27"/>
      <c r="E143" s="28"/>
      <c r="F143" s="27"/>
      <c r="G143" s="28"/>
      <c r="H143" s="27"/>
      <c r="I143" s="28"/>
      <c r="J143" s="27"/>
      <c r="K143" s="27"/>
      <c r="L143" s="27"/>
      <c r="M143" s="27"/>
      <c r="V143" s="197"/>
    </row>
    <row r="144" spans="1:22" ht="18" hidden="1" customHeight="1">
      <c r="A144" s="196"/>
      <c r="C144" s="27"/>
      <c r="D144" s="257"/>
      <c r="E144" s="233"/>
      <c r="F144" s="257"/>
      <c r="G144" s="234"/>
      <c r="H144" s="257"/>
      <c r="I144" s="257"/>
      <c r="J144" s="257"/>
      <c r="K144" s="257"/>
      <c r="L144" s="257"/>
      <c r="M144" s="27"/>
      <c r="V144" s="197"/>
    </row>
    <row r="145" spans="1:22" ht="18" hidden="1" customHeight="1">
      <c r="A145" s="196"/>
      <c r="C145" s="27"/>
      <c r="D145" s="216"/>
      <c r="E145" s="216"/>
      <c r="G145" s="18"/>
      <c r="V145" s="197"/>
    </row>
    <row r="146" spans="1:22" ht="18" hidden="1" customHeight="1">
      <c r="A146" s="96"/>
      <c r="B146" s="14"/>
      <c r="C146" s="14"/>
      <c r="D146" s="14"/>
      <c r="E146" s="14"/>
      <c r="F146" s="14"/>
      <c r="G146" s="14"/>
      <c r="H146" s="14"/>
      <c r="I146" s="14"/>
      <c r="J146" s="14"/>
      <c r="K146" s="14"/>
      <c r="L146" s="14"/>
      <c r="M146" s="14"/>
      <c r="N146" s="14"/>
      <c r="O146" s="14"/>
      <c r="P146" s="14"/>
      <c r="Q146" s="120"/>
      <c r="R146" s="28"/>
      <c r="S146" s="558"/>
      <c r="T146" s="14"/>
      <c r="U146" s="14"/>
      <c r="V146" s="394"/>
    </row>
    <row r="147" spans="1:22" ht="18" hidden="1" customHeight="1">
      <c r="A147" s="96"/>
      <c r="B147" s="14"/>
      <c r="C147" s="14"/>
      <c r="D147" s="14"/>
      <c r="E147" s="14"/>
      <c r="F147" s="14"/>
      <c r="G147" s="14"/>
      <c r="H147" s="14"/>
      <c r="I147" s="14"/>
      <c r="J147" s="14"/>
      <c r="K147" s="14"/>
      <c r="L147" s="14"/>
      <c r="M147" s="14"/>
      <c r="N147" s="14"/>
      <c r="O147" s="14"/>
      <c r="P147" s="14"/>
      <c r="Q147" s="120"/>
      <c r="R147" s="28"/>
      <c r="S147" s="558"/>
      <c r="T147" s="14"/>
      <c r="U147" s="14"/>
      <c r="V147" s="394"/>
    </row>
    <row r="148" spans="1:22" ht="18" hidden="1" customHeight="1">
      <c r="A148" s="96"/>
      <c r="B148" s="14"/>
      <c r="C148" s="14"/>
      <c r="D148" s="14"/>
      <c r="E148" s="14"/>
      <c r="F148" s="14"/>
      <c r="G148" s="14"/>
      <c r="H148" s="14"/>
      <c r="I148" s="14"/>
      <c r="J148" s="14"/>
      <c r="K148" s="14"/>
      <c r="L148" s="14"/>
      <c r="M148" s="14"/>
      <c r="N148" s="14"/>
      <c r="O148" s="14"/>
      <c r="P148" s="14"/>
      <c r="Q148" s="120"/>
      <c r="R148" s="28"/>
      <c r="S148" s="558"/>
      <c r="T148" s="14"/>
      <c r="U148" s="14"/>
      <c r="V148" s="394"/>
    </row>
    <row r="149" spans="1:22" ht="18" hidden="1" customHeight="1">
      <c r="A149" s="96"/>
      <c r="B149" s="14"/>
      <c r="C149" s="14"/>
      <c r="D149" s="14"/>
      <c r="E149" s="14"/>
      <c r="F149" s="14"/>
      <c r="G149" s="14"/>
      <c r="H149" s="14"/>
      <c r="I149" s="14"/>
      <c r="J149" s="14"/>
      <c r="K149" s="14"/>
      <c r="L149" s="14"/>
      <c r="M149" s="14"/>
      <c r="N149" s="14"/>
      <c r="O149" s="14"/>
      <c r="P149" s="14"/>
      <c r="Q149" s="120"/>
      <c r="R149" s="28"/>
      <c r="S149" s="558"/>
      <c r="T149" s="14"/>
      <c r="U149" s="14"/>
      <c r="V149" s="394"/>
    </row>
    <row r="150" spans="1:22" ht="18" hidden="1" customHeight="1">
      <c r="A150" s="96"/>
      <c r="B150" s="14"/>
      <c r="C150" s="14"/>
      <c r="D150" s="14"/>
      <c r="E150" s="14"/>
      <c r="F150" s="14"/>
      <c r="G150" s="14"/>
      <c r="H150" s="14"/>
      <c r="I150" s="14"/>
      <c r="J150" s="14"/>
      <c r="K150" s="14"/>
      <c r="L150" s="14"/>
      <c r="M150" s="14"/>
      <c r="N150" s="14"/>
      <c r="O150" s="14"/>
      <c r="P150" s="14"/>
      <c r="Q150" s="120"/>
      <c r="R150" s="28"/>
      <c r="S150" s="558"/>
      <c r="T150" s="14"/>
      <c r="U150" s="14"/>
      <c r="V150" s="394"/>
    </row>
    <row r="151" spans="1:22" ht="18" hidden="1" customHeight="1">
      <c r="A151" s="96"/>
      <c r="B151" s="14"/>
      <c r="C151" s="14"/>
      <c r="D151" s="14"/>
      <c r="E151" s="14"/>
      <c r="F151" s="14"/>
      <c r="G151" s="14"/>
      <c r="H151" s="14"/>
      <c r="I151" s="14"/>
      <c r="J151" s="14"/>
      <c r="K151" s="14"/>
      <c r="L151" s="14"/>
      <c r="M151" s="14"/>
      <c r="N151" s="14"/>
      <c r="O151" s="14"/>
      <c r="P151" s="14"/>
      <c r="Q151" s="120"/>
      <c r="R151" s="28"/>
      <c r="S151" s="558"/>
      <c r="T151" s="14"/>
      <c r="U151" s="14"/>
      <c r="V151" s="394"/>
    </row>
    <row r="152" spans="1:22" ht="18" hidden="1" customHeight="1">
      <c r="A152" s="96"/>
      <c r="B152" s="14"/>
      <c r="C152" s="14"/>
      <c r="D152" s="14"/>
      <c r="E152" s="14"/>
      <c r="F152" s="14"/>
      <c r="G152" s="14"/>
      <c r="H152" s="14"/>
      <c r="I152" s="14"/>
      <c r="J152" s="14"/>
      <c r="K152" s="14"/>
      <c r="L152" s="14"/>
      <c r="M152" s="14"/>
      <c r="N152" s="14"/>
      <c r="O152" s="14"/>
      <c r="P152" s="14"/>
      <c r="Q152" s="120"/>
      <c r="R152" s="28"/>
      <c r="S152" s="558"/>
      <c r="T152" s="14"/>
      <c r="U152" s="14"/>
      <c r="V152" s="394"/>
    </row>
    <row r="153" spans="1:22" ht="18" hidden="1" customHeight="1">
      <c r="A153" s="96"/>
      <c r="B153" s="14"/>
      <c r="C153" s="14"/>
      <c r="D153" s="14"/>
      <c r="E153" s="14"/>
      <c r="F153" s="14"/>
      <c r="G153" s="14"/>
      <c r="H153" s="14"/>
      <c r="I153" s="14"/>
      <c r="J153" s="14"/>
      <c r="K153" s="14"/>
      <c r="L153" s="14"/>
      <c r="M153" s="14"/>
      <c r="N153" s="14"/>
      <c r="O153" s="14"/>
      <c r="P153" s="14"/>
      <c r="Q153" s="120"/>
      <c r="R153" s="28"/>
      <c r="S153" s="558"/>
      <c r="T153" s="14"/>
      <c r="U153" s="14"/>
      <c r="V153" s="394"/>
    </row>
    <row r="154" spans="1:22" ht="18" hidden="1" customHeight="1">
      <c r="A154" s="96"/>
      <c r="B154" s="14"/>
      <c r="C154" s="14"/>
      <c r="D154" s="14"/>
      <c r="E154" s="14"/>
      <c r="F154" s="14"/>
      <c r="G154" s="14"/>
      <c r="H154" s="14"/>
      <c r="I154" s="14"/>
      <c r="J154" s="14"/>
      <c r="K154" s="14"/>
      <c r="L154" s="14"/>
      <c r="M154" s="14"/>
      <c r="N154" s="14"/>
      <c r="O154" s="14"/>
      <c r="P154" s="14"/>
      <c r="Q154" s="120"/>
      <c r="R154" s="28"/>
      <c r="S154" s="558"/>
      <c r="T154" s="14"/>
      <c r="U154" s="14"/>
      <c r="V154" s="394"/>
    </row>
    <row r="155" spans="1:22" ht="18" hidden="1" customHeight="1">
      <c r="A155" s="96"/>
      <c r="B155" s="14"/>
      <c r="C155" s="14"/>
      <c r="D155" s="14"/>
      <c r="E155" s="14"/>
      <c r="F155" s="14"/>
      <c r="G155" s="14"/>
      <c r="H155" s="14"/>
      <c r="I155" s="14"/>
      <c r="J155" s="14"/>
      <c r="K155" s="14"/>
      <c r="L155" s="14"/>
      <c r="M155" s="14"/>
      <c r="N155" s="14"/>
      <c r="O155" s="14"/>
      <c r="P155" s="14"/>
      <c r="Q155" s="120"/>
      <c r="R155" s="28"/>
      <c r="S155" s="558"/>
      <c r="T155" s="14"/>
      <c r="U155" s="14"/>
      <c r="V155" s="394"/>
    </row>
    <row r="156" spans="1:22" ht="18" hidden="1" customHeight="1">
      <c r="A156" s="96"/>
      <c r="B156" s="14"/>
      <c r="C156" s="14"/>
      <c r="D156" s="14"/>
      <c r="E156" s="14"/>
      <c r="F156" s="14"/>
      <c r="G156" s="14"/>
      <c r="H156" s="14"/>
      <c r="I156" s="14"/>
      <c r="J156" s="14"/>
      <c r="K156" s="14"/>
      <c r="L156" s="14"/>
      <c r="M156" s="14"/>
      <c r="N156" s="14"/>
      <c r="O156" s="14"/>
      <c r="P156" s="14"/>
      <c r="Q156" s="120"/>
      <c r="R156" s="28"/>
      <c r="S156" s="558"/>
      <c r="T156" s="14"/>
      <c r="U156" s="14"/>
      <c r="V156" s="394"/>
    </row>
    <row r="157" spans="1:22" ht="18" hidden="1" customHeight="1">
      <c r="A157" s="96"/>
      <c r="B157" s="14"/>
      <c r="C157" s="14"/>
      <c r="D157" s="14"/>
      <c r="E157" s="14"/>
      <c r="F157" s="14"/>
      <c r="G157" s="14"/>
      <c r="H157" s="14"/>
      <c r="I157" s="14"/>
      <c r="J157" s="14"/>
      <c r="K157" s="14"/>
      <c r="L157" s="14"/>
      <c r="M157" s="14"/>
      <c r="N157" s="14"/>
      <c r="O157" s="14"/>
      <c r="P157" s="14"/>
      <c r="Q157" s="120"/>
      <c r="R157" s="28"/>
      <c r="S157" s="558"/>
      <c r="T157" s="14"/>
      <c r="U157" s="14"/>
      <c r="V157" s="394"/>
    </row>
    <row r="158" spans="1:22" ht="18" hidden="1" customHeight="1">
      <c r="A158" s="96"/>
      <c r="B158" s="14"/>
      <c r="C158" s="14"/>
      <c r="D158" s="14"/>
      <c r="E158" s="14"/>
      <c r="F158" s="14"/>
      <c r="G158" s="14"/>
      <c r="H158" s="14"/>
      <c r="I158" s="14"/>
      <c r="J158" s="14"/>
      <c r="K158" s="14"/>
      <c r="L158" s="14"/>
      <c r="M158" s="14"/>
      <c r="N158" s="14"/>
      <c r="O158" s="14"/>
      <c r="P158" s="14"/>
      <c r="Q158" s="120"/>
      <c r="R158" s="28"/>
      <c r="S158" s="558"/>
      <c r="T158" s="14"/>
      <c r="U158" s="14"/>
      <c r="V158" s="394"/>
    </row>
    <row r="159" spans="1:22" ht="18" hidden="1" customHeight="1">
      <c r="A159" s="96"/>
      <c r="B159" s="14"/>
      <c r="C159" s="14"/>
      <c r="D159" s="14"/>
      <c r="E159" s="14"/>
      <c r="F159" s="14"/>
      <c r="G159" s="14"/>
      <c r="H159" s="14"/>
      <c r="I159" s="14"/>
      <c r="J159" s="14"/>
      <c r="K159" s="14"/>
      <c r="L159" s="14"/>
      <c r="M159" s="14"/>
      <c r="N159" s="14"/>
      <c r="O159" s="14"/>
      <c r="P159" s="14"/>
      <c r="Q159" s="120"/>
      <c r="R159" s="28"/>
      <c r="S159" s="558"/>
      <c r="T159" s="14"/>
      <c r="U159" s="14"/>
      <c r="V159" s="394"/>
    </row>
    <row r="160" spans="1:22" ht="18" hidden="1" customHeight="1">
      <c r="A160" s="96"/>
      <c r="B160" s="14"/>
      <c r="C160" s="14"/>
      <c r="D160" s="14"/>
      <c r="E160" s="14"/>
      <c r="F160" s="14"/>
      <c r="G160" s="14"/>
      <c r="H160" s="14"/>
      <c r="I160" s="14"/>
      <c r="J160" s="14"/>
      <c r="K160" s="14"/>
      <c r="L160" s="14"/>
      <c r="M160" s="14"/>
      <c r="N160" s="14"/>
      <c r="O160" s="14"/>
      <c r="P160" s="14"/>
      <c r="Q160" s="120"/>
      <c r="R160" s="28"/>
      <c r="S160" s="558"/>
      <c r="T160" s="14"/>
      <c r="U160" s="14"/>
      <c r="V160" s="394"/>
    </row>
    <row r="161" spans="1:22" ht="18" hidden="1" customHeight="1">
      <c r="A161" s="96"/>
      <c r="B161" s="14"/>
      <c r="C161" s="14"/>
      <c r="D161" s="14"/>
      <c r="E161" s="14"/>
      <c r="F161" s="14"/>
      <c r="G161" s="14"/>
      <c r="H161" s="14"/>
      <c r="I161" s="14"/>
      <c r="J161" s="14"/>
      <c r="K161" s="14"/>
      <c r="L161" s="14"/>
      <c r="M161" s="14"/>
      <c r="N161" s="14"/>
      <c r="O161" s="14"/>
      <c r="P161" s="14"/>
      <c r="Q161" s="120"/>
      <c r="R161" s="28"/>
      <c r="S161" s="558"/>
      <c r="T161" s="14"/>
      <c r="U161" s="14"/>
      <c r="V161" s="394"/>
    </row>
    <row r="162" spans="1:22" ht="18" hidden="1" customHeight="1">
      <c r="A162" s="96"/>
      <c r="B162" s="14"/>
      <c r="C162" s="14"/>
      <c r="D162" s="14"/>
      <c r="E162" s="14"/>
      <c r="F162" s="14"/>
      <c r="G162" s="14"/>
      <c r="H162" s="14"/>
      <c r="I162" s="14"/>
      <c r="J162" s="14"/>
      <c r="K162" s="14"/>
      <c r="L162" s="14"/>
      <c r="M162" s="14"/>
      <c r="N162" s="14"/>
      <c r="O162" s="14"/>
      <c r="P162" s="14"/>
      <c r="Q162" s="120"/>
      <c r="R162" s="28"/>
      <c r="S162" s="558"/>
      <c r="T162" s="14"/>
      <c r="U162" s="14"/>
      <c r="V162" s="394"/>
    </row>
    <row r="163" spans="1:22" ht="18" hidden="1" customHeight="1">
      <c r="A163" s="96"/>
      <c r="B163" s="14"/>
      <c r="C163" s="14"/>
      <c r="D163" s="14"/>
      <c r="E163" s="14"/>
      <c r="F163" s="14"/>
      <c r="G163" s="14"/>
      <c r="H163" s="14"/>
      <c r="I163" s="14"/>
      <c r="J163" s="14"/>
      <c r="K163" s="14"/>
      <c r="L163" s="14"/>
      <c r="M163" s="14"/>
      <c r="N163" s="14"/>
      <c r="O163" s="14"/>
      <c r="P163" s="14"/>
      <c r="Q163" s="120"/>
      <c r="R163" s="28"/>
      <c r="S163" s="558"/>
      <c r="T163" s="14"/>
      <c r="U163" s="14"/>
      <c r="V163" s="394"/>
    </row>
    <row r="164" spans="1:22" ht="18" hidden="1" customHeight="1">
      <c r="A164" s="96"/>
      <c r="B164" s="14"/>
      <c r="C164" s="14"/>
      <c r="D164" s="14"/>
      <c r="E164" s="14"/>
      <c r="F164" s="14"/>
      <c r="G164" s="14"/>
      <c r="H164" s="14"/>
      <c r="I164" s="14"/>
      <c r="J164" s="14"/>
      <c r="K164" s="14"/>
      <c r="L164" s="14"/>
      <c r="M164" s="14"/>
      <c r="N164" s="14"/>
      <c r="O164" s="14"/>
      <c r="P164" s="14"/>
      <c r="Q164" s="120"/>
      <c r="R164" s="28"/>
      <c r="S164" s="558"/>
      <c r="T164" s="14"/>
      <c r="U164" s="14"/>
      <c r="V164" s="394"/>
    </row>
    <row r="165" spans="1:22" ht="18" hidden="1" customHeight="1">
      <c r="A165" s="96"/>
      <c r="B165" s="14"/>
      <c r="C165" s="14"/>
      <c r="D165" s="14"/>
      <c r="E165" s="14"/>
      <c r="F165" s="14"/>
      <c r="G165" s="14"/>
      <c r="H165" s="14"/>
      <c r="I165" s="14"/>
      <c r="J165" s="14"/>
      <c r="K165" s="14"/>
      <c r="L165" s="14"/>
      <c r="M165" s="14"/>
      <c r="N165" s="14"/>
      <c r="O165" s="14"/>
      <c r="P165" s="14"/>
      <c r="Q165" s="120"/>
      <c r="R165" s="28"/>
      <c r="S165" s="558"/>
      <c r="T165" s="14"/>
      <c r="U165" s="14"/>
      <c r="V165" s="394"/>
    </row>
    <row r="166" spans="1:22" ht="18" hidden="1" customHeight="1">
      <c r="A166" s="96"/>
      <c r="B166" s="14"/>
      <c r="C166" s="14"/>
      <c r="D166" s="14"/>
      <c r="E166" s="14"/>
      <c r="F166" s="14"/>
      <c r="G166" s="14"/>
      <c r="H166" s="14"/>
      <c r="I166" s="14"/>
      <c r="J166" s="14"/>
      <c r="K166" s="14"/>
      <c r="L166" s="14"/>
      <c r="M166" s="14"/>
      <c r="N166" s="14"/>
      <c r="O166" s="14"/>
      <c r="P166" s="14"/>
      <c r="Q166" s="120"/>
      <c r="R166" s="28"/>
      <c r="S166" s="558"/>
      <c r="T166" s="14"/>
      <c r="U166" s="14"/>
      <c r="V166" s="394"/>
    </row>
    <row r="167" spans="1:22" ht="18" hidden="1" customHeight="1">
      <c r="A167" s="96"/>
      <c r="B167" s="14"/>
      <c r="C167" s="14"/>
      <c r="D167" s="14"/>
      <c r="E167" s="14"/>
      <c r="F167" s="14"/>
      <c r="G167" s="14"/>
      <c r="H167" s="14"/>
      <c r="I167" s="14"/>
      <c r="J167" s="14"/>
      <c r="K167" s="14"/>
      <c r="L167" s="14"/>
      <c r="M167" s="14"/>
      <c r="N167" s="14"/>
      <c r="O167" s="14"/>
      <c r="P167" s="14"/>
      <c r="Q167" s="120"/>
      <c r="R167" s="28"/>
      <c r="S167" s="558"/>
      <c r="T167" s="14"/>
      <c r="U167" s="14"/>
      <c r="V167" s="394"/>
    </row>
    <row r="168" spans="1:22" ht="18" hidden="1" customHeight="1">
      <c r="A168" s="96"/>
      <c r="B168" s="14"/>
      <c r="C168" s="14"/>
      <c r="D168" s="14"/>
      <c r="E168" s="14"/>
      <c r="F168" s="14"/>
      <c r="G168" s="14"/>
      <c r="H168" s="14"/>
      <c r="I168" s="14"/>
      <c r="J168" s="14"/>
      <c r="K168" s="14"/>
      <c r="L168" s="14"/>
      <c r="M168" s="14"/>
      <c r="N168" s="14"/>
      <c r="O168" s="14"/>
      <c r="P168" s="14"/>
      <c r="Q168" s="120"/>
      <c r="R168" s="28"/>
      <c r="S168" s="558"/>
      <c r="T168" s="14"/>
      <c r="U168" s="14"/>
      <c r="V168" s="394"/>
    </row>
    <row r="169" spans="1:22" ht="18" hidden="1" customHeight="1">
      <c r="A169" s="96"/>
      <c r="B169" s="14"/>
      <c r="C169" s="14"/>
      <c r="D169" s="14"/>
      <c r="E169" s="14"/>
      <c r="F169" s="14"/>
      <c r="G169" s="14"/>
      <c r="H169" s="14"/>
      <c r="I169" s="14"/>
      <c r="J169" s="14"/>
      <c r="K169" s="14"/>
      <c r="L169" s="14"/>
      <c r="M169" s="14"/>
      <c r="N169" s="14"/>
      <c r="O169" s="14"/>
      <c r="P169" s="14"/>
      <c r="Q169" s="120"/>
      <c r="R169" s="28"/>
      <c r="S169" s="558"/>
      <c r="T169" s="14"/>
      <c r="U169" s="14"/>
      <c r="V169" s="394"/>
    </row>
    <row r="170" spans="1:22" ht="18" hidden="1" customHeight="1">
      <c r="A170" s="96"/>
      <c r="B170" s="14"/>
      <c r="C170" s="14"/>
      <c r="D170" s="14"/>
      <c r="E170" s="14"/>
      <c r="F170" s="14"/>
      <c r="G170" s="14"/>
      <c r="H170" s="14"/>
      <c r="I170" s="14"/>
      <c r="J170" s="14"/>
      <c r="K170" s="14"/>
      <c r="L170" s="14"/>
      <c r="M170" s="14"/>
      <c r="N170" s="14"/>
      <c r="O170" s="14"/>
      <c r="P170" s="14"/>
      <c r="Q170" s="120"/>
      <c r="R170" s="28"/>
      <c r="S170" s="558"/>
      <c r="T170" s="14"/>
      <c r="U170" s="14"/>
      <c r="V170" s="394"/>
    </row>
    <row r="171" spans="1:22" ht="18" hidden="1" customHeight="1">
      <c r="A171" s="96"/>
      <c r="B171" s="14"/>
      <c r="C171" s="14"/>
      <c r="D171" s="14"/>
      <c r="E171" s="14"/>
      <c r="F171" s="14"/>
      <c r="G171" s="14"/>
      <c r="H171" s="14"/>
      <c r="I171" s="14"/>
      <c r="J171" s="14"/>
      <c r="K171" s="14"/>
      <c r="L171" s="14"/>
      <c r="M171" s="14"/>
      <c r="N171" s="14"/>
      <c r="O171" s="14"/>
      <c r="P171" s="14"/>
      <c r="Q171" s="120"/>
      <c r="R171" s="28"/>
      <c r="S171" s="558"/>
      <c r="T171" s="14"/>
      <c r="U171" s="14"/>
      <c r="V171" s="394"/>
    </row>
    <row r="172" spans="1:22" ht="18" hidden="1" customHeight="1">
      <c r="A172" s="96"/>
      <c r="B172" s="14"/>
      <c r="C172" s="14"/>
      <c r="D172" s="14"/>
      <c r="E172" s="14"/>
      <c r="F172" s="14"/>
      <c r="G172" s="14"/>
      <c r="H172" s="14"/>
      <c r="I172" s="14"/>
      <c r="J172" s="14"/>
      <c r="K172" s="14"/>
      <c r="L172" s="14"/>
      <c r="M172" s="14"/>
      <c r="N172" s="14"/>
      <c r="O172" s="14"/>
      <c r="P172" s="14"/>
      <c r="Q172" s="120"/>
      <c r="R172" s="28"/>
      <c r="S172" s="558"/>
      <c r="T172" s="14"/>
      <c r="U172" s="14"/>
      <c r="V172" s="394"/>
    </row>
    <row r="173" spans="1:22" ht="18" hidden="1" customHeight="1">
      <c r="A173" s="206"/>
      <c r="B173" s="207"/>
      <c r="C173" s="207"/>
      <c r="D173" s="207"/>
      <c r="E173" s="207"/>
      <c r="F173" s="207"/>
      <c r="G173" s="207"/>
      <c r="H173" s="207"/>
      <c r="I173" s="207"/>
      <c r="J173" s="207"/>
      <c r="K173" s="207"/>
      <c r="L173" s="207"/>
      <c r="M173" s="207"/>
      <c r="N173" s="207"/>
      <c r="O173" s="207"/>
      <c r="P173" s="207"/>
      <c r="Q173" s="236"/>
      <c r="R173" s="194"/>
      <c r="S173" s="237"/>
      <c r="T173" s="207"/>
      <c r="U173" s="207"/>
      <c r="V173" s="140" t="s">
        <v>563</v>
      </c>
    </row>
    <row r="174" spans="1:22" ht="18" hidden="1" customHeight="1">
      <c r="A174" s="238"/>
      <c r="B174" s="239"/>
      <c r="C174" s="239"/>
      <c r="D174" s="239"/>
      <c r="E174" s="239"/>
      <c r="F174" s="239"/>
      <c r="G174" s="239"/>
      <c r="H174" s="239"/>
      <c r="I174" s="239"/>
      <c r="J174" s="239"/>
      <c r="K174" s="239"/>
      <c r="L174" s="239"/>
      <c r="M174" s="239"/>
      <c r="N174" s="239"/>
      <c r="O174" s="239"/>
      <c r="P174" s="239"/>
      <c r="Q174" s="239"/>
      <c r="R174" s="239"/>
      <c r="S174" s="239"/>
      <c r="T174" s="239"/>
      <c r="U174" s="239"/>
      <c r="V174" s="240"/>
    </row>
    <row r="175" spans="1:22" ht="18" hidden="1" customHeight="1">
      <c r="A175" s="196"/>
      <c r="B175" s="650" t="str">
        <f>B87</f>
        <v>T1</v>
      </c>
      <c r="C175" s="651"/>
      <c r="D175" s="650" t="str">
        <f>D87</f>
        <v>Core5</v>
      </c>
      <c r="E175" s="651"/>
      <c r="F175" s="468"/>
      <c r="H175" s="639" t="s">
        <v>722</v>
      </c>
      <c r="I175" s="639"/>
      <c r="J175" s="639"/>
      <c r="K175" s="639"/>
      <c r="L175" s="639"/>
      <c r="M175" s="639"/>
      <c r="P175" s="198"/>
      <c r="S175" s="199" t="s">
        <v>398</v>
      </c>
      <c r="T175" s="650" t="str">
        <f>T87</f>
        <v>P743</v>
      </c>
      <c r="U175" s="651"/>
      <c r="V175" s="197"/>
    </row>
    <row r="176" spans="1:22" ht="18" hidden="1" customHeight="1">
      <c r="A176" s="469"/>
      <c r="F176" s="468"/>
      <c r="T176" s="650">
        <f>T88</f>
        <v>0</v>
      </c>
      <c r="U176" s="651"/>
      <c r="V176" s="197"/>
    </row>
    <row r="177" spans="1:23" ht="18" hidden="1" customHeight="1">
      <c r="A177" s="196"/>
      <c r="H177" s="661" t="s">
        <v>401</v>
      </c>
      <c r="I177" s="661"/>
      <c r="J177" s="661" t="s">
        <v>402</v>
      </c>
      <c r="K177" s="661"/>
      <c r="L177" s="662" t="s">
        <v>403</v>
      </c>
      <c r="M177" s="662"/>
      <c r="T177" s="650">
        <f>T89</f>
        <v>0</v>
      </c>
      <c r="U177" s="651"/>
      <c r="V177" s="197"/>
    </row>
    <row r="178" spans="1:23" ht="18" hidden="1" customHeight="1">
      <c r="A178" s="196"/>
      <c r="B178" s="47" t="s">
        <v>404</v>
      </c>
      <c r="H178" s="650">
        <f>H90</f>
        <v>2500</v>
      </c>
      <c r="I178" s="651"/>
      <c r="J178" s="650" t="str">
        <f>J90</f>
        <v>-</v>
      </c>
      <c r="K178" s="651"/>
      <c r="L178" s="652" t="str">
        <f>L90</f>
        <v>-</v>
      </c>
      <c r="M178" s="653"/>
      <c r="N178" s="203" t="s">
        <v>353</v>
      </c>
      <c r="O178" s="268">
        <f>O90</f>
        <v>1</v>
      </c>
      <c r="P178" s="27" t="s">
        <v>9</v>
      </c>
      <c r="R178" s="267"/>
      <c r="S178" s="267"/>
      <c r="V178" s="197"/>
    </row>
    <row r="179" spans="1:23" ht="18" hidden="1" customHeight="1">
      <c r="A179" s="196"/>
      <c r="B179" s="47" t="s">
        <v>405</v>
      </c>
      <c r="L179" s="650" t="str">
        <f>J91</f>
        <v>PX-B</v>
      </c>
      <c r="M179" s="651"/>
      <c r="V179" s="197"/>
    </row>
    <row r="180" spans="1:23" ht="18" hidden="1" customHeight="1">
      <c r="A180" s="196"/>
      <c r="B180" s="47" t="s">
        <v>407</v>
      </c>
      <c r="K180" s="120" t="s">
        <v>508</v>
      </c>
      <c r="L180" s="981"/>
      <c r="M180" s="982"/>
      <c r="N180" s="204" t="s">
        <v>344</v>
      </c>
      <c r="V180" s="197"/>
    </row>
    <row r="181" spans="1:23" ht="18" hidden="1" customHeight="1">
      <c r="A181" s="196"/>
      <c r="B181" s="47" t="s">
        <v>409</v>
      </c>
      <c r="K181" s="120" t="s">
        <v>509</v>
      </c>
      <c r="L181" s="940"/>
      <c r="M181" s="941"/>
      <c r="N181" s="14" t="s">
        <v>316</v>
      </c>
      <c r="U181" s="18"/>
      <c r="V181" s="197"/>
      <c r="W181" s="30" t="e">
        <f>H230</f>
        <v>#VALUE!</v>
      </c>
    </row>
    <row r="182" spans="1:23" ht="18" hidden="1" customHeight="1">
      <c r="A182" s="196"/>
      <c r="B182" s="14" t="s">
        <v>412</v>
      </c>
      <c r="K182" s="120" t="s">
        <v>413</v>
      </c>
      <c r="L182" s="940"/>
      <c r="M182" s="941"/>
      <c r="N182" s="14" t="s">
        <v>414</v>
      </c>
      <c r="V182" s="197"/>
    </row>
    <row r="183" spans="1:23" ht="18" hidden="1" customHeight="1">
      <c r="A183" s="196"/>
      <c r="V183" s="197"/>
    </row>
    <row r="184" spans="1:23" ht="18" hidden="1" customHeight="1">
      <c r="A184" s="205" t="s">
        <v>415</v>
      </c>
      <c r="V184" s="197"/>
    </row>
    <row r="185" spans="1:23" ht="18" hidden="1" customHeight="1">
      <c r="A185" s="196"/>
      <c r="V185" s="197"/>
    </row>
    <row r="186" spans="1:23" ht="18" hidden="1" customHeight="1">
      <c r="A186" s="196"/>
      <c r="B186" s="141" t="s">
        <v>416</v>
      </c>
      <c r="C186" s="285"/>
      <c r="D186" s="146" t="str">
        <f>T175</f>
        <v>P743</v>
      </c>
      <c r="E186" s="239"/>
      <c r="F186" s="239"/>
      <c r="G186" s="239"/>
      <c r="H186" s="145"/>
      <c r="I186" s="272" t="s">
        <v>138</v>
      </c>
      <c r="J186" s="644">
        <f>J98</f>
        <v>0.1</v>
      </c>
      <c r="K186" s="648"/>
      <c r="L186" s="3" t="s">
        <v>168</v>
      </c>
      <c r="N186" s="209"/>
      <c r="V186" s="197"/>
    </row>
    <row r="187" spans="1:23" ht="18" hidden="1" customHeight="1">
      <c r="A187" s="196"/>
      <c r="B187" s="96" t="s">
        <v>416</v>
      </c>
      <c r="C187" s="14"/>
      <c r="D187" s="47">
        <f>T176</f>
        <v>0</v>
      </c>
      <c r="E187" s="14"/>
      <c r="G187" s="211"/>
      <c r="H187" s="27"/>
      <c r="I187" s="101" t="s">
        <v>138</v>
      </c>
      <c r="J187" s="644">
        <f>J99</f>
        <v>0</v>
      </c>
      <c r="K187" s="648"/>
      <c r="L187" s="214" t="s">
        <v>168</v>
      </c>
      <c r="N187" s="28"/>
      <c r="O187" s="27"/>
      <c r="P187" s="28"/>
      <c r="Q187" s="102"/>
      <c r="R187" s="28"/>
      <c r="S187" s="27"/>
      <c r="T187" s="28"/>
      <c r="V187" s="197"/>
    </row>
    <row r="188" spans="1:23" ht="18" hidden="1" customHeight="1">
      <c r="A188" s="196"/>
      <c r="B188" s="96" t="s">
        <v>416</v>
      </c>
      <c r="C188" s="14"/>
      <c r="D188" s="47">
        <f>T177</f>
        <v>0</v>
      </c>
      <c r="E188" s="14"/>
      <c r="G188" s="211"/>
      <c r="H188" s="27"/>
      <c r="I188" s="101" t="s">
        <v>138</v>
      </c>
      <c r="J188" s="644">
        <f>J100</f>
        <v>0</v>
      </c>
      <c r="K188" s="648"/>
      <c r="L188" s="214" t="s">
        <v>168</v>
      </c>
      <c r="N188" s="27"/>
      <c r="O188" s="27"/>
      <c r="P188" s="27"/>
      <c r="Q188" s="102"/>
      <c r="R188" s="27"/>
      <c r="S188" s="27"/>
      <c r="T188" s="27"/>
      <c r="V188" s="197"/>
    </row>
    <row r="189" spans="1:23" ht="18" hidden="1" customHeight="1">
      <c r="A189" s="196"/>
      <c r="B189" s="196" t="s">
        <v>423</v>
      </c>
      <c r="C189" s="14"/>
      <c r="D189" s="14"/>
      <c r="E189" s="14"/>
      <c r="H189" s="27"/>
      <c r="I189" s="101" t="s">
        <v>138</v>
      </c>
      <c r="J189" s="644">
        <f>J101</f>
        <v>1.44186744</v>
      </c>
      <c r="K189" s="648"/>
      <c r="L189" s="309" t="s">
        <v>168</v>
      </c>
      <c r="N189" s="27"/>
      <c r="O189" s="27"/>
      <c r="P189" s="216"/>
      <c r="R189" s="204"/>
      <c r="S189" s="27"/>
      <c r="T189" s="27"/>
      <c r="V189" s="197"/>
    </row>
    <row r="190" spans="1:23" ht="18" hidden="1" customHeight="1">
      <c r="A190" s="196"/>
      <c r="B190" s="1" t="s">
        <v>424</v>
      </c>
      <c r="C190" s="2"/>
      <c r="D190" s="2"/>
      <c r="E190" s="2"/>
      <c r="F190" s="208"/>
      <c r="G190" s="208"/>
      <c r="H190" s="236" t="s">
        <v>523</v>
      </c>
      <c r="I190" s="195" t="s">
        <v>138</v>
      </c>
      <c r="J190" s="648">
        <f>SUM(J186:J189)</f>
        <v>1.5418674400000001</v>
      </c>
      <c r="K190" s="649"/>
      <c r="L190" s="3" t="s">
        <v>168</v>
      </c>
      <c r="V190" s="197"/>
    </row>
    <row r="191" spans="1:23" ht="18" hidden="1" customHeight="1">
      <c r="A191" s="196"/>
      <c r="B191" s="47"/>
      <c r="C191" s="47"/>
      <c r="D191" s="47"/>
      <c r="E191" s="47"/>
      <c r="H191" s="27"/>
      <c r="I191" s="28"/>
      <c r="J191" s="211"/>
      <c r="L191" s="47"/>
      <c r="O191" s="27"/>
      <c r="P191" s="223"/>
      <c r="Q191" s="27"/>
      <c r="R191" s="216"/>
      <c r="S191" s="27"/>
      <c r="V191" s="197"/>
    </row>
    <row r="192" spans="1:23" ht="18" hidden="1" customHeight="1">
      <c r="A192" s="180"/>
      <c r="B192" s="5"/>
      <c r="C192" s="47" t="s">
        <v>852</v>
      </c>
      <c r="D192" s="14"/>
      <c r="E192" s="14"/>
      <c r="F192" s="14"/>
      <c r="G192" s="14"/>
      <c r="H192" s="291"/>
      <c r="I192" s="120"/>
      <c r="J192" s="291"/>
      <c r="K192" s="291"/>
      <c r="L192" s="14"/>
      <c r="M192" s="14"/>
      <c r="N192" s="14"/>
      <c r="O192" s="14"/>
      <c r="P192" s="14"/>
      <c r="Q192" s="120" t="s">
        <v>853</v>
      </c>
      <c r="R192" s="102" t="s">
        <v>138</v>
      </c>
      <c r="S192" s="650">
        <f>S104</f>
        <v>40000</v>
      </c>
      <c r="T192" s="651"/>
      <c r="U192" s="47" t="s">
        <v>9</v>
      </c>
      <c r="V192" s="197"/>
    </row>
    <row r="193" spans="1:22" ht="18" hidden="1" customHeight="1">
      <c r="A193" s="180"/>
      <c r="B193" s="5"/>
      <c r="C193" s="47" t="s">
        <v>665</v>
      </c>
      <c r="D193" s="14"/>
      <c r="E193" s="14"/>
      <c r="F193" s="18"/>
      <c r="G193" s="18"/>
      <c r="H193" s="291"/>
      <c r="I193" s="120"/>
      <c r="J193" s="291"/>
      <c r="K193" s="291"/>
      <c r="L193" s="14"/>
      <c r="M193" s="14"/>
      <c r="N193" s="14"/>
      <c r="O193" s="14"/>
      <c r="P193" s="14"/>
      <c r="Q193" s="120" t="s">
        <v>434</v>
      </c>
      <c r="R193" s="102" t="s">
        <v>138</v>
      </c>
      <c r="S193" s="638" t="str">
        <f>L178</f>
        <v>-</v>
      </c>
      <c r="T193" s="638"/>
      <c r="U193" s="14" t="s">
        <v>9</v>
      </c>
      <c r="V193" s="197"/>
    </row>
    <row r="194" spans="1:22" ht="18" hidden="1" customHeight="1">
      <c r="A194" s="180"/>
      <c r="B194" s="5"/>
      <c r="C194" s="47" t="s">
        <v>854</v>
      </c>
      <c r="E194" s="14"/>
      <c r="F194" s="18"/>
      <c r="G194" s="18"/>
      <c r="H194" s="291"/>
      <c r="I194" s="120"/>
      <c r="J194" s="291"/>
      <c r="K194" s="291"/>
      <c r="L194" s="14"/>
      <c r="M194" s="14"/>
      <c r="N194" s="14"/>
      <c r="O194" s="14"/>
      <c r="P194" s="14"/>
      <c r="Q194" s="120" t="s">
        <v>855</v>
      </c>
      <c r="R194" s="28" t="s">
        <v>138</v>
      </c>
      <c r="S194" s="641" t="e">
        <f>S192/S193*O178</f>
        <v>#VALUE!</v>
      </c>
      <c r="T194" s="641"/>
      <c r="U194" s="14" t="s">
        <v>9</v>
      </c>
      <c r="V194" s="197"/>
    </row>
    <row r="195" spans="1:22" ht="18" hidden="1" customHeight="1">
      <c r="A195" s="180"/>
      <c r="B195" s="5"/>
      <c r="C195" s="47" t="s">
        <v>856</v>
      </c>
      <c r="D195" s="14"/>
      <c r="E195" s="14"/>
      <c r="F195" s="18"/>
      <c r="G195" s="18"/>
      <c r="H195" s="291"/>
      <c r="I195" s="120"/>
      <c r="J195" s="291"/>
      <c r="K195" s="291"/>
      <c r="L195" s="14"/>
      <c r="M195" s="14"/>
      <c r="N195" s="14"/>
      <c r="O195" s="14"/>
      <c r="P195" s="14"/>
      <c r="Q195" s="120" t="s">
        <v>700</v>
      </c>
      <c r="R195" s="28" t="s">
        <v>138</v>
      </c>
      <c r="S195" s="641">
        <f>J190/O178*O178</f>
        <v>1.5418674400000001</v>
      </c>
      <c r="T195" s="641"/>
      <c r="U195" s="204" t="s">
        <v>344</v>
      </c>
      <c r="V195" s="197"/>
    </row>
    <row r="196" spans="1:22" ht="18" hidden="1" customHeight="1">
      <c r="A196" s="180"/>
      <c r="B196" s="5"/>
      <c r="C196" s="47" t="s">
        <v>857</v>
      </c>
      <c r="Q196" s="120" t="s">
        <v>858</v>
      </c>
      <c r="R196" s="28" t="s">
        <v>138</v>
      </c>
      <c r="S196" s="650">
        <f>S108</f>
        <v>50000</v>
      </c>
      <c r="T196" s="651"/>
      <c r="U196" s="14" t="s">
        <v>9</v>
      </c>
      <c r="V196" s="197"/>
    </row>
    <row r="197" spans="1:22" ht="18" hidden="1" customHeight="1">
      <c r="A197" s="311"/>
      <c r="B197" s="291"/>
      <c r="C197" s="47" t="s">
        <v>859</v>
      </c>
      <c r="Q197" s="256" t="s">
        <v>860</v>
      </c>
      <c r="R197" s="28" t="s">
        <v>138</v>
      </c>
      <c r="S197" s="637" t="e">
        <f>S196/S193</f>
        <v>#VALUE!</v>
      </c>
      <c r="T197" s="637"/>
      <c r="U197" s="14" t="s">
        <v>9</v>
      </c>
      <c r="V197" s="312"/>
    </row>
    <row r="198" spans="1:22" ht="18" hidden="1" customHeight="1">
      <c r="A198" s="96"/>
      <c r="B198" s="14"/>
      <c r="C198" s="14"/>
      <c r="D198" s="14"/>
      <c r="E198" s="14"/>
      <c r="F198" s="14"/>
      <c r="G198" s="14"/>
      <c r="H198" s="14"/>
      <c r="I198" s="14"/>
      <c r="J198" s="14"/>
      <c r="K198" s="14"/>
      <c r="L198" s="14"/>
      <c r="M198" s="14"/>
      <c r="N198" s="14"/>
      <c r="O198" s="14"/>
      <c r="P198" s="28"/>
      <c r="Q198" s="120"/>
      <c r="R198" s="14"/>
      <c r="S198" s="14"/>
      <c r="T198" s="14"/>
      <c r="U198" s="14"/>
      <c r="V198" s="197"/>
    </row>
    <row r="199" spans="1:22" ht="18" hidden="1" customHeight="1">
      <c r="A199" s="205" t="s">
        <v>766</v>
      </c>
      <c r="B199" s="14"/>
      <c r="C199" s="14"/>
      <c r="D199" s="14"/>
      <c r="E199" s="14"/>
      <c r="F199" s="14"/>
      <c r="G199" s="14"/>
      <c r="H199" s="14"/>
      <c r="K199" s="14"/>
      <c r="T199" s="14"/>
      <c r="U199" s="14"/>
      <c r="V199" s="197"/>
    </row>
    <row r="200" spans="1:22" ht="18" hidden="1" customHeight="1">
      <c r="A200" s="96"/>
      <c r="B200" s="14"/>
      <c r="C200" s="14"/>
      <c r="D200" s="14"/>
      <c r="E200" s="14"/>
      <c r="F200" s="14"/>
      <c r="G200" s="14"/>
      <c r="H200" s="14"/>
      <c r="K200" s="14"/>
      <c r="T200" s="14"/>
      <c r="U200" s="14"/>
      <c r="V200" s="197"/>
    </row>
    <row r="201" spans="1:22" ht="18" hidden="1" customHeight="1">
      <c r="A201" s="205" t="s">
        <v>861</v>
      </c>
      <c r="H201" s="28"/>
      <c r="I201" s="28"/>
      <c r="J201" s="28"/>
      <c r="K201" s="28"/>
      <c r="T201" s="14"/>
      <c r="U201" s="14"/>
      <c r="V201" s="197"/>
    </row>
    <row r="202" spans="1:22" ht="18" hidden="1" customHeight="1">
      <c r="A202" s="205"/>
      <c r="H202" s="28"/>
      <c r="I202" s="28"/>
      <c r="J202" s="28"/>
      <c r="K202" s="28"/>
      <c r="T202" s="14"/>
      <c r="U202" s="14"/>
      <c r="V202" s="197"/>
    </row>
    <row r="203" spans="1:22" ht="18" hidden="1" customHeight="1">
      <c r="A203" s="196"/>
      <c r="B203" s="638" t="s">
        <v>484</v>
      </c>
      <c r="C203" s="638"/>
      <c r="D203" s="28" t="s">
        <v>862</v>
      </c>
      <c r="E203" s="28">
        <v>0.5</v>
      </c>
      <c r="F203" s="28" t="s">
        <v>326</v>
      </c>
      <c r="G203" s="638" t="s">
        <v>855</v>
      </c>
      <c r="H203" s="638"/>
      <c r="I203" s="28" t="s">
        <v>683</v>
      </c>
      <c r="J203" s="638" t="s">
        <v>431</v>
      </c>
      <c r="K203" s="638"/>
      <c r="L203" s="28" t="s">
        <v>358</v>
      </c>
      <c r="M203" s="638" t="s">
        <v>700</v>
      </c>
      <c r="N203" s="638"/>
      <c r="O203" s="14" t="s">
        <v>361</v>
      </c>
      <c r="P203" s="14"/>
      <c r="Q203" s="14"/>
      <c r="R203" s="14"/>
      <c r="T203" s="14"/>
      <c r="U203" s="14"/>
      <c r="V203" s="197"/>
    </row>
    <row r="204" spans="1:22" ht="18" hidden="1" customHeight="1">
      <c r="A204" s="196"/>
      <c r="B204" s="14"/>
      <c r="C204" s="14"/>
      <c r="D204" s="102" t="s">
        <v>138</v>
      </c>
      <c r="E204" s="28">
        <v>0.5</v>
      </c>
      <c r="F204" s="28" t="s">
        <v>326</v>
      </c>
      <c r="G204" s="641" t="e">
        <f>S194</f>
        <v>#VALUE!</v>
      </c>
      <c r="H204" s="638"/>
      <c r="I204" s="28" t="s">
        <v>683</v>
      </c>
      <c r="J204" s="638">
        <f>L180</f>
        <v>0</v>
      </c>
      <c r="K204" s="638"/>
      <c r="L204" s="28" t="s">
        <v>358</v>
      </c>
      <c r="M204" s="641">
        <f>S195</f>
        <v>1.5418674400000001</v>
      </c>
      <c r="N204" s="638"/>
      <c r="O204" s="14" t="s">
        <v>361</v>
      </c>
      <c r="S204" s="14"/>
      <c r="T204" s="14"/>
      <c r="U204" s="14"/>
      <c r="V204" s="197"/>
    </row>
    <row r="205" spans="1:22" ht="18" hidden="1" customHeight="1">
      <c r="A205" s="196"/>
      <c r="B205" s="14"/>
      <c r="C205" s="14"/>
      <c r="D205" s="102" t="s">
        <v>138</v>
      </c>
      <c r="E205" s="641" t="e">
        <f>E204*G204*(J204+M204)</f>
        <v>#VALUE!</v>
      </c>
      <c r="F205" s="641"/>
      <c r="G205" s="223"/>
      <c r="H205" s="230"/>
      <c r="I205" s="14"/>
      <c r="J205" s="14"/>
      <c r="K205" s="14"/>
      <c r="L205" s="14"/>
      <c r="M205" s="14"/>
      <c r="N205" s="14"/>
      <c r="O205" s="14"/>
      <c r="P205" s="14"/>
      <c r="Q205" s="14"/>
      <c r="R205" s="14"/>
      <c r="V205" s="197"/>
    </row>
    <row r="206" spans="1:22" ht="18" hidden="1" customHeight="1">
      <c r="A206" s="196"/>
      <c r="B206" s="14"/>
      <c r="C206" s="14"/>
      <c r="D206" s="28"/>
      <c r="E206" s="230"/>
      <c r="F206" s="230"/>
      <c r="G206" s="223"/>
      <c r="H206" s="230"/>
      <c r="I206" s="14"/>
      <c r="J206" s="14"/>
      <c r="K206" s="14"/>
      <c r="L206" s="14"/>
      <c r="M206" s="14"/>
      <c r="N206" s="14"/>
      <c r="O206" s="14"/>
      <c r="P206" s="14"/>
      <c r="Q206" s="14"/>
      <c r="R206" s="14"/>
      <c r="V206" s="197"/>
    </row>
    <row r="207" spans="1:22" ht="18" hidden="1" customHeight="1">
      <c r="A207" s="205" t="s">
        <v>863</v>
      </c>
      <c r="B207" s="14"/>
      <c r="C207" s="14"/>
      <c r="D207" s="28"/>
      <c r="E207" s="230"/>
      <c r="F207" s="230"/>
      <c r="G207" s="223"/>
      <c r="H207" s="230"/>
      <c r="I207" s="14"/>
      <c r="J207" s="14"/>
      <c r="K207" s="14"/>
      <c r="L207" s="14"/>
      <c r="M207" s="14"/>
      <c r="N207" s="14"/>
      <c r="O207" s="14"/>
      <c r="P207" s="14"/>
      <c r="Q207" s="14"/>
      <c r="R207" s="14"/>
      <c r="V207" s="197"/>
    </row>
    <row r="208" spans="1:22" ht="18" hidden="1" customHeight="1">
      <c r="A208" s="196"/>
      <c r="B208" s="14"/>
      <c r="C208" s="14"/>
      <c r="D208" s="28"/>
      <c r="E208" s="230"/>
      <c r="F208" s="230"/>
      <c r="G208" s="223"/>
      <c r="H208" s="230"/>
      <c r="I208" s="14"/>
      <c r="J208" s="14"/>
      <c r="K208" s="14"/>
      <c r="L208" s="14"/>
      <c r="M208" s="14"/>
      <c r="N208" s="14"/>
      <c r="O208" s="14"/>
      <c r="P208" s="14"/>
      <c r="Q208" s="14"/>
      <c r="R208" s="14"/>
      <c r="V208" s="197"/>
    </row>
    <row r="209" spans="1:22" ht="18" hidden="1" customHeight="1">
      <c r="A209" s="196"/>
      <c r="B209" s="638" t="s">
        <v>484</v>
      </c>
      <c r="C209" s="638"/>
      <c r="D209" s="28" t="s">
        <v>862</v>
      </c>
      <c r="E209" s="638" t="s">
        <v>860</v>
      </c>
      <c r="F209" s="638"/>
      <c r="G209" s="28" t="s">
        <v>683</v>
      </c>
      <c r="H209" s="638" t="s">
        <v>431</v>
      </c>
      <c r="I209" s="638"/>
      <c r="J209" s="28" t="s">
        <v>358</v>
      </c>
      <c r="K209" s="638" t="s">
        <v>700</v>
      </c>
      <c r="L209" s="638"/>
      <c r="M209" s="14" t="s">
        <v>361</v>
      </c>
      <c r="P209" s="14"/>
      <c r="Q209" s="14"/>
      <c r="R209" s="14"/>
      <c r="V209" s="197"/>
    </row>
    <row r="210" spans="1:22" ht="18" hidden="1" customHeight="1">
      <c r="A210" s="196"/>
      <c r="B210" s="14"/>
      <c r="C210" s="14"/>
      <c r="D210" s="102" t="s">
        <v>138</v>
      </c>
      <c r="E210" s="641" t="e">
        <f>S197</f>
        <v>#VALUE!</v>
      </c>
      <c r="F210" s="638"/>
      <c r="G210" s="28" t="s">
        <v>683</v>
      </c>
      <c r="H210" s="638">
        <f>L180</f>
        <v>0</v>
      </c>
      <c r="I210" s="638"/>
      <c r="J210" s="28" t="s">
        <v>358</v>
      </c>
      <c r="K210" s="641">
        <f>S195</f>
        <v>1.5418674400000001</v>
      </c>
      <c r="L210" s="638"/>
      <c r="M210" s="14" t="s">
        <v>361</v>
      </c>
      <c r="N210" s="14"/>
      <c r="O210" s="14"/>
      <c r="P210" s="14"/>
      <c r="Q210" s="14"/>
      <c r="R210" s="14"/>
      <c r="V210" s="197"/>
    </row>
    <row r="211" spans="1:22" ht="18" hidden="1" customHeight="1">
      <c r="A211" s="196"/>
      <c r="B211" s="14"/>
      <c r="C211" s="14"/>
      <c r="D211" s="102" t="s">
        <v>138</v>
      </c>
      <c r="E211" s="641" t="e">
        <f>E210*(H210+K210)</f>
        <v>#VALUE!</v>
      </c>
      <c r="F211" s="641"/>
      <c r="G211" s="223"/>
      <c r="H211" s="230"/>
      <c r="I211" s="14"/>
      <c r="J211" s="14"/>
      <c r="K211" s="14"/>
      <c r="L211" s="14"/>
      <c r="M211" s="14"/>
      <c r="N211" s="14"/>
      <c r="O211" s="14"/>
      <c r="P211" s="14"/>
      <c r="Q211" s="14"/>
      <c r="R211" s="14"/>
      <c r="V211" s="197"/>
    </row>
    <row r="212" spans="1:22" ht="18" hidden="1" customHeight="1">
      <c r="A212" s="196"/>
      <c r="B212" s="14"/>
      <c r="C212" s="14"/>
      <c r="D212" s="102"/>
      <c r="E212" s="230"/>
      <c r="F212" s="230"/>
      <c r="G212" s="223"/>
      <c r="H212" s="230"/>
      <c r="I212" s="14"/>
      <c r="J212" s="14"/>
      <c r="K212" s="14"/>
      <c r="L212" s="14"/>
      <c r="M212" s="14"/>
      <c r="N212" s="14"/>
      <c r="O212" s="14"/>
      <c r="P212" s="14"/>
      <c r="Q212" s="14"/>
      <c r="R212" s="14"/>
      <c r="V212" s="197"/>
    </row>
    <row r="213" spans="1:22" ht="18" hidden="1" customHeight="1">
      <c r="A213" s="196"/>
      <c r="B213" s="14"/>
      <c r="C213" s="14"/>
      <c r="D213" s="102"/>
      <c r="E213" s="230"/>
      <c r="F213" s="230"/>
      <c r="G213" s="223"/>
      <c r="H213" s="230"/>
      <c r="I213" s="14"/>
      <c r="J213" s="14"/>
      <c r="K213" s="14"/>
      <c r="L213" s="14"/>
      <c r="M213" s="14"/>
      <c r="N213" s="14"/>
      <c r="O213" s="14"/>
      <c r="P213" s="14"/>
      <c r="Q213" s="14"/>
      <c r="R213" s="14"/>
      <c r="V213" s="197"/>
    </row>
    <row r="214" spans="1:22" ht="18" hidden="1" customHeight="1">
      <c r="A214" s="196"/>
      <c r="B214" s="14"/>
      <c r="C214" s="14"/>
      <c r="D214" s="102"/>
      <c r="E214" s="230"/>
      <c r="F214" s="230"/>
      <c r="G214" s="223"/>
      <c r="H214" s="230"/>
      <c r="I214" s="14"/>
      <c r="J214" s="14"/>
      <c r="K214" s="14"/>
      <c r="L214" s="14"/>
      <c r="M214" s="14"/>
      <c r="N214" s="14"/>
      <c r="O214" s="14"/>
      <c r="P214" s="14"/>
      <c r="Q214" s="14"/>
      <c r="R214" s="14"/>
      <c r="V214" s="197"/>
    </row>
    <row r="215" spans="1:22" ht="18" hidden="1" customHeight="1">
      <c r="A215" s="196"/>
      <c r="G215" s="223"/>
      <c r="H215" s="230"/>
      <c r="J215" s="28"/>
      <c r="K215" s="28"/>
      <c r="L215" s="28"/>
      <c r="M215" s="28"/>
      <c r="N215" s="28"/>
      <c r="O215" s="28"/>
      <c r="P215" s="28"/>
      <c r="Q215" s="28"/>
      <c r="R215" s="28"/>
      <c r="V215" s="197"/>
    </row>
    <row r="216" spans="1:22" ht="18" hidden="1" customHeight="1">
      <c r="A216" s="196"/>
      <c r="V216" s="197"/>
    </row>
    <row r="217" spans="1:22" ht="18" hidden="1" customHeight="1">
      <c r="A217" s="206"/>
      <c r="B217" s="207"/>
      <c r="C217" s="207"/>
      <c r="D217" s="207"/>
      <c r="E217" s="207"/>
      <c r="F217" s="207"/>
      <c r="G217" s="207"/>
      <c r="H217" s="207"/>
      <c r="I217" s="207"/>
      <c r="J217" s="207"/>
      <c r="K217" s="207"/>
      <c r="L217" s="207"/>
      <c r="M217" s="207"/>
      <c r="N217" s="207"/>
      <c r="O217" s="207"/>
      <c r="P217" s="207"/>
      <c r="Q217" s="236"/>
      <c r="R217" s="194"/>
      <c r="S217" s="237"/>
      <c r="T217" s="207"/>
      <c r="U217" s="207"/>
      <c r="V217" s="140" t="s">
        <v>563</v>
      </c>
    </row>
    <row r="218" spans="1:22" ht="18" hidden="1" customHeight="1">
      <c r="A218" s="141"/>
      <c r="B218" s="285"/>
      <c r="C218" s="285"/>
      <c r="D218" s="285"/>
      <c r="E218" s="285"/>
      <c r="F218" s="285"/>
      <c r="G218" s="285"/>
      <c r="H218" s="285"/>
      <c r="I218" s="285"/>
      <c r="J218" s="285"/>
      <c r="K218" s="285"/>
      <c r="L218" s="285"/>
      <c r="M218" s="285"/>
      <c r="N218" s="285"/>
      <c r="O218" s="285"/>
      <c r="P218" s="285"/>
      <c r="Q218" s="286"/>
      <c r="R218" s="145"/>
      <c r="S218" s="287"/>
      <c r="T218" s="285"/>
      <c r="U218" s="285"/>
      <c r="V218" s="288"/>
    </row>
    <row r="219" spans="1:22" ht="18" hidden="1" customHeight="1">
      <c r="A219" s="205" t="s">
        <v>864</v>
      </c>
      <c r="B219" s="209"/>
      <c r="C219" s="209"/>
      <c r="D219" s="209"/>
      <c r="E219" s="14"/>
      <c r="F219" s="14"/>
      <c r="G219" s="14"/>
      <c r="H219" s="14"/>
      <c r="I219" s="14"/>
      <c r="J219" s="14"/>
      <c r="K219" s="14"/>
      <c r="L219" s="14"/>
      <c r="M219" s="14"/>
      <c r="N219" s="14"/>
      <c r="O219" s="14"/>
      <c r="P219" s="27"/>
      <c r="Q219" s="28"/>
      <c r="T219" s="14"/>
      <c r="U219" s="14"/>
      <c r="V219" s="197"/>
    </row>
    <row r="220" spans="1:22" ht="18" hidden="1" customHeight="1">
      <c r="A220" s="205"/>
      <c r="B220" s="209"/>
      <c r="C220" s="209"/>
      <c r="D220" s="209"/>
      <c r="E220" s="14"/>
      <c r="F220" s="14"/>
      <c r="G220" s="14"/>
      <c r="H220" s="14"/>
      <c r="I220" s="14"/>
      <c r="J220" s="14"/>
      <c r="K220" s="14"/>
      <c r="L220" s="14"/>
      <c r="M220" s="14"/>
      <c r="N220" s="14"/>
      <c r="O220" s="14"/>
      <c r="P220" s="27"/>
      <c r="Q220" s="28"/>
      <c r="T220" s="14"/>
      <c r="U220" s="14"/>
      <c r="V220" s="197"/>
    </row>
    <row r="221" spans="1:22" ht="18" hidden="1" customHeight="1">
      <c r="A221" s="96"/>
      <c r="B221" s="209" t="s">
        <v>861</v>
      </c>
      <c r="C221" s="209"/>
      <c r="D221" s="14"/>
      <c r="E221" s="14"/>
      <c r="F221" s="14"/>
      <c r="G221" s="14"/>
      <c r="H221" s="14"/>
      <c r="I221" s="14"/>
      <c r="J221" s="14"/>
      <c r="K221" s="14"/>
      <c r="L221" s="14"/>
      <c r="M221" s="14"/>
      <c r="N221" s="14"/>
      <c r="O221" s="14"/>
      <c r="P221" s="14"/>
      <c r="Q221" s="14"/>
      <c r="R221" s="14"/>
      <c r="S221" s="14"/>
      <c r="T221" s="14"/>
      <c r="U221" s="14"/>
      <c r="V221" s="197"/>
    </row>
    <row r="222" spans="1:22" ht="18" hidden="1" customHeight="1">
      <c r="A222" s="96"/>
      <c r="B222" s="14"/>
      <c r="C222" s="14"/>
      <c r="D222" s="14"/>
      <c r="E222" s="14"/>
      <c r="F222" s="256" t="s">
        <v>486</v>
      </c>
      <c r="G222" s="28" t="e">
        <f>IF(E223&gt;H223, "&gt;","&lt;")</f>
        <v>#VALUE!</v>
      </c>
      <c r="H222" s="14" t="s">
        <v>488</v>
      </c>
      <c r="I222" s="14"/>
      <c r="J222" s="14"/>
      <c r="K222" s="14"/>
      <c r="L222" s="14" t="s">
        <v>865</v>
      </c>
      <c r="M222" s="14"/>
      <c r="N222" s="14"/>
      <c r="O222" s="14"/>
      <c r="P222" s="14"/>
      <c r="Q222" s="14"/>
      <c r="R222" s="14"/>
      <c r="S222" s="14"/>
      <c r="T222" s="14"/>
      <c r="U222" s="14"/>
      <c r="V222" s="197"/>
    </row>
    <row r="223" spans="1:22" ht="18" hidden="1" customHeight="1">
      <c r="A223" s="96"/>
      <c r="B223" s="14"/>
      <c r="C223" s="14"/>
      <c r="D223" s="14"/>
      <c r="E223" s="959">
        <f>L181</f>
        <v>0</v>
      </c>
      <c r="F223" s="959"/>
      <c r="G223" s="28" t="e">
        <f>G222</f>
        <v>#VALUE!</v>
      </c>
      <c r="H223" s="641" t="e">
        <f>E205</f>
        <v>#VALUE!</v>
      </c>
      <c r="I223" s="641"/>
      <c r="J223" s="14"/>
      <c r="K223" s="14"/>
      <c r="L223" s="14"/>
      <c r="M223" s="14"/>
      <c r="N223" s="14"/>
      <c r="O223" s="14"/>
      <c r="P223" s="14"/>
      <c r="Q223" s="14"/>
      <c r="R223" s="14"/>
      <c r="S223" s="14"/>
      <c r="T223" s="14"/>
      <c r="U223" s="14"/>
      <c r="V223" s="197"/>
    </row>
    <row r="224" spans="1:22" ht="18" hidden="1" customHeight="1">
      <c r="A224" s="196"/>
      <c r="D224" s="223"/>
      <c r="E224" s="230"/>
      <c r="F224" s="211" t="s">
        <v>866</v>
      </c>
      <c r="G224" s="223"/>
      <c r="H224" s="293" t="s">
        <v>867</v>
      </c>
      <c r="J224" s="28" t="s">
        <v>868</v>
      </c>
      <c r="K224" s="18" t="e">
        <f>IF(G223="&gt;", "Satisfied", "Not Satisfied")</f>
        <v>#VALUE!</v>
      </c>
      <c r="P224" s="14"/>
      <c r="Q224" s="14"/>
      <c r="R224" s="14"/>
      <c r="S224" s="14"/>
      <c r="T224" s="14"/>
      <c r="U224" s="14"/>
      <c r="V224" s="197"/>
    </row>
    <row r="225" spans="1:22" ht="18" hidden="1" customHeight="1">
      <c r="A225" s="96"/>
      <c r="B225" s="209" t="s">
        <v>863</v>
      </c>
      <c r="C225" s="209"/>
      <c r="D225" s="14"/>
      <c r="E225" s="14"/>
      <c r="F225" s="14"/>
      <c r="G225" s="14"/>
      <c r="H225" s="14"/>
      <c r="I225" s="14"/>
      <c r="J225" s="14"/>
      <c r="K225" s="14"/>
      <c r="L225" s="14"/>
      <c r="M225" s="14"/>
      <c r="N225" s="14"/>
      <c r="O225" s="14"/>
      <c r="P225" s="120"/>
      <c r="Q225" s="308"/>
      <c r="V225" s="197"/>
    </row>
    <row r="226" spans="1:22" ht="18" hidden="1" customHeight="1">
      <c r="A226" s="96"/>
      <c r="B226" s="14"/>
      <c r="C226" s="14"/>
      <c r="D226" s="14"/>
      <c r="E226" s="14"/>
      <c r="F226" s="256" t="s">
        <v>486</v>
      </c>
      <c r="G226" s="28" t="e">
        <f>IF(E227&gt;H227, "&gt;","&lt;")</f>
        <v>#VALUE!</v>
      </c>
      <c r="H226" s="14" t="s">
        <v>488</v>
      </c>
      <c r="I226" s="14"/>
      <c r="J226" s="14"/>
      <c r="K226" s="14"/>
      <c r="L226" s="14" t="s">
        <v>869</v>
      </c>
      <c r="M226" s="14"/>
      <c r="N226" s="14"/>
      <c r="O226" s="14"/>
      <c r="P226" s="313"/>
      <c r="Q226" s="474"/>
      <c r="V226" s="197"/>
    </row>
    <row r="227" spans="1:22" ht="18" hidden="1" customHeight="1">
      <c r="A227" s="96"/>
      <c r="B227" s="14"/>
      <c r="C227" s="14"/>
      <c r="D227" s="14"/>
      <c r="E227" s="959">
        <f>L181</f>
        <v>0</v>
      </c>
      <c r="F227" s="959"/>
      <c r="G227" s="28" t="e">
        <f>G226</f>
        <v>#VALUE!</v>
      </c>
      <c r="H227" s="641" t="e">
        <f>E211</f>
        <v>#VALUE!</v>
      </c>
      <c r="I227" s="641"/>
      <c r="J227" s="14"/>
      <c r="K227" s="14"/>
      <c r="L227" s="14"/>
      <c r="M227" s="14"/>
      <c r="N227" s="14"/>
      <c r="O227" s="14"/>
      <c r="V227" s="197"/>
    </row>
    <row r="228" spans="1:22" ht="18" hidden="1" customHeight="1">
      <c r="A228" s="196"/>
      <c r="D228" s="223"/>
      <c r="E228" s="14"/>
      <c r="F228" s="211" t="s">
        <v>866</v>
      </c>
      <c r="G228" s="223"/>
      <c r="H228" s="293" t="s">
        <v>863</v>
      </c>
      <c r="J228" s="28" t="s">
        <v>868</v>
      </c>
      <c r="K228" s="18" t="e">
        <f>IF(G227="&gt;", "Satisfied", "Not Satisfied")</f>
        <v>#VALUE!</v>
      </c>
      <c r="P228" s="244"/>
      <c r="Q228" s="244"/>
      <c r="R228" s="244"/>
      <c r="S228" s="244"/>
      <c r="T228" s="244"/>
      <c r="U228" s="244"/>
      <c r="V228" s="245"/>
    </row>
    <row r="229" spans="1:22" ht="18" hidden="1" customHeight="1">
      <c r="A229" s="196"/>
      <c r="H229" s="28"/>
      <c r="I229" s="28"/>
      <c r="J229" s="28"/>
      <c r="K229" s="28"/>
      <c r="L229" s="28"/>
      <c r="M229" s="28"/>
      <c r="N229" s="28"/>
      <c r="O229" s="28"/>
      <c r="P229" s="244"/>
      <c r="Q229" s="244"/>
      <c r="R229" s="244"/>
      <c r="S229" s="244"/>
      <c r="T229" s="244"/>
      <c r="U229" s="244"/>
      <c r="V229" s="245"/>
    </row>
    <row r="230" spans="1:22" ht="18" hidden="1" customHeight="1">
      <c r="A230" s="96"/>
      <c r="B230" s="14"/>
      <c r="C230" s="14"/>
      <c r="D230" s="14"/>
      <c r="E230" s="14"/>
      <c r="F230" s="256" t="s">
        <v>489</v>
      </c>
      <c r="G230" s="14"/>
      <c r="H230" s="18" t="e">
        <f>IF(AND(E223&gt;H223,E227&gt;H227),"Suitably Dimentioned","Under Dimentioned")</f>
        <v>#VALUE!</v>
      </c>
      <c r="I230" s="18"/>
      <c r="J230" s="18"/>
      <c r="K230" s="18"/>
      <c r="L230" s="18"/>
      <c r="M230" s="18"/>
      <c r="N230" s="14"/>
      <c r="O230" s="14"/>
      <c r="V230" s="197"/>
    </row>
    <row r="231" spans="1:22" ht="18" hidden="1" customHeight="1">
      <c r="A231" s="196"/>
      <c r="B231" s="27"/>
      <c r="C231" s="27"/>
      <c r="D231" s="27"/>
      <c r="E231" s="28"/>
      <c r="F231" s="27"/>
      <c r="G231" s="28"/>
      <c r="H231" s="27"/>
      <c r="I231" s="28"/>
      <c r="J231" s="27"/>
      <c r="K231" s="27"/>
      <c r="L231" s="27"/>
      <c r="M231" s="27"/>
      <c r="V231" s="197"/>
    </row>
    <row r="232" spans="1:22" ht="18" hidden="1" customHeight="1">
      <c r="A232" s="196"/>
      <c r="C232" s="27"/>
      <c r="D232" s="257"/>
      <c r="E232" s="233"/>
      <c r="F232" s="257"/>
      <c r="G232" s="234"/>
      <c r="H232" s="257"/>
      <c r="I232" s="257"/>
      <c r="J232" s="257"/>
      <c r="K232" s="257"/>
      <c r="L232" s="257"/>
      <c r="M232" s="27"/>
      <c r="V232" s="197"/>
    </row>
    <row r="233" spans="1:22" ht="18" hidden="1" customHeight="1">
      <c r="A233" s="196"/>
      <c r="C233" s="27"/>
      <c r="D233" s="216"/>
      <c r="E233" s="216"/>
      <c r="G233" s="18"/>
      <c r="V233" s="197"/>
    </row>
    <row r="234" spans="1:22" ht="18" hidden="1" customHeight="1">
      <c r="A234" s="96"/>
      <c r="B234" s="14"/>
      <c r="C234" s="14"/>
      <c r="D234" s="14"/>
      <c r="E234" s="14"/>
      <c r="F234" s="14"/>
      <c r="G234" s="14"/>
      <c r="H234" s="14"/>
      <c r="I234" s="14"/>
      <c r="J234" s="14"/>
      <c r="K234" s="14"/>
      <c r="L234" s="14"/>
      <c r="M234" s="14"/>
      <c r="N234" s="14"/>
      <c r="O234" s="14"/>
      <c r="P234" s="14"/>
      <c r="Q234" s="120"/>
      <c r="R234" s="28"/>
      <c r="S234" s="558"/>
      <c r="T234" s="14"/>
      <c r="U234" s="14"/>
      <c r="V234" s="394"/>
    </row>
    <row r="235" spans="1:22" ht="18" hidden="1" customHeight="1">
      <c r="A235" s="96"/>
      <c r="B235" s="14"/>
      <c r="C235" s="14"/>
      <c r="D235" s="14"/>
      <c r="E235" s="14"/>
      <c r="F235" s="14"/>
      <c r="G235" s="14"/>
      <c r="H235" s="14"/>
      <c r="I235" s="14"/>
      <c r="J235" s="14"/>
      <c r="K235" s="14"/>
      <c r="L235" s="14"/>
      <c r="M235" s="14"/>
      <c r="N235" s="14"/>
      <c r="O235" s="14"/>
      <c r="P235" s="14"/>
      <c r="Q235" s="120"/>
      <c r="R235" s="28"/>
      <c r="S235" s="558"/>
      <c r="T235" s="14"/>
      <c r="U235" s="14"/>
      <c r="V235" s="394"/>
    </row>
    <row r="236" spans="1:22" ht="18" hidden="1" customHeight="1">
      <c r="A236" s="96"/>
      <c r="B236" s="14"/>
      <c r="C236" s="14"/>
      <c r="D236" s="14"/>
      <c r="E236" s="14"/>
      <c r="F236" s="14"/>
      <c r="G236" s="14"/>
      <c r="H236" s="14"/>
      <c r="I236" s="14"/>
      <c r="J236" s="14"/>
      <c r="K236" s="14"/>
      <c r="L236" s="14"/>
      <c r="M236" s="14"/>
      <c r="N236" s="14"/>
      <c r="O236" s="14"/>
      <c r="P236" s="14"/>
      <c r="Q236" s="120"/>
      <c r="R236" s="28"/>
      <c r="S236" s="558"/>
      <c r="T236" s="14"/>
      <c r="U236" s="14"/>
      <c r="V236" s="394"/>
    </row>
    <row r="237" spans="1:22" ht="18" hidden="1" customHeight="1">
      <c r="A237" s="96"/>
      <c r="B237" s="14"/>
      <c r="C237" s="14"/>
      <c r="D237" s="14"/>
      <c r="E237" s="14"/>
      <c r="F237" s="14"/>
      <c r="G237" s="14"/>
      <c r="H237" s="14"/>
      <c r="I237" s="14"/>
      <c r="J237" s="14"/>
      <c r="K237" s="14"/>
      <c r="L237" s="14"/>
      <c r="M237" s="14"/>
      <c r="N237" s="14"/>
      <c r="O237" s="14"/>
      <c r="P237" s="14"/>
      <c r="Q237" s="120"/>
      <c r="R237" s="28"/>
      <c r="S237" s="558"/>
      <c r="T237" s="14"/>
      <c r="U237" s="14"/>
      <c r="V237" s="394"/>
    </row>
    <row r="238" spans="1:22" ht="18" hidden="1" customHeight="1">
      <c r="A238" s="96"/>
      <c r="B238" s="14"/>
      <c r="C238" s="14"/>
      <c r="D238" s="14"/>
      <c r="E238" s="14"/>
      <c r="F238" s="14"/>
      <c r="G238" s="14"/>
      <c r="H238" s="14"/>
      <c r="I238" s="14"/>
      <c r="J238" s="14"/>
      <c r="K238" s="14"/>
      <c r="L238" s="14"/>
      <c r="M238" s="14"/>
      <c r="N238" s="14"/>
      <c r="O238" s="14"/>
      <c r="P238" s="14"/>
      <c r="Q238" s="120"/>
      <c r="R238" s="28"/>
      <c r="S238" s="558"/>
      <c r="T238" s="14"/>
      <c r="U238" s="14"/>
      <c r="V238" s="394"/>
    </row>
    <row r="239" spans="1:22" ht="18" hidden="1" customHeight="1">
      <c r="A239" s="96"/>
      <c r="B239" s="14"/>
      <c r="C239" s="14"/>
      <c r="D239" s="14"/>
      <c r="E239" s="14"/>
      <c r="F239" s="14"/>
      <c r="G239" s="14"/>
      <c r="H239" s="14"/>
      <c r="I239" s="14"/>
      <c r="J239" s="14"/>
      <c r="K239" s="14"/>
      <c r="L239" s="14"/>
      <c r="M239" s="14"/>
      <c r="N239" s="14"/>
      <c r="O239" s="14"/>
      <c r="P239" s="14"/>
      <c r="Q239" s="120"/>
      <c r="R239" s="28"/>
      <c r="S239" s="558"/>
      <c r="T239" s="14"/>
      <c r="U239" s="14"/>
      <c r="V239" s="394"/>
    </row>
    <row r="240" spans="1:22" ht="18" hidden="1" customHeight="1">
      <c r="A240" s="96"/>
      <c r="B240" s="14"/>
      <c r="C240" s="14"/>
      <c r="D240" s="14"/>
      <c r="E240" s="14"/>
      <c r="F240" s="14"/>
      <c r="G240" s="14"/>
      <c r="H240" s="14"/>
      <c r="I240" s="14"/>
      <c r="J240" s="14"/>
      <c r="K240" s="14"/>
      <c r="L240" s="14"/>
      <c r="M240" s="14"/>
      <c r="N240" s="14"/>
      <c r="O240" s="14"/>
      <c r="P240" s="14"/>
      <c r="Q240" s="120"/>
      <c r="R240" s="28"/>
      <c r="S240" s="558"/>
      <c r="T240" s="14"/>
      <c r="U240" s="14"/>
      <c r="V240" s="394"/>
    </row>
    <row r="241" spans="1:22" ht="18" hidden="1" customHeight="1">
      <c r="A241" s="96"/>
      <c r="B241" s="14"/>
      <c r="C241" s="14"/>
      <c r="D241" s="14"/>
      <c r="E241" s="14"/>
      <c r="F241" s="14"/>
      <c r="G241" s="14"/>
      <c r="H241" s="14"/>
      <c r="I241" s="14"/>
      <c r="J241" s="14"/>
      <c r="K241" s="14"/>
      <c r="L241" s="14"/>
      <c r="M241" s="14"/>
      <c r="N241" s="14"/>
      <c r="O241" s="14"/>
      <c r="P241" s="14"/>
      <c r="Q241" s="120"/>
      <c r="R241" s="28"/>
      <c r="S241" s="558"/>
      <c r="T241" s="14"/>
      <c r="U241" s="14"/>
      <c r="V241" s="394"/>
    </row>
    <row r="242" spans="1:22" ht="18" hidden="1" customHeight="1">
      <c r="A242" s="96"/>
      <c r="B242" s="14"/>
      <c r="C242" s="14"/>
      <c r="D242" s="14"/>
      <c r="E242" s="14"/>
      <c r="F242" s="14"/>
      <c r="G242" s="14"/>
      <c r="H242" s="14"/>
      <c r="I242" s="14"/>
      <c r="J242" s="14"/>
      <c r="K242" s="14"/>
      <c r="L242" s="14"/>
      <c r="M242" s="14"/>
      <c r="N242" s="14"/>
      <c r="O242" s="14"/>
      <c r="P242" s="14"/>
      <c r="Q242" s="120"/>
      <c r="R242" s="28"/>
      <c r="S242" s="558"/>
      <c r="T242" s="14"/>
      <c r="U242" s="14"/>
      <c r="V242" s="394"/>
    </row>
    <row r="243" spans="1:22" ht="18" hidden="1" customHeight="1">
      <c r="A243" s="96"/>
      <c r="B243" s="14"/>
      <c r="C243" s="14"/>
      <c r="D243" s="14"/>
      <c r="E243" s="14"/>
      <c r="F243" s="14"/>
      <c r="G243" s="14"/>
      <c r="H243" s="14"/>
      <c r="I243" s="14"/>
      <c r="J243" s="14"/>
      <c r="K243" s="14"/>
      <c r="L243" s="14"/>
      <c r="M243" s="14"/>
      <c r="N243" s="14"/>
      <c r="O243" s="14"/>
      <c r="P243" s="14"/>
      <c r="Q243" s="120"/>
      <c r="R243" s="28"/>
      <c r="S243" s="558"/>
      <c r="T243" s="14"/>
      <c r="U243" s="14"/>
      <c r="V243" s="394"/>
    </row>
    <row r="244" spans="1:22" ht="18" hidden="1" customHeight="1">
      <c r="A244" s="96"/>
      <c r="B244" s="14"/>
      <c r="C244" s="14"/>
      <c r="D244" s="14"/>
      <c r="E244" s="14"/>
      <c r="F244" s="14"/>
      <c r="G244" s="14"/>
      <c r="H244" s="14"/>
      <c r="I244" s="14"/>
      <c r="J244" s="14"/>
      <c r="K244" s="14"/>
      <c r="L244" s="14"/>
      <c r="M244" s="14"/>
      <c r="N244" s="14"/>
      <c r="O244" s="14"/>
      <c r="P244" s="14"/>
      <c r="Q244" s="120"/>
      <c r="R244" s="28"/>
      <c r="S244" s="558"/>
      <c r="T244" s="14"/>
      <c r="U244" s="14"/>
      <c r="V244" s="394"/>
    </row>
    <row r="245" spans="1:22" ht="18" hidden="1" customHeight="1">
      <c r="A245" s="96"/>
      <c r="B245" s="14"/>
      <c r="C245" s="14"/>
      <c r="D245" s="14"/>
      <c r="E245" s="14"/>
      <c r="F245" s="14"/>
      <c r="G245" s="14"/>
      <c r="H245" s="14"/>
      <c r="I245" s="14"/>
      <c r="J245" s="14"/>
      <c r="K245" s="14"/>
      <c r="L245" s="14"/>
      <c r="M245" s="14"/>
      <c r="N245" s="14"/>
      <c r="O245" s="14"/>
      <c r="P245" s="14"/>
      <c r="Q245" s="120"/>
      <c r="R245" s="28"/>
      <c r="S245" s="558"/>
      <c r="T245" s="14"/>
      <c r="U245" s="14"/>
      <c r="V245" s="394"/>
    </row>
    <row r="246" spans="1:22" ht="18" hidden="1" customHeight="1">
      <c r="A246" s="96"/>
      <c r="B246" s="14"/>
      <c r="C246" s="14"/>
      <c r="D246" s="14"/>
      <c r="E246" s="14"/>
      <c r="F246" s="14"/>
      <c r="G246" s="14"/>
      <c r="H246" s="14"/>
      <c r="I246" s="14"/>
      <c r="J246" s="14"/>
      <c r="K246" s="14"/>
      <c r="L246" s="14"/>
      <c r="M246" s="14"/>
      <c r="N246" s="14"/>
      <c r="O246" s="14"/>
      <c r="P246" s="14"/>
      <c r="Q246" s="120"/>
      <c r="R246" s="28"/>
      <c r="S246" s="558"/>
      <c r="T246" s="14"/>
      <c r="U246" s="14"/>
      <c r="V246" s="394"/>
    </row>
    <row r="247" spans="1:22" ht="18" hidden="1" customHeight="1">
      <c r="A247" s="96"/>
      <c r="B247" s="14"/>
      <c r="C247" s="14"/>
      <c r="D247" s="14"/>
      <c r="E247" s="14"/>
      <c r="F247" s="14"/>
      <c r="G247" s="14"/>
      <c r="H247" s="14"/>
      <c r="I247" s="14"/>
      <c r="J247" s="14"/>
      <c r="K247" s="14"/>
      <c r="L247" s="14"/>
      <c r="M247" s="14"/>
      <c r="N247" s="14"/>
      <c r="O247" s="14"/>
      <c r="P247" s="14"/>
      <c r="Q247" s="120"/>
      <c r="R247" s="28"/>
      <c r="S247" s="558"/>
      <c r="T247" s="14"/>
      <c r="U247" s="14"/>
      <c r="V247" s="394"/>
    </row>
    <row r="248" spans="1:22" ht="18" hidden="1" customHeight="1">
      <c r="A248" s="96"/>
      <c r="B248" s="14"/>
      <c r="C248" s="14"/>
      <c r="D248" s="14"/>
      <c r="E248" s="14"/>
      <c r="F248" s="14"/>
      <c r="G248" s="14"/>
      <c r="H248" s="14"/>
      <c r="I248" s="14"/>
      <c r="J248" s="14"/>
      <c r="K248" s="14"/>
      <c r="L248" s="14"/>
      <c r="M248" s="14"/>
      <c r="N248" s="14"/>
      <c r="O248" s="14"/>
      <c r="P248" s="14"/>
      <c r="Q248" s="120"/>
      <c r="R248" s="28"/>
      <c r="S248" s="558"/>
      <c r="T248" s="14"/>
      <c r="U248" s="14"/>
      <c r="V248" s="394"/>
    </row>
    <row r="249" spans="1:22" ht="18" hidden="1" customHeight="1">
      <c r="A249" s="96"/>
      <c r="B249" s="14"/>
      <c r="C249" s="14"/>
      <c r="D249" s="14"/>
      <c r="E249" s="14"/>
      <c r="F249" s="14"/>
      <c r="G249" s="14"/>
      <c r="H249" s="14"/>
      <c r="I249" s="14"/>
      <c r="J249" s="14"/>
      <c r="K249" s="14"/>
      <c r="L249" s="14"/>
      <c r="M249" s="14"/>
      <c r="N249" s="14"/>
      <c r="O249" s="14"/>
      <c r="P249" s="14"/>
      <c r="Q249" s="120"/>
      <c r="R249" s="28"/>
      <c r="S249" s="558"/>
      <c r="T249" s="14"/>
      <c r="U249" s="14"/>
      <c r="V249" s="394"/>
    </row>
    <row r="250" spans="1:22" ht="18" hidden="1" customHeight="1">
      <c r="A250" s="96"/>
      <c r="B250" s="14"/>
      <c r="C250" s="14"/>
      <c r="D250" s="14"/>
      <c r="E250" s="14"/>
      <c r="F250" s="14"/>
      <c r="G250" s="14"/>
      <c r="H250" s="14"/>
      <c r="I250" s="14"/>
      <c r="J250" s="14"/>
      <c r="K250" s="14"/>
      <c r="L250" s="14"/>
      <c r="M250" s="14"/>
      <c r="N250" s="14"/>
      <c r="O250" s="14"/>
      <c r="P250" s="14"/>
      <c r="Q250" s="120"/>
      <c r="R250" s="28"/>
      <c r="S250" s="558"/>
      <c r="T250" s="14"/>
      <c r="U250" s="14"/>
      <c r="V250" s="394"/>
    </row>
    <row r="251" spans="1:22" ht="18" hidden="1" customHeight="1">
      <c r="A251" s="96"/>
      <c r="B251" s="14"/>
      <c r="C251" s="14"/>
      <c r="D251" s="14"/>
      <c r="E251" s="14"/>
      <c r="F251" s="14"/>
      <c r="G251" s="14"/>
      <c r="H251" s="14"/>
      <c r="I251" s="14"/>
      <c r="J251" s="14"/>
      <c r="K251" s="14"/>
      <c r="L251" s="14"/>
      <c r="M251" s="14"/>
      <c r="N251" s="14"/>
      <c r="O251" s="14"/>
      <c r="P251" s="14"/>
      <c r="Q251" s="120"/>
      <c r="R251" s="28"/>
      <c r="S251" s="558"/>
      <c r="T251" s="14"/>
      <c r="U251" s="14"/>
      <c r="V251" s="394"/>
    </row>
    <row r="252" spans="1:22" ht="18" hidden="1" customHeight="1">
      <c r="A252" s="96"/>
      <c r="B252" s="14"/>
      <c r="C252" s="14"/>
      <c r="D252" s="14"/>
      <c r="E252" s="14"/>
      <c r="F252" s="14"/>
      <c r="G252" s="14"/>
      <c r="H252" s="14"/>
      <c r="I252" s="14"/>
      <c r="J252" s="14"/>
      <c r="K252" s="14"/>
      <c r="L252" s="14"/>
      <c r="M252" s="14"/>
      <c r="N252" s="14"/>
      <c r="O252" s="14"/>
      <c r="P252" s="14"/>
      <c r="Q252" s="120"/>
      <c r="R252" s="28"/>
      <c r="S252" s="558"/>
      <c r="T252" s="14"/>
      <c r="U252" s="14"/>
      <c r="V252" s="394"/>
    </row>
    <row r="253" spans="1:22" ht="18" hidden="1" customHeight="1">
      <c r="A253" s="96"/>
      <c r="B253" s="14"/>
      <c r="C253" s="14"/>
      <c r="D253" s="14"/>
      <c r="E253" s="14"/>
      <c r="F253" s="14"/>
      <c r="G253" s="14"/>
      <c r="H253" s="14"/>
      <c r="I253" s="14"/>
      <c r="J253" s="14"/>
      <c r="K253" s="14"/>
      <c r="L253" s="14"/>
      <c r="M253" s="14"/>
      <c r="N253" s="14"/>
      <c r="O253" s="14"/>
      <c r="P253" s="14"/>
      <c r="Q253" s="120"/>
      <c r="R253" s="28"/>
      <c r="S253" s="558"/>
      <c r="T253" s="14"/>
      <c r="U253" s="14"/>
      <c r="V253" s="394"/>
    </row>
    <row r="254" spans="1:22" ht="18" hidden="1" customHeight="1">
      <c r="A254" s="96"/>
      <c r="B254" s="14"/>
      <c r="C254" s="14"/>
      <c r="D254" s="14"/>
      <c r="E254" s="14"/>
      <c r="F254" s="14"/>
      <c r="G254" s="14"/>
      <c r="H254" s="14"/>
      <c r="I254" s="14"/>
      <c r="J254" s="14"/>
      <c r="K254" s="14"/>
      <c r="L254" s="14"/>
      <c r="M254" s="14"/>
      <c r="N254" s="14"/>
      <c r="O254" s="14"/>
      <c r="P254" s="14"/>
      <c r="Q254" s="120"/>
      <c r="R254" s="28"/>
      <c r="S254" s="558"/>
      <c r="T254" s="14"/>
      <c r="U254" s="14"/>
      <c r="V254" s="394"/>
    </row>
    <row r="255" spans="1:22" ht="18" hidden="1" customHeight="1">
      <c r="A255" s="96"/>
      <c r="B255" s="14"/>
      <c r="C255" s="14"/>
      <c r="D255" s="14"/>
      <c r="E255" s="14"/>
      <c r="F255" s="14"/>
      <c r="G255" s="14"/>
      <c r="H255" s="14"/>
      <c r="I255" s="14"/>
      <c r="J255" s="14"/>
      <c r="K255" s="14"/>
      <c r="L255" s="14"/>
      <c r="M255" s="14"/>
      <c r="N255" s="14"/>
      <c r="O255" s="14"/>
      <c r="P255" s="14"/>
      <c r="Q255" s="120"/>
      <c r="R255" s="28"/>
      <c r="S255" s="558"/>
      <c r="T255" s="14"/>
      <c r="U255" s="14"/>
      <c r="V255" s="394"/>
    </row>
    <row r="256" spans="1:22" ht="18" hidden="1" customHeight="1">
      <c r="A256" s="96"/>
      <c r="B256" s="14"/>
      <c r="C256" s="14"/>
      <c r="D256" s="14"/>
      <c r="E256" s="14"/>
      <c r="F256" s="14"/>
      <c r="G256" s="14"/>
      <c r="H256" s="14"/>
      <c r="I256" s="14"/>
      <c r="J256" s="14"/>
      <c r="K256" s="14"/>
      <c r="L256" s="14"/>
      <c r="M256" s="14"/>
      <c r="N256" s="14"/>
      <c r="O256" s="14"/>
      <c r="P256" s="14"/>
      <c r="Q256" s="120"/>
      <c r="R256" s="28"/>
      <c r="S256" s="558"/>
      <c r="T256" s="14"/>
      <c r="U256" s="14"/>
      <c r="V256" s="394"/>
    </row>
    <row r="257" spans="1:44" ht="18" hidden="1" customHeight="1">
      <c r="A257" s="96"/>
      <c r="B257" s="14"/>
      <c r="C257" s="14"/>
      <c r="D257" s="14"/>
      <c r="E257" s="14"/>
      <c r="F257" s="14"/>
      <c r="G257" s="14"/>
      <c r="H257" s="14"/>
      <c r="I257" s="14"/>
      <c r="J257" s="14"/>
      <c r="K257" s="14"/>
      <c r="L257" s="14"/>
      <c r="M257" s="14"/>
      <c r="N257" s="14"/>
      <c r="O257" s="14"/>
      <c r="P257" s="14"/>
      <c r="Q257" s="120"/>
      <c r="R257" s="28"/>
      <c r="S257" s="558"/>
      <c r="T257" s="14"/>
      <c r="U257" s="14"/>
      <c r="V257" s="394"/>
    </row>
    <row r="258" spans="1:44" ht="18" hidden="1" customHeight="1">
      <c r="A258" s="96"/>
      <c r="B258" s="14"/>
      <c r="C258" s="14"/>
      <c r="D258" s="14"/>
      <c r="E258" s="14"/>
      <c r="F258" s="14"/>
      <c r="G258" s="14"/>
      <c r="H258" s="14"/>
      <c r="I258" s="14"/>
      <c r="J258" s="14"/>
      <c r="K258" s="14"/>
      <c r="L258" s="14"/>
      <c r="M258" s="14"/>
      <c r="N258" s="14"/>
      <c r="O258" s="14"/>
      <c r="P258" s="14"/>
      <c r="Q258" s="120"/>
      <c r="R258" s="28"/>
      <c r="S258" s="558"/>
      <c r="T258" s="14"/>
      <c r="U258" s="14"/>
      <c r="V258" s="394"/>
    </row>
    <row r="259" spans="1:44" ht="18" hidden="1" customHeight="1">
      <c r="A259" s="96"/>
      <c r="B259" s="14"/>
      <c r="C259" s="14"/>
      <c r="D259" s="14"/>
      <c r="E259" s="14"/>
      <c r="F259" s="14"/>
      <c r="G259" s="14"/>
      <c r="H259" s="14"/>
      <c r="I259" s="14"/>
      <c r="J259" s="14"/>
      <c r="K259" s="14"/>
      <c r="L259" s="14"/>
      <c r="M259" s="14"/>
      <c r="N259" s="14"/>
      <c r="O259" s="14"/>
      <c r="P259" s="14"/>
      <c r="Q259" s="120"/>
      <c r="R259" s="28"/>
      <c r="S259" s="558"/>
      <c r="T259" s="14"/>
      <c r="U259" s="14"/>
      <c r="V259" s="394"/>
    </row>
    <row r="260" spans="1:44" ht="18" hidden="1" customHeight="1">
      <c r="A260" s="96"/>
      <c r="B260" s="14"/>
      <c r="C260" s="14"/>
      <c r="D260" s="14"/>
      <c r="E260" s="14"/>
      <c r="F260" s="14"/>
      <c r="G260" s="14"/>
      <c r="H260" s="14"/>
      <c r="I260" s="14"/>
      <c r="J260" s="14"/>
      <c r="K260" s="14"/>
      <c r="L260" s="14"/>
      <c r="M260" s="14"/>
      <c r="N260" s="14"/>
      <c r="O260" s="14"/>
      <c r="P260" s="14"/>
      <c r="Q260" s="120"/>
      <c r="R260" s="28"/>
      <c r="S260" s="558"/>
      <c r="T260" s="14"/>
      <c r="U260" s="14"/>
      <c r="V260" s="394"/>
    </row>
    <row r="261" spans="1:44" ht="18" hidden="1" customHeight="1">
      <c r="A261" s="206"/>
      <c r="B261" s="207"/>
      <c r="C261" s="207"/>
      <c r="D261" s="207"/>
      <c r="E261" s="207"/>
      <c r="F261" s="207"/>
      <c r="G261" s="207"/>
      <c r="H261" s="207"/>
      <c r="I261" s="207"/>
      <c r="J261" s="207"/>
      <c r="K261" s="207"/>
      <c r="L261" s="207"/>
      <c r="M261" s="207"/>
      <c r="N261" s="207"/>
      <c r="O261" s="207"/>
      <c r="P261" s="207"/>
      <c r="Q261" s="236"/>
      <c r="R261" s="194"/>
      <c r="S261" s="237"/>
      <c r="T261" s="207"/>
      <c r="U261" s="207"/>
      <c r="V261" s="140" t="s">
        <v>563</v>
      </c>
    </row>
    <row r="262" spans="1:44" ht="18" customHeight="1">
      <c r="A262" s="238"/>
      <c r="B262" s="239"/>
      <c r="C262" s="239"/>
      <c r="D262" s="239"/>
      <c r="E262" s="239"/>
      <c r="F262" s="239"/>
      <c r="G262" s="239"/>
      <c r="H262" s="239"/>
      <c r="I262" s="239"/>
      <c r="J262" s="239"/>
      <c r="K262" s="239"/>
      <c r="L262" s="239"/>
      <c r="M262" s="239"/>
      <c r="N262" s="239"/>
      <c r="O262" s="239"/>
      <c r="P262" s="239"/>
      <c r="Q262" s="239"/>
      <c r="R262" s="239"/>
      <c r="S262" s="239"/>
      <c r="T262" s="239"/>
      <c r="U262" s="239"/>
      <c r="V262" s="240"/>
    </row>
    <row r="263" spans="1:44" ht="18" customHeight="1">
      <c r="A263" s="274" t="s">
        <v>512</v>
      </c>
      <c r="B263" s="14"/>
      <c r="C263" s="14"/>
      <c r="D263" s="120"/>
      <c r="E263" s="120"/>
      <c r="F263" s="18"/>
      <c r="G263" s="18"/>
      <c r="H263" s="14"/>
      <c r="I263" s="14"/>
      <c r="J263" s="14"/>
      <c r="V263" s="197"/>
    </row>
    <row r="264" spans="1:44" ht="18" customHeight="1">
      <c r="A264" s="614" t="s">
        <v>97</v>
      </c>
      <c r="B264" s="620"/>
      <c r="C264" s="615"/>
      <c r="D264" s="614" t="s">
        <v>98</v>
      </c>
      <c r="E264" s="620"/>
      <c r="F264" s="615"/>
      <c r="G264" s="614" t="s">
        <v>99</v>
      </c>
      <c r="H264" s="615"/>
      <c r="I264" s="614" t="s">
        <v>100</v>
      </c>
      <c r="J264" s="615"/>
      <c r="K264" s="614" t="s">
        <v>513</v>
      </c>
      <c r="L264" s="615"/>
      <c r="M264" s="614" t="s">
        <v>514</v>
      </c>
      <c r="N264" s="615"/>
      <c r="O264" s="614" t="s">
        <v>515</v>
      </c>
      <c r="P264" s="615"/>
      <c r="Q264" s="614" t="s">
        <v>516</v>
      </c>
      <c r="R264" s="615"/>
      <c r="S264" s="614" t="s">
        <v>105</v>
      </c>
      <c r="T264" s="620"/>
      <c r="U264" s="620"/>
      <c r="V264" s="615"/>
    </row>
    <row r="265" spans="1:44" ht="18" customHeight="1">
      <c r="A265" s="616"/>
      <c r="B265" s="621"/>
      <c r="C265" s="617"/>
      <c r="D265" s="616"/>
      <c r="E265" s="621"/>
      <c r="F265" s="617"/>
      <c r="G265" s="616"/>
      <c r="H265" s="617"/>
      <c r="I265" s="616"/>
      <c r="J265" s="617"/>
      <c r="K265" s="616"/>
      <c r="L265" s="617"/>
      <c r="M265" s="616"/>
      <c r="N265" s="617"/>
      <c r="O265" s="616"/>
      <c r="P265" s="617"/>
      <c r="Q265" s="616"/>
      <c r="R265" s="617"/>
      <c r="S265" s="616"/>
      <c r="T265" s="621"/>
      <c r="U265" s="621"/>
      <c r="V265" s="617"/>
    </row>
    <row r="266" spans="1:44" ht="18" customHeight="1">
      <c r="A266" s="616"/>
      <c r="B266" s="621"/>
      <c r="C266" s="617"/>
      <c r="D266" s="616"/>
      <c r="E266" s="621"/>
      <c r="F266" s="617"/>
      <c r="G266" s="616"/>
      <c r="H266" s="617"/>
      <c r="I266" s="616"/>
      <c r="J266" s="617"/>
      <c r="K266" s="616"/>
      <c r="L266" s="617"/>
      <c r="M266" s="616"/>
      <c r="N266" s="617"/>
      <c r="O266" s="616"/>
      <c r="P266" s="617"/>
      <c r="Q266" s="616"/>
      <c r="R266" s="617"/>
      <c r="S266" s="616"/>
      <c r="T266" s="621"/>
      <c r="U266" s="621"/>
      <c r="V266" s="617"/>
    </row>
    <row r="267" spans="1:44" ht="18" customHeight="1">
      <c r="A267" s="618"/>
      <c r="B267" s="622"/>
      <c r="C267" s="619"/>
      <c r="D267" s="618"/>
      <c r="E267" s="622"/>
      <c r="F267" s="619"/>
      <c r="G267" s="618"/>
      <c r="H267" s="619"/>
      <c r="I267" s="618"/>
      <c r="J267" s="619"/>
      <c r="K267" s="618"/>
      <c r="L267" s="619"/>
      <c r="M267" s="618"/>
      <c r="N267" s="619"/>
      <c r="O267" s="618"/>
      <c r="P267" s="619"/>
      <c r="Q267" s="618"/>
      <c r="R267" s="619"/>
      <c r="S267" s="618"/>
      <c r="T267" s="622"/>
      <c r="U267" s="622"/>
      <c r="V267" s="619"/>
    </row>
    <row r="268" spans="1:44" ht="18" customHeight="1">
      <c r="A268" s="804" t="str">
        <f>B7</f>
        <v>T1</v>
      </c>
      <c r="B268" s="840" t="str">
        <f>D7</f>
        <v>Core5</v>
      </c>
      <c r="C268" s="664"/>
      <c r="D268" s="820">
        <f>H10</f>
        <v>2500</v>
      </c>
      <c r="E268" s="822"/>
      <c r="F268" s="624">
        <f>O10</f>
        <v>1</v>
      </c>
      <c r="G268" s="624">
        <f>'CT-VT Burdens'!S19</f>
        <v>80</v>
      </c>
      <c r="H268" s="631">
        <f>'CT-VT Burdens'!S10</f>
        <v>2.5</v>
      </c>
      <c r="I268" s="813" t="str">
        <f>H11</f>
        <v>PX-B</v>
      </c>
      <c r="J268" s="814"/>
      <c r="K268" s="836">
        <f>H12</f>
        <v>5</v>
      </c>
      <c r="L268" s="837"/>
      <c r="M268" s="836">
        <f>H13</f>
        <v>750</v>
      </c>
      <c r="N268" s="837"/>
      <c r="O268" s="820">
        <f>H14</f>
        <v>60</v>
      </c>
      <c r="P268" s="822"/>
      <c r="Q268" s="829" t="str">
        <f>T7</f>
        <v>P743</v>
      </c>
      <c r="R268" s="830"/>
      <c r="S268" s="1059" t="str">
        <f>H58</f>
        <v>Suitably Dimentioned</v>
      </c>
      <c r="T268" s="1060"/>
      <c r="U268" s="1060"/>
      <c r="V268" s="1061"/>
    </row>
    <row r="269" spans="1:44" ht="18" customHeight="1">
      <c r="A269" s="838"/>
      <c r="B269" s="841"/>
      <c r="C269" s="842"/>
      <c r="D269" s="787" t="s">
        <v>7</v>
      </c>
      <c r="E269" s="788"/>
      <c r="F269" s="625"/>
      <c r="G269" s="625"/>
      <c r="H269" s="632"/>
      <c r="I269" s="815"/>
      <c r="J269" s="816"/>
      <c r="K269" s="789" t="s">
        <v>7</v>
      </c>
      <c r="L269" s="790"/>
      <c r="M269" s="789" t="s">
        <v>7</v>
      </c>
      <c r="N269" s="790"/>
      <c r="O269" s="787" t="s">
        <v>7</v>
      </c>
      <c r="P269" s="788"/>
      <c r="Q269" s="831"/>
      <c r="R269" s="832"/>
      <c r="S269" s="1062" t="s">
        <v>7</v>
      </c>
      <c r="T269" s="1063"/>
      <c r="U269" s="1063"/>
      <c r="V269" s="1064"/>
    </row>
    <row r="270" spans="1:44" ht="18" customHeight="1">
      <c r="A270" s="839"/>
      <c r="B270" s="665"/>
      <c r="C270" s="666"/>
      <c r="D270" s="787" t="s">
        <v>7</v>
      </c>
      <c r="E270" s="788"/>
      <c r="F270" s="626"/>
      <c r="G270" s="626"/>
      <c r="H270" s="633"/>
      <c r="I270" s="817"/>
      <c r="J270" s="818"/>
      <c r="K270" s="789" t="s">
        <v>7</v>
      </c>
      <c r="L270" s="790"/>
      <c r="M270" s="789" t="s">
        <v>7</v>
      </c>
      <c r="N270" s="790"/>
      <c r="O270" s="787" t="s">
        <v>7</v>
      </c>
      <c r="P270" s="788"/>
      <c r="Q270" s="833"/>
      <c r="R270" s="834"/>
      <c r="S270" s="1059" t="s">
        <v>7</v>
      </c>
      <c r="T270" s="1060"/>
      <c r="U270" s="1060"/>
      <c r="V270" s="1061"/>
      <c r="W270" s="196"/>
      <c r="AR270" s="197"/>
    </row>
    <row r="271" spans="1:44" ht="18" customHeight="1">
      <c r="A271" s="196"/>
      <c r="V271" s="197"/>
      <c r="W271" s="196"/>
      <c r="AR271" s="197"/>
    </row>
    <row r="272" spans="1:44" ht="18" customHeight="1">
      <c r="A272" s="196"/>
      <c r="V272" s="197"/>
      <c r="W272" s="196"/>
      <c r="AR272" s="197"/>
    </row>
    <row r="273" spans="1:44" ht="18" customHeight="1">
      <c r="A273" s="196"/>
      <c r="V273" s="197"/>
      <c r="W273" s="196"/>
      <c r="AR273" s="197"/>
    </row>
    <row r="274" spans="1:44" ht="18" customHeight="1">
      <c r="A274" s="196"/>
      <c r="V274" s="197"/>
      <c r="W274" s="196"/>
      <c r="AR274" s="197"/>
    </row>
    <row r="275" spans="1:44" ht="18" customHeight="1">
      <c r="A275" s="196"/>
      <c r="V275" s="197"/>
      <c r="W275" s="196"/>
      <c r="AR275" s="197"/>
    </row>
    <row r="276" spans="1:44" ht="18" customHeight="1">
      <c r="A276" s="196"/>
      <c r="V276" s="197"/>
      <c r="W276" s="196"/>
      <c r="AR276" s="197"/>
    </row>
    <row r="277" spans="1:44" ht="18" customHeight="1">
      <c r="A277" s="196"/>
      <c r="V277" s="197"/>
    </row>
    <row r="278" spans="1:44" ht="18" customHeight="1">
      <c r="A278" s="196"/>
      <c r="V278" s="197"/>
    </row>
    <row r="279" spans="1:44" ht="18" customHeight="1">
      <c r="A279" s="196"/>
      <c r="V279" s="197"/>
    </row>
    <row r="280" spans="1:44" ht="18" customHeight="1">
      <c r="A280" s="196"/>
      <c r="V280" s="197"/>
    </row>
    <row r="281" spans="1:44" ht="18" customHeight="1">
      <c r="A281" s="196"/>
      <c r="V281" s="197"/>
    </row>
    <row r="282" spans="1:44" ht="18" customHeight="1">
      <c r="A282" s="196"/>
      <c r="V282" s="197"/>
    </row>
    <row r="283" spans="1:44" ht="18" customHeight="1">
      <c r="A283" s="196"/>
      <c r="V283" s="197"/>
    </row>
    <row r="284" spans="1:44" ht="18" customHeight="1">
      <c r="A284" s="196"/>
      <c r="V284" s="197"/>
    </row>
    <row r="285" spans="1:44" ht="18" customHeight="1">
      <c r="A285" s="196"/>
      <c r="V285" s="197"/>
    </row>
    <row r="286" spans="1:44" ht="18" customHeight="1">
      <c r="A286" s="196"/>
      <c r="V286" s="197"/>
    </row>
    <row r="287" spans="1:44" ht="18" customHeight="1">
      <c r="A287" s="196"/>
      <c r="V287" s="197"/>
    </row>
    <row r="288" spans="1:44"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206"/>
      <c r="B301" s="207"/>
      <c r="C301" s="207"/>
      <c r="D301" s="207"/>
      <c r="E301" s="207"/>
      <c r="F301" s="207"/>
      <c r="G301" s="207"/>
      <c r="H301" s="207"/>
      <c r="I301" s="207"/>
      <c r="J301" s="207"/>
      <c r="K301" s="207"/>
      <c r="L301" s="207"/>
      <c r="M301" s="207"/>
      <c r="N301" s="207"/>
      <c r="O301" s="207"/>
      <c r="P301" s="207"/>
      <c r="Q301" s="236"/>
      <c r="R301" s="194"/>
      <c r="S301" s="237"/>
      <c r="T301" s="207"/>
      <c r="U301" s="207"/>
      <c r="V301" s="140"/>
    </row>
  </sheetData>
  <mergeCells count="189">
    <mergeCell ref="Q268:R270"/>
    <mergeCell ref="S268:V268"/>
    <mergeCell ref="D269:E269"/>
    <mergeCell ref="K269:L269"/>
    <mergeCell ref="M269:N269"/>
    <mergeCell ref="O269:P269"/>
    <mergeCell ref="S269:V269"/>
    <mergeCell ref="O264:P267"/>
    <mergeCell ref="Q264:R267"/>
    <mergeCell ref="S264:V267"/>
    <mergeCell ref="K264:L267"/>
    <mergeCell ref="M264:N267"/>
    <mergeCell ref="K270:L270"/>
    <mergeCell ref="M270:N270"/>
    <mergeCell ref="O270:P270"/>
    <mergeCell ref="S270:V270"/>
    <mergeCell ref="K268:L268"/>
    <mergeCell ref="M268:N268"/>
    <mergeCell ref="O268:P268"/>
    <mergeCell ref="A268:A270"/>
    <mergeCell ref="B268:C270"/>
    <mergeCell ref="D268:E268"/>
    <mergeCell ref="F268:F270"/>
    <mergeCell ref="G268:G270"/>
    <mergeCell ref="H268:H270"/>
    <mergeCell ref="I268:J270"/>
    <mergeCell ref="A264:C267"/>
    <mergeCell ref="D264:F267"/>
    <mergeCell ref="G264:H267"/>
    <mergeCell ref="I264:J267"/>
    <mergeCell ref="D270:E270"/>
    <mergeCell ref="E211:F211"/>
    <mergeCell ref="E223:F223"/>
    <mergeCell ref="H223:I223"/>
    <mergeCell ref="E227:F227"/>
    <mergeCell ref="H227:I227"/>
    <mergeCell ref="E205:F205"/>
    <mergeCell ref="B209:C209"/>
    <mergeCell ref="E209:F209"/>
    <mergeCell ref="H209:I209"/>
    <mergeCell ref="K209:L209"/>
    <mergeCell ref="E210:F210"/>
    <mergeCell ref="H210:I210"/>
    <mergeCell ref="K210:L210"/>
    <mergeCell ref="B203:C203"/>
    <mergeCell ref="G203:H203"/>
    <mergeCell ref="J203:K203"/>
    <mergeCell ref="M203:N203"/>
    <mergeCell ref="G204:H204"/>
    <mergeCell ref="J204:K204"/>
    <mergeCell ref="M204:N204"/>
    <mergeCell ref="S192:T192"/>
    <mergeCell ref="S193:T193"/>
    <mergeCell ref="S194:T194"/>
    <mergeCell ref="S195:T195"/>
    <mergeCell ref="S196:T196"/>
    <mergeCell ref="S197:T197"/>
    <mergeCell ref="L182:M182"/>
    <mergeCell ref="J186:K186"/>
    <mergeCell ref="J187:K187"/>
    <mergeCell ref="J188:K188"/>
    <mergeCell ref="J189:K189"/>
    <mergeCell ref="J190:K190"/>
    <mergeCell ref="H178:I178"/>
    <mergeCell ref="J178:K178"/>
    <mergeCell ref="L178:M178"/>
    <mergeCell ref="L179:M179"/>
    <mergeCell ref="L180:M180"/>
    <mergeCell ref="L181:M181"/>
    <mergeCell ref="T175:U175"/>
    <mergeCell ref="T176:U176"/>
    <mergeCell ref="H177:I177"/>
    <mergeCell ref="J177:K177"/>
    <mergeCell ref="L177:M177"/>
    <mergeCell ref="T177:U177"/>
    <mergeCell ref="E123:F123"/>
    <mergeCell ref="E135:F135"/>
    <mergeCell ref="H135:I135"/>
    <mergeCell ref="E139:F139"/>
    <mergeCell ref="H139:I139"/>
    <mergeCell ref="B175:C175"/>
    <mergeCell ref="D175:E175"/>
    <mergeCell ref="H175:M175"/>
    <mergeCell ref="E117:F117"/>
    <mergeCell ref="B121:C121"/>
    <mergeCell ref="E121:F121"/>
    <mergeCell ref="H121:I121"/>
    <mergeCell ref="K121:L121"/>
    <mergeCell ref="E122:F122"/>
    <mergeCell ref="H122:I122"/>
    <mergeCell ref="K122:L122"/>
    <mergeCell ref="B115:C115"/>
    <mergeCell ref="G115:H115"/>
    <mergeCell ref="J115:K115"/>
    <mergeCell ref="M115:N115"/>
    <mergeCell ref="G116:H116"/>
    <mergeCell ref="J116:K116"/>
    <mergeCell ref="M116:N116"/>
    <mergeCell ref="S104:T104"/>
    <mergeCell ref="S105:T105"/>
    <mergeCell ref="S106:T106"/>
    <mergeCell ref="S107:T107"/>
    <mergeCell ref="S108:T108"/>
    <mergeCell ref="S109:T109"/>
    <mergeCell ref="J94:K94"/>
    <mergeCell ref="J98:K98"/>
    <mergeCell ref="J99:K99"/>
    <mergeCell ref="J100:K100"/>
    <mergeCell ref="J101:K101"/>
    <mergeCell ref="J102:K102"/>
    <mergeCell ref="H90:I90"/>
    <mergeCell ref="J90:K90"/>
    <mergeCell ref="L90:M90"/>
    <mergeCell ref="J91:K91"/>
    <mergeCell ref="J92:K92"/>
    <mergeCell ref="J93:K93"/>
    <mergeCell ref="T87:U87"/>
    <mergeCell ref="T88:U88"/>
    <mergeCell ref="H89:I89"/>
    <mergeCell ref="J89:K89"/>
    <mergeCell ref="L89:M89"/>
    <mergeCell ref="T89:U89"/>
    <mergeCell ref="E43:F43"/>
    <mergeCell ref="E51:F51"/>
    <mergeCell ref="H51:I51"/>
    <mergeCell ref="E55:F55"/>
    <mergeCell ref="H55:I55"/>
    <mergeCell ref="B87:C87"/>
    <mergeCell ref="D87:E87"/>
    <mergeCell ref="H87:M87"/>
    <mergeCell ref="E37:F37"/>
    <mergeCell ref="B41:C41"/>
    <mergeCell ref="E41:F41"/>
    <mergeCell ref="H41:I41"/>
    <mergeCell ref="K41:L41"/>
    <mergeCell ref="E42:F42"/>
    <mergeCell ref="H42:I42"/>
    <mergeCell ref="K42:L42"/>
    <mergeCell ref="B35:C35"/>
    <mergeCell ref="G35:H35"/>
    <mergeCell ref="J35:K35"/>
    <mergeCell ref="M35:N35"/>
    <mergeCell ref="G36:H36"/>
    <mergeCell ref="J36:K36"/>
    <mergeCell ref="M36:N36"/>
    <mergeCell ref="S24:T24"/>
    <mergeCell ref="S25:T25"/>
    <mergeCell ref="S26:T26"/>
    <mergeCell ref="S27:T27"/>
    <mergeCell ref="S28:T28"/>
    <mergeCell ref="S29:T29"/>
    <mergeCell ref="H14:I14"/>
    <mergeCell ref="J18:K18"/>
    <mergeCell ref="J19:K19"/>
    <mergeCell ref="J20:K20"/>
    <mergeCell ref="J21:K21"/>
    <mergeCell ref="J22:K22"/>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61 G145 G233">
    <cfRule type="cellIs" dxfId="80" priority="2" stopIfTrue="1" operator="equal">
      <formula>"Under Dimentioned"</formula>
    </cfRule>
  </conditionalFormatting>
  <conditionalFormatting sqref="H58 H142 H230">
    <cfRule type="cellIs" dxfId="79" priority="1" stopIfTrue="1" operator="equal">
      <formula>"Under Dimentioned"</formula>
    </cfRule>
  </conditionalFormatting>
  <dataValidations count="2">
    <dataValidation type="list" allowBlank="1" showInputMessage="1" showErrorMessage="1" sqref="D87 D175" xr:uid="{6359E99F-FC53-4CCA-A358-D49161C356E9}">
      <formula1>"Core1,Core2,Core3"</formula1>
    </dataValidation>
    <dataValidation type="list" allowBlank="1" showInputMessage="1" showErrorMessage="1" sqref="D7:E7" xr:uid="{E0FFFCFB-6593-4343-ADF3-069B0393DA64}">
      <formula1>"Core1,Core2,Core3,Core4,Core5"</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5" max="21" man="1"/>
    <brk id="261" max="21" man="1"/>
  </rowBreak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F36C1-E3A0-4BA8-9C1E-3C70B3AEAFBB}">
  <sheetPr>
    <tabColor rgb="FF99CCFF"/>
  </sheetPr>
  <dimension ref="A1:Y44"/>
  <sheetViews>
    <sheetView view="pageBreakPreview" topLeftCell="A19"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958</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55329"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411BF-0491-4537-87DA-8A5C663C7E82}">
  <sheetPr codeName="Sheet189"/>
  <dimension ref="A1:AC464"/>
  <sheetViews>
    <sheetView showZeros="0" view="pageBreakPreview" topLeftCell="A2" zoomScale="115" zoomScaleNormal="100" zoomScaleSheetLayoutView="115" workbookViewId="0">
      <selection activeCell="Y438" sqref="Y438"/>
    </sheetView>
  </sheetViews>
  <sheetFormatPr defaultColWidth="4.33203125" defaultRowHeight="18" customHeight="1"/>
  <cols>
    <col min="16" max="16" width="4.5546875" bestFit="1" customWidth="1"/>
    <col min="17" max="17" width="3.88671875" bestFit="1" customWidth="1"/>
    <col min="22" max="22" width="3.6640625" customWidth="1"/>
    <col min="26" max="26" width="5" bestFit="1" customWidth="1"/>
    <col min="272" max="272" width="4.5546875" bestFit="1" customWidth="1"/>
    <col min="273" max="273" width="3.88671875" bestFit="1" customWidth="1"/>
    <col min="278" max="278" width="3.6640625" customWidth="1"/>
    <col min="282" max="282" width="5" bestFit="1" customWidth="1"/>
    <col min="528" max="528" width="4.5546875" bestFit="1" customWidth="1"/>
    <col min="529" max="529" width="3.88671875" bestFit="1" customWidth="1"/>
    <col min="534" max="534" width="3.6640625" customWidth="1"/>
    <col min="538" max="538" width="5" bestFit="1" customWidth="1"/>
    <col min="784" max="784" width="4.5546875" bestFit="1" customWidth="1"/>
    <col min="785" max="785" width="3.88671875" bestFit="1" customWidth="1"/>
    <col min="790" max="790" width="3.6640625" customWidth="1"/>
    <col min="794" max="794" width="5" bestFit="1" customWidth="1"/>
    <col min="1040" max="1040" width="4.5546875" bestFit="1" customWidth="1"/>
    <col min="1041" max="1041" width="3.88671875" bestFit="1" customWidth="1"/>
    <col min="1046" max="1046" width="3.6640625" customWidth="1"/>
    <col min="1050" max="1050" width="5" bestFit="1" customWidth="1"/>
    <col min="1296" max="1296" width="4.5546875" bestFit="1" customWidth="1"/>
    <col min="1297" max="1297" width="3.88671875" bestFit="1" customWidth="1"/>
    <col min="1302" max="1302" width="3.6640625" customWidth="1"/>
    <col min="1306" max="1306" width="5" bestFit="1" customWidth="1"/>
    <col min="1552" max="1552" width="4.5546875" bestFit="1" customWidth="1"/>
    <col min="1553" max="1553" width="3.88671875" bestFit="1" customWidth="1"/>
    <col min="1558" max="1558" width="3.6640625" customWidth="1"/>
    <col min="1562" max="1562" width="5" bestFit="1" customWidth="1"/>
    <col min="1808" max="1808" width="4.5546875" bestFit="1" customWidth="1"/>
    <col min="1809" max="1809" width="3.88671875" bestFit="1" customWidth="1"/>
    <col min="1814" max="1814" width="3.6640625" customWidth="1"/>
    <col min="1818" max="1818" width="5" bestFit="1" customWidth="1"/>
    <col min="2064" max="2064" width="4.5546875" bestFit="1" customWidth="1"/>
    <col min="2065" max="2065" width="3.88671875" bestFit="1" customWidth="1"/>
    <col min="2070" max="2070" width="3.6640625" customWidth="1"/>
    <col min="2074" max="2074" width="5" bestFit="1" customWidth="1"/>
    <col min="2320" max="2320" width="4.5546875" bestFit="1" customWidth="1"/>
    <col min="2321" max="2321" width="3.88671875" bestFit="1" customWidth="1"/>
    <col min="2326" max="2326" width="3.6640625" customWidth="1"/>
    <col min="2330" max="2330" width="5" bestFit="1" customWidth="1"/>
    <col min="2576" max="2576" width="4.5546875" bestFit="1" customWidth="1"/>
    <col min="2577" max="2577" width="3.88671875" bestFit="1" customWidth="1"/>
    <col min="2582" max="2582" width="3.6640625" customWidth="1"/>
    <col min="2586" max="2586" width="5" bestFit="1" customWidth="1"/>
    <col min="2832" max="2832" width="4.5546875" bestFit="1" customWidth="1"/>
    <col min="2833" max="2833" width="3.88671875" bestFit="1" customWidth="1"/>
    <col min="2838" max="2838" width="3.6640625" customWidth="1"/>
    <col min="2842" max="2842" width="5" bestFit="1" customWidth="1"/>
    <col min="3088" max="3088" width="4.5546875" bestFit="1" customWidth="1"/>
    <col min="3089" max="3089" width="3.88671875" bestFit="1" customWidth="1"/>
    <col min="3094" max="3094" width="3.6640625" customWidth="1"/>
    <col min="3098" max="3098" width="5" bestFit="1" customWidth="1"/>
    <col min="3344" max="3344" width="4.5546875" bestFit="1" customWidth="1"/>
    <col min="3345" max="3345" width="3.88671875" bestFit="1" customWidth="1"/>
    <col min="3350" max="3350" width="3.6640625" customWidth="1"/>
    <col min="3354" max="3354" width="5" bestFit="1" customWidth="1"/>
    <col min="3600" max="3600" width="4.5546875" bestFit="1" customWidth="1"/>
    <col min="3601" max="3601" width="3.88671875" bestFit="1" customWidth="1"/>
    <col min="3606" max="3606" width="3.6640625" customWidth="1"/>
    <col min="3610" max="3610" width="5" bestFit="1" customWidth="1"/>
    <col min="3856" max="3856" width="4.5546875" bestFit="1" customWidth="1"/>
    <col min="3857" max="3857" width="3.88671875" bestFit="1" customWidth="1"/>
    <col min="3862" max="3862" width="3.6640625" customWidth="1"/>
    <col min="3866" max="3866" width="5" bestFit="1" customWidth="1"/>
    <col min="4112" max="4112" width="4.5546875" bestFit="1" customWidth="1"/>
    <col min="4113" max="4113" width="3.88671875" bestFit="1" customWidth="1"/>
    <col min="4118" max="4118" width="3.6640625" customWidth="1"/>
    <col min="4122" max="4122" width="5" bestFit="1" customWidth="1"/>
    <col min="4368" max="4368" width="4.5546875" bestFit="1" customWidth="1"/>
    <col min="4369" max="4369" width="3.88671875" bestFit="1" customWidth="1"/>
    <col min="4374" max="4374" width="3.6640625" customWidth="1"/>
    <col min="4378" max="4378" width="5" bestFit="1" customWidth="1"/>
    <col min="4624" max="4624" width="4.5546875" bestFit="1" customWidth="1"/>
    <col min="4625" max="4625" width="3.88671875" bestFit="1" customWidth="1"/>
    <col min="4630" max="4630" width="3.6640625" customWidth="1"/>
    <col min="4634" max="4634" width="5" bestFit="1" customWidth="1"/>
    <col min="4880" max="4880" width="4.5546875" bestFit="1" customWidth="1"/>
    <col min="4881" max="4881" width="3.88671875" bestFit="1" customWidth="1"/>
    <col min="4886" max="4886" width="3.6640625" customWidth="1"/>
    <col min="4890" max="4890" width="5" bestFit="1" customWidth="1"/>
    <col min="5136" max="5136" width="4.5546875" bestFit="1" customWidth="1"/>
    <col min="5137" max="5137" width="3.88671875" bestFit="1" customWidth="1"/>
    <col min="5142" max="5142" width="3.6640625" customWidth="1"/>
    <col min="5146" max="5146" width="5" bestFit="1" customWidth="1"/>
    <col min="5392" max="5392" width="4.5546875" bestFit="1" customWidth="1"/>
    <col min="5393" max="5393" width="3.88671875" bestFit="1" customWidth="1"/>
    <col min="5398" max="5398" width="3.6640625" customWidth="1"/>
    <col min="5402" max="5402" width="5" bestFit="1" customWidth="1"/>
    <col min="5648" max="5648" width="4.5546875" bestFit="1" customWidth="1"/>
    <col min="5649" max="5649" width="3.88671875" bestFit="1" customWidth="1"/>
    <col min="5654" max="5654" width="3.6640625" customWidth="1"/>
    <col min="5658" max="5658" width="5" bestFit="1" customWidth="1"/>
    <col min="5904" max="5904" width="4.5546875" bestFit="1" customWidth="1"/>
    <col min="5905" max="5905" width="3.88671875" bestFit="1" customWidth="1"/>
    <col min="5910" max="5910" width="3.6640625" customWidth="1"/>
    <col min="5914" max="5914" width="5" bestFit="1" customWidth="1"/>
    <col min="6160" max="6160" width="4.5546875" bestFit="1" customWidth="1"/>
    <col min="6161" max="6161" width="3.88671875" bestFit="1" customWidth="1"/>
    <col min="6166" max="6166" width="3.6640625" customWidth="1"/>
    <col min="6170" max="6170" width="5" bestFit="1" customWidth="1"/>
    <col min="6416" max="6416" width="4.5546875" bestFit="1" customWidth="1"/>
    <col min="6417" max="6417" width="3.88671875" bestFit="1" customWidth="1"/>
    <col min="6422" max="6422" width="3.6640625" customWidth="1"/>
    <col min="6426" max="6426" width="5" bestFit="1" customWidth="1"/>
    <col min="6672" max="6672" width="4.5546875" bestFit="1" customWidth="1"/>
    <col min="6673" max="6673" width="3.88671875" bestFit="1" customWidth="1"/>
    <col min="6678" max="6678" width="3.6640625" customWidth="1"/>
    <col min="6682" max="6682" width="5" bestFit="1" customWidth="1"/>
    <col min="6928" max="6928" width="4.5546875" bestFit="1" customWidth="1"/>
    <col min="6929" max="6929" width="3.88671875" bestFit="1" customWidth="1"/>
    <col min="6934" max="6934" width="3.6640625" customWidth="1"/>
    <col min="6938" max="6938" width="5" bestFit="1" customWidth="1"/>
    <col min="7184" max="7184" width="4.5546875" bestFit="1" customWidth="1"/>
    <col min="7185" max="7185" width="3.88671875" bestFit="1" customWidth="1"/>
    <col min="7190" max="7190" width="3.6640625" customWidth="1"/>
    <col min="7194" max="7194" width="5" bestFit="1" customWidth="1"/>
    <col min="7440" max="7440" width="4.5546875" bestFit="1" customWidth="1"/>
    <col min="7441" max="7441" width="3.88671875" bestFit="1" customWidth="1"/>
    <col min="7446" max="7446" width="3.6640625" customWidth="1"/>
    <col min="7450" max="7450" width="5" bestFit="1" customWidth="1"/>
    <col min="7696" max="7696" width="4.5546875" bestFit="1" customWidth="1"/>
    <col min="7697" max="7697" width="3.88671875" bestFit="1" customWidth="1"/>
    <col min="7702" max="7702" width="3.6640625" customWidth="1"/>
    <col min="7706" max="7706" width="5" bestFit="1" customWidth="1"/>
    <col min="7952" max="7952" width="4.5546875" bestFit="1" customWidth="1"/>
    <col min="7953" max="7953" width="3.88671875" bestFit="1" customWidth="1"/>
    <col min="7958" max="7958" width="3.6640625" customWidth="1"/>
    <col min="7962" max="7962" width="5" bestFit="1" customWidth="1"/>
    <col min="8208" max="8208" width="4.5546875" bestFit="1" customWidth="1"/>
    <col min="8209" max="8209" width="3.88671875" bestFit="1" customWidth="1"/>
    <col min="8214" max="8214" width="3.6640625" customWidth="1"/>
    <col min="8218" max="8218" width="5" bestFit="1" customWidth="1"/>
    <col min="8464" max="8464" width="4.5546875" bestFit="1" customWidth="1"/>
    <col min="8465" max="8465" width="3.88671875" bestFit="1" customWidth="1"/>
    <col min="8470" max="8470" width="3.6640625" customWidth="1"/>
    <col min="8474" max="8474" width="5" bestFit="1" customWidth="1"/>
    <col min="8720" max="8720" width="4.5546875" bestFit="1" customWidth="1"/>
    <col min="8721" max="8721" width="3.88671875" bestFit="1" customWidth="1"/>
    <col min="8726" max="8726" width="3.6640625" customWidth="1"/>
    <col min="8730" max="8730" width="5" bestFit="1" customWidth="1"/>
    <col min="8976" max="8976" width="4.5546875" bestFit="1" customWidth="1"/>
    <col min="8977" max="8977" width="3.88671875" bestFit="1" customWidth="1"/>
    <col min="8982" max="8982" width="3.6640625" customWidth="1"/>
    <col min="8986" max="8986" width="5" bestFit="1" customWidth="1"/>
    <col min="9232" max="9232" width="4.5546875" bestFit="1" customWidth="1"/>
    <col min="9233" max="9233" width="3.88671875" bestFit="1" customWidth="1"/>
    <col min="9238" max="9238" width="3.6640625" customWidth="1"/>
    <col min="9242" max="9242" width="5" bestFit="1" customWidth="1"/>
    <col min="9488" max="9488" width="4.5546875" bestFit="1" customWidth="1"/>
    <col min="9489" max="9489" width="3.88671875" bestFit="1" customWidth="1"/>
    <col min="9494" max="9494" width="3.6640625" customWidth="1"/>
    <col min="9498" max="9498" width="5" bestFit="1" customWidth="1"/>
    <col min="9744" max="9744" width="4.5546875" bestFit="1" customWidth="1"/>
    <col min="9745" max="9745" width="3.88671875" bestFit="1" customWidth="1"/>
    <col min="9750" max="9750" width="3.6640625" customWidth="1"/>
    <col min="9754" max="9754" width="5" bestFit="1" customWidth="1"/>
    <col min="10000" max="10000" width="4.5546875" bestFit="1" customWidth="1"/>
    <col min="10001" max="10001" width="3.88671875" bestFit="1" customWidth="1"/>
    <col min="10006" max="10006" width="3.6640625" customWidth="1"/>
    <col min="10010" max="10010" width="5" bestFit="1" customWidth="1"/>
    <col min="10256" max="10256" width="4.5546875" bestFit="1" customWidth="1"/>
    <col min="10257" max="10257" width="3.88671875" bestFit="1" customWidth="1"/>
    <col min="10262" max="10262" width="3.6640625" customWidth="1"/>
    <col min="10266" max="10266" width="5" bestFit="1" customWidth="1"/>
    <col min="10512" max="10512" width="4.5546875" bestFit="1" customWidth="1"/>
    <col min="10513" max="10513" width="3.88671875" bestFit="1" customWidth="1"/>
    <col min="10518" max="10518" width="3.6640625" customWidth="1"/>
    <col min="10522" max="10522" width="5" bestFit="1" customWidth="1"/>
    <col min="10768" max="10768" width="4.5546875" bestFit="1" customWidth="1"/>
    <col min="10769" max="10769" width="3.88671875" bestFit="1" customWidth="1"/>
    <col min="10774" max="10774" width="3.6640625" customWidth="1"/>
    <col min="10778" max="10778" width="5" bestFit="1" customWidth="1"/>
    <col min="11024" max="11024" width="4.5546875" bestFit="1" customWidth="1"/>
    <col min="11025" max="11025" width="3.88671875" bestFit="1" customWidth="1"/>
    <col min="11030" max="11030" width="3.6640625" customWidth="1"/>
    <col min="11034" max="11034" width="5" bestFit="1" customWidth="1"/>
    <col min="11280" max="11280" width="4.5546875" bestFit="1" customWidth="1"/>
    <col min="11281" max="11281" width="3.88671875" bestFit="1" customWidth="1"/>
    <col min="11286" max="11286" width="3.6640625" customWidth="1"/>
    <col min="11290" max="11290" width="5" bestFit="1" customWidth="1"/>
    <col min="11536" max="11536" width="4.5546875" bestFit="1" customWidth="1"/>
    <col min="11537" max="11537" width="3.88671875" bestFit="1" customWidth="1"/>
    <col min="11542" max="11542" width="3.6640625" customWidth="1"/>
    <col min="11546" max="11546" width="5" bestFit="1" customWidth="1"/>
    <col min="11792" max="11792" width="4.5546875" bestFit="1" customWidth="1"/>
    <col min="11793" max="11793" width="3.88671875" bestFit="1" customWidth="1"/>
    <col min="11798" max="11798" width="3.6640625" customWidth="1"/>
    <col min="11802" max="11802" width="5" bestFit="1" customWidth="1"/>
    <col min="12048" max="12048" width="4.5546875" bestFit="1" customWidth="1"/>
    <col min="12049" max="12049" width="3.88671875" bestFit="1" customWidth="1"/>
    <col min="12054" max="12054" width="3.6640625" customWidth="1"/>
    <col min="12058" max="12058" width="5" bestFit="1" customWidth="1"/>
    <col min="12304" max="12304" width="4.5546875" bestFit="1" customWidth="1"/>
    <col min="12305" max="12305" width="3.88671875" bestFit="1" customWidth="1"/>
    <col min="12310" max="12310" width="3.6640625" customWidth="1"/>
    <col min="12314" max="12314" width="5" bestFit="1" customWidth="1"/>
    <col min="12560" max="12560" width="4.5546875" bestFit="1" customWidth="1"/>
    <col min="12561" max="12561" width="3.88671875" bestFit="1" customWidth="1"/>
    <col min="12566" max="12566" width="3.6640625" customWidth="1"/>
    <col min="12570" max="12570" width="5" bestFit="1" customWidth="1"/>
    <col min="12816" max="12816" width="4.5546875" bestFit="1" customWidth="1"/>
    <col min="12817" max="12817" width="3.88671875" bestFit="1" customWidth="1"/>
    <col min="12822" max="12822" width="3.6640625" customWidth="1"/>
    <col min="12826" max="12826" width="5" bestFit="1" customWidth="1"/>
    <col min="13072" max="13072" width="4.5546875" bestFit="1" customWidth="1"/>
    <col min="13073" max="13073" width="3.88671875" bestFit="1" customWidth="1"/>
    <col min="13078" max="13078" width="3.6640625" customWidth="1"/>
    <col min="13082" max="13082" width="5" bestFit="1" customWidth="1"/>
    <col min="13328" max="13328" width="4.5546875" bestFit="1" customWidth="1"/>
    <col min="13329" max="13329" width="3.88671875" bestFit="1" customWidth="1"/>
    <col min="13334" max="13334" width="3.6640625" customWidth="1"/>
    <col min="13338" max="13338" width="5" bestFit="1" customWidth="1"/>
    <col min="13584" max="13584" width="4.5546875" bestFit="1" customWidth="1"/>
    <col min="13585" max="13585" width="3.88671875" bestFit="1" customWidth="1"/>
    <col min="13590" max="13590" width="3.6640625" customWidth="1"/>
    <col min="13594" max="13594" width="5" bestFit="1" customWidth="1"/>
    <col min="13840" max="13840" width="4.5546875" bestFit="1" customWidth="1"/>
    <col min="13841" max="13841" width="3.88671875" bestFit="1" customWidth="1"/>
    <col min="13846" max="13846" width="3.6640625" customWidth="1"/>
    <col min="13850" max="13850" width="5" bestFit="1" customWidth="1"/>
    <col min="14096" max="14096" width="4.5546875" bestFit="1" customWidth="1"/>
    <col min="14097" max="14097" width="3.88671875" bestFit="1" customWidth="1"/>
    <col min="14102" max="14102" width="3.6640625" customWidth="1"/>
    <col min="14106" max="14106" width="5" bestFit="1" customWidth="1"/>
    <col min="14352" max="14352" width="4.5546875" bestFit="1" customWidth="1"/>
    <col min="14353" max="14353" width="3.88671875" bestFit="1" customWidth="1"/>
    <col min="14358" max="14358" width="3.6640625" customWidth="1"/>
    <col min="14362" max="14362" width="5" bestFit="1" customWidth="1"/>
    <col min="14608" max="14608" width="4.5546875" bestFit="1" customWidth="1"/>
    <col min="14609" max="14609" width="3.88671875" bestFit="1" customWidth="1"/>
    <col min="14614" max="14614" width="3.6640625" customWidth="1"/>
    <col min="14618" max="14618" width="5" bestFit="1" customWidth="1"/>
    <col min="14864" max="14864" width="4.5546875" bestFit="1" customWidth="1"/>
    <col min="14865" max="14865" width="3.88671875" bestFit="1" customWidth="1"/>
    <col min="14870" max="14870" width="3.6640625" customWidth="1"/>
    <col min="14874" max="14874" width="5" bestFit="1" customWidth="1"/>
    <col min="15120" max="15120" width="4.5546875" bestFit="1" customWidth="1"/>
    <col min="15121" max="15121" width="3.88671875" bestFit="1" customWidth="1"/>
    <col min="15126" max="15126" width="3.6640625" customWidth="1"/>
    <col min="15130" max="15130" width="5" bestFit="1" customWidth="1"/>
    <col min="15376" max="15376" width="4.5546875" bestFit="1" customWidth="1"/>
    <col min="15377" max="15377" width="3.88671875" bestFit="1" customWidth="1"/>
    <col min="15382" max="15382" width="3.6640625" customWidth="1"/>
    <col min="15386" max="15386" width="5" bestFit="1" customWidth="1"/>
    <col min="15632" max="15632" width="4.5546875" bestFit="1" customWidth="1"/>
    <col min="15633" max="15633" width="3.88671875" bestFit="1" customWidth="1"/>
    <col min="15638" max="15638" width="3.6640625" customWidth="1"/>
    <col min="15642" max="15642" width="5" bestFit="1" customWidth="1"/>
    <col min="15888" max="15888" width="4.5546875" bestFit="1" customWidth="1"/>
    <col min="15889" max="15889" width="3.88671875" bestFit="1" customWidth="1"/>
    <col min="15894" max="15894" width="3.6640625" customWidth="1"/>
    <col min="15898" max="15898" width="5" bestFit="1" customWidth="1"/>
    <col min="16144" max="16144" width="4.5546875" bestFit="1" customWidth="1"/>
    <col min="16145" max="16145" width="3.88671875" bestFit="1" customWidth="1"/>
    <col min="16150" max="16150" width="3.6640625" customWidth="1"/>
    <col min="16154" max="16154" width="5" bestFit="1" customWidth="1"/>
  </cols>
  <sheetData>
    <row r="1" spans="1:29"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05" t="str">
        <f>Title!R1</f>
        <v>N-19957.1-DF5W</v>
      </c>
      <c r="S1" s="706"/>
      <c r="T1" s="706"/>
      <c r="U1" s="706"/>
      <c r="V1" s="707"/>
      <c r="W1" s="7"/>
      <c r="X1" s="7"/>
    </row>
    <row r="2" spans="1:29" ht="18" customHeight="1">
      <c r="A2" s="720"/>
      <c r="B2" s="721"/>
      <c r="C2" s="721"/>
      <c r="D2" s="721"/>
      <c r="E2" s="721"/>
      <c r="F2" s="721"/>
      <c r="G2" s="722"/>
      <c r="H2" s="729" t="str">
        <f>Title!H2</f>
        <v>ADEQUACY CHECK</v>
      </c>
      <c r="I2" s="730"/>
      <c r="J2" s="730"/>
      <c r="K2" s="730"/>
      <c r="L2" s="730"/>
      <c r="M2" s="730"/>
      <c r="N2" s="731"/>
      <c r="O2" s="702" t="str">
        <f>Title!O2</f>
        <v>Date</v>
      </c>
      <c r="P2" s="703"/>
      <c r="Q2" s="704"/>
      <c r="R2" s="732">
        <f>Title!R2</f>
        <v>46106</v>
      </c>
      <c r="S2" s="706"/>
      <c r="T2" s="706"/>
      <c r="U2" s="706"/>
      <c r="V2" s="707"/>
      <c r="W2" s="7"/>
      <c r="X2" s="7"/>
    </row>
    <row r="3" spans="1:29"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5" t="str">
        <f>Title!R3</f>
        <v>-</v>
      </c>
      <c r="S3" s="706"/>
      <c r="T3" s="706"/>
      <c r="U3" s="706"/>
      <c r="V3" s="707"/>
      <c r="W3" s="7"/>
      <c r="X3" s="7"/>
    </row>
    <row r="4" spans="1:29"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7"/>
      <c r="X4" s="7"/>
    </row>
    <row r="5" spans="1:29" ht="18" customHeight="1">
      <c r="A5" s="708" t="str">
        <f>Title!A5</f>
        <v>Prep. By</v>
      </c>
      <c r="B5" s="709"/>
      <c r="C5" s="25" t="str">
        <f>Title!C5</f>
        <v>AP</v>
      </c>
      <c r="D5" s="708" t="str">
        <f>Title!D5</f>
        <v>Checked By</v>
      </c>
      <c r="E5" s="710"/>
      <c r="F5" s="709"/>
      <c r="G5" s="25" t="str">
        <f>Title!G5</f>
        <v>RB</v>
      </c>
      <c r="H5" s="711" t="s">
        <v>395</v>
      </c>
      <c r="I5" s="712"/>
      <c r="J5" s="712"/>
      <c r="K5" s="712"/>
      <c r="L5" s="712"/>
      <c r="M5" s="712"/>
      <c r="N5" s="713"/>
      <c r="O5" s="714" t="str">
        <f>Title!O5</f>
        <v>Contractor</v>
      </c>
      <c r="P5" s="715"/>
      <c r="Q5" s="716"/>
      <c r="R5" s="705" t="str">
        <f>Title!R5</f>
        <v>HITACHI</v>
      </c>
      <c r="S5" s="706"/>
      <c r="T5" s="706"/>
      <c r="U5" s="706"/>
      <c r="V5" s="707"/>
      <c r="W5" s="7"/>
      <c r="X5" s="7"/>
    </row>
    <row r="6" spans="1:29" ht="18" customHeight="1">
      <c r="A6" s="9"/>
      <c r="V6" s="10"/>
    </row>
    <row r="7" spans="1:29" ht="18" customHeight="1">
      <c r="A7" s="9"/>
      <c r="B7" s="696" t="s">
        <v>120</v>
      </c>
      <c r="C7" s="697"/>
      <c r="D7" s="696" t="s">
        <v>396</v>
      </c>
      <c r="E7" s="698"/>
      <c r="F7" s="638"/>
      <c r="G7" s="638"/>
      <c r="H7" s="638" t="s">
        <v>397</v>
      </c>
      <c r="I7" s="638"/>
      <c r="J7" s="638"/>
      <c r="K7" s="638"/>
      <c r="L7" s="638"/>
      <c r="M7" s="638"/>
      <c r="N7" s="638"/>
      <c r="S7" s="199" t="s">
        <v>398</v>
      </c>
      <c r="T7" s="656" t="s">
        <v>399</v>
      </c>
      <c r="U7" s="657"/>
      <c r="V7" s="10"/>
      <c r="W7" s="30" t="s">
        <v>400</v>
      </c>
    </row>
    <row r="8" spans="1:29" ht="18" customHeight="1">
      <c r="A8" s="9"/>
      <c r="B8" s="654"/>
      <c r="C8" s="655"/>
      <c r="D8" s="699"/>
      <c r="E8" s="700"/>
      <c r="T8" s="656"/>
      <c r="U8" s="657"/>
      <c r="V8" s="10"/>
    </row>
    <row r="9" spans="1:29" ht="18" customHeight="1">
      <c r="A9" s="9"/>
      <c r="H9" s="662" t="s">
        <v>401</v>
      </c>
      <c r="I9" s="662"/>
      <c r="J9" s="701" t="s">
        <v>402</v>
      </c>
      <c r="K9" s="701"/>
      <c r="L9" s="701" t="s">
        <v>403</v>
      </c>
      <c r="M9" s="701"/>
      <c r="T9" s="656"/>
      <c r="U9" s="657"/>
      <c r="V9" s="10"/>
    </row>
    <row r="10" spans="1:29" ht="18" customHeight="1">
      <c r="A10" s="9"/>
      <c r="B10" s="47" t="s">
        <v>404</v>
      </c>
      <c r="H10" s="692">
        <v>600</v>
      </c>
      <c r="I10" s="693"/>
      <c r="J10" s="656" t="s">
        <v>7</v>
      </c>
      <c r="K10" s="657"/>
      <c r="L10" s="656" t="s">
        <v>7</v>
      </c>
      <c r="M10" s="657"/>
      <c r="N10" s="203" t="s">
        <v>353</v>
      </c>
      <c r="O10" s="125">
        <v>1</v>
      </c>
      <c r="P10" s="27" t="s">
        <v>9</v>
      </c>
      <c r="V10" s="10"/>
    </row>
    <row r="11" spans="1:29" ht="18" customHeight="1">
      <c r="A11" s="9"/>
      <c r="B11" s="47" t="s">
        <v>405</v>
      </c>
      <c r="H11" s="656" t="s">
        <v>406</v>
      </c>
      <c r="I11" s="657"/>
      <c r="V11" s="10"/>
    </row>
    <row r="12" spans="1:29" ht="18" customHeight="1">
      <c r="A12" s="9"/>
      <c r="B12" s="47" t="s">
        <v>407</v>
      </c>
      <c r="G12" s="120" t="s">
        <v>408</v>
      </c>
      <c r="H12" s="656">
        <v>4</v>
      </c>
      <c r="I12" s="657"/>
      <c r="J12" s="204" t="s">
        <v>344</v>
      </c>
      <c r="M12" s="14"/>
      <c r="V12" s="10"/>
    </row>
    <row r="13" spans="1:29" ht="18" customHeight="1">
      <c r="A13" s="9"/>
      <c r="B13" s="47" t="s">
        <v>409</v>
      </c>
      <c r="G13" s="120" t="s">
        <v>410</v>
      </c>
      <c r="H13" s="656">
        <v>800</v>
      </c>
      <c r="I13" s="657"/>
      <c r="J13" s="14" t="s">
        <v>316</v>
      </c>
      <c r="V13" s="10"/>
      <c r="W13" s="30" t="s">
        <v>411</v>
      </c>
      <c r="AA13" s="30"/>
      <c r="AB13" s="996">
        <f>Q120</f>
        <v>522.30825948189135</v>
      </c>
      <c r="AC13" s="997"/>
    </row>
    <row r="14" spans="1:29" ht="18" customHeight="1">
      <c r="A14" s="9"/>
      <c r="B14" s="14" t="s">
        <v>412</v>
      </c>
      <c r="G14" s="120" t="s">
        <v>413</v>
      </c>
      <c r="H14" s="656">
        <v>50</v>
      </c>
      <c r="I14" s="657"/>
      <c r="J14" s="14" t="s">
        <v>414</v>
      </c>
      <c r="M14" s="14"/>
      <c r="V14" s="10"/>
    </row>
    <row r="15" spans="1:29" ht="18" customHeight="1">
      <c r="A15" s="9"/>
      <c r="V15" s="10"/>
    </row>
    <row r="16" spans="1:29" ht="18" customHeight="1">
      <c r="A16" s="116" t="s">
        <v>415</v>
      </c>
      <c r="V16" s="10"/>
    </row>
    <row r="17" spans="1:22" ht="18" customHeight="1">
      <c r="A17" s="9"/>
      <c r="V17" s="10"/>
    </row>
    <row r="18" spans="1:22" ht="18" customHeight="1">
      <c r="A18" s="9"/>
      <c r="B18" s="206" t="s">
        <v>416</v>
      </c>
      <c r="C18" s="207"/>
      <c r="D18" s="207" t="str">
        <f>T7</f>
        <v>RED670</v>
      </c>
      <c r="E18" s="436"/>
      <c r="F18" s="436"/>
      <c r="G18" s="436"/>
      <c r="H18" s="194" t="s">
        <v>417</v>
      </c>
      <c r="I18" s="195" t="s">
        <v>138</v>
      </c>
      <c r="J18" s="998">
        <f>'CT-VT Burdens'!Q48</f>
        <v>0.02</v>
      </c>
      <c r="K18" s="689"/>
      <c r="L18" s="214" t="s">
        <v>168</v>
      </c>
      <c r="N18" s="209" t="s">
        <v>418</v>
      </c>
      <c r="V18" s="10"/>
    </row>
    <row r="19" spans="1:22" ht="18" customHeight="1">
      <c r="A19" s="9"/>
      <c r="B19" s="196" t="s">
        <v>416</v>
      </c>
      <c r="D19" s="437">
        <f>T8</f>
        <v>0</v>
      </c>
      <c r="E19" s="14"/>
      <c r="I19" s="28" t="s">
        <v>138</v>
      </c>
      <c r="J19" s="998"/>
      <c r="K19" s="689"/>
      <c r="L19" s="309" t="s">
        <v>168</v>
      </c>
      <c r="N19" s="27" t="s">
        <v>419</v>
      </c>
      <c r="O19" s="27" t="s">
        <v>138</v>
      </c>
      <c r="P19" s="27" t="s">
        <v>420</v>
      </c>
      <c r="Q19" s="203" t="s">
        <v>421</v>
      </c>
      <c r="R19" s="27" t="s">
        <v>422</v>
      </c>
      <c r="S19" s="27" t="s">
        <v>326</v>
      </c>
      <c r="T19" s="27" t="s">
        <v>422</v>
      </c>
      <c r="U19" s="30" t="s">
        <v>361</v>
      </c>
      <c r="V19" s="10"/>
    </row>
    <row r="20" spans="1:22" ht="18" customHeight="1">
      <c r="A20" s="9"/>
      <c r="B20" s="196" t="s">
        <v>416</v>
      </c>
      <c r="D20" s="437"/>
      <c r="E20" s="14"/>
      <c r="G20" s="211"/>
      <c r="H20" s="438"/>
      <c r="I20" s="101" t="s">
        <v>138</v>
      </c>
      <c r="J20" s="998"/>
      <c r="K20" s="689"/>
      <c r="L20" s="439" t="s">
        <v>168</v>
      </c>
      <c r="O20" s="27" t="s">
        <v>138</v>
      </c>
      <c r="P20" s="216">
        <f>J22</f>
        <v>1.46186744</v>
      </c>
      <c r="Q20" s="203" t="s">
        <v>421</v>
      </c>
      <c r="R20" s="27">
        <f>O10</f>
        <v>1</v>
      </c>
      <c r="S20" s="27" t="s">
        <v>326</v>
      </c>
      <c r="T20" s="27">
        <f>O10</f>
        <v>1</v>
      </c>
      <c r="U20" s="30" t="s">
        <v>361</v>
      </c>
      <c r="V20" s="10"/>
    </row>
    <row r="21" spans="1:22" ht="18" customHeight="1">
      <c r="A21" s="9"/>
      <c r="B21" s="196" t="s">
        <v>423</v>
      </c>
      <c r="H21" s="438"/>
      <c r="I21" s="440" t="s">
        <v>138</v>
      </c>
      <c r="J21" s="999">
        <f>'CT-VT Burdens'!S22</f>
        <v>1.44186744</v>
      </c>
      <c r="K21" s="1000"/>
      <c r="L21" s="439" t="s">
        <v>168</v>
      </c>
      <c r="O21" s="27" t="s">
        <v>138</v>
      </c>
      <c r="P21" s="637">
        <f>P20/(R20*T20)</f>
        <v>1.46186744</v>
      </c>
      <c r="Q21" s="637"/>
      <c r="R21" s="204" t="s">
        <v>344</v>
      </c>
      <c r="V21" s="10"/>
    </row>
    <row r="22" spans="1:22" ht="18" customHeight="1">
      <c r="A22" s="9"/>
      <c r="B22" s="217" t="s">
        <v>424</v>
      </c>
      <c r="C22" s="218"/>
      <c r="D22" s="218"/>
      <c r="E22" s="218"/>
      <c r="F22" s="359"/>
      <c r="G22" s="359"/>
      <c r="H22" s="202" t="s">
        <v>420</v>
      </c>
      <c r="I22" s="220" t="s">
        <v>138</v>
      </c>
      <c r="J22" s="897">
        <f>SUM(J18:K21)</f>
        <v>1.46186744</v>
      </c>
      <c r="K22" s="1001"/>
      <c r="L22" s="441" t="s">
        <v>168</v>
      </c>
      <c r="V22" s="10"/>
    </row>
    <row r="23" spans="1:22" ht="18" customHeight="1">
      <c r="A23" s="9"/>
      <c r="V23" s="10"/>
    </row>
    <row r="24" spans="1:22" ht="18" customHeight="1">
      <c r="A24" s="116" t="s">
        <v>425</v>
      </c>
      <c r="V24" s="10"/>
    </row>
    <row r="25" spans="1:22" ht="18" customHeight="1">
      <c r="A25" s="1002" t="s">
        <v>426</v>
      </c>
      <c r="B25" s="1003"/>
      <c r="C25" s="1003"/>
      <c r="D25" s="1003"/>
      <c r="E25" s="1003"/>
      <c r="F25" s="1003"/>
      <c r="G25" s="1003"/>
      <c r="H25" s="1003"/>
      <c r="I25" s="1003"/>
      <c r="J25" s="1003"/>
      <c r="K25" s="1003"/>
      <c r="L25" s="1003"/>
      <c r="M25" s="1003"/>
      <c r="N25" s="1003"/>
      <c r="O25" s="1003"/>
      <c r="P25" s="1003"/>
      <c r="Q25" s="1003"/>
      <c r="R25" s="1003"/>
      <c r="S25" s="1003"/>
      <c r="T25" s="1003"/>
      <c r="U25" s="1003"/>
      <c r="V25" s="1004"/>
    </row>
    <row r="26" spans="1:22" ht="18" customHeight="1">
      <c r="A26" s="1002"/>
      <c r="B26" s="1003"/>
      <c r="C26" s="1003"/>
      <c r="D26" s="1003"/>
      <c r="E26" s="1003"/>
      <c r="F26" s="1003"/>
      <c r="G26" s="1003"/>
      <c r="H26" s="1003"/>
      <c r="I26" s="1003"/>
      <c r="J26" s="1003"/>
      <c r="K26" s="1003"/>
      <c r="L26" s="1003"/>
      <c r="M26" s="1003"/>
      <c r="N26" s="1003"/>
      <c r="O26" s="1003"/>
      <c r="P26" s="1003"/>
      <c r="Q26" s="1003"/>
      <c r="R26" s="1003"/>
      <c r="S26" s="1003"/>
      <c r="T26" s="1003"/>
      <c r="U26" s="1003"/>
      <c r="V26" s="1004"/>
    </row>
    <row r="27" spans="1:22" ht="18" customHeight="1">
      <c r="A27" s="205" t="s">
        <v>427</v>
      </c>
      <c r="V27" s="10"/>
    </row>
    <row r="28" spans="1:22" ht="18" customHeight="1">
      <c r="A28" s="1006" t="s">
        <v>428</v>
      </c>
      <c r="B28" s="956"/>
      <c r="C28" s="956"/>
      <c r="D28" s="14"/>
      <c r="E28" s="7"/>
      <c r="F28" s="1008" t="s">
        <v>429</v>
      </c>
      <c r="G28" s="887"/>
      <c r="H28" s="638" t="s">
        <v>326</v>
      </c>
      <c r="I28" s="661" t="s">
        <v>422</v>
      </c>
      <c r="J28" s="957"/>
      <c r="K28" s="638" t="s">
        <v>326</v>
      </c>
      <c r="L28" s="1008" t="s">
        <v>430</v>
      </c>
      <c r="M28" s="638" t="s">
        <v>431</v>
      </c>
      <c r="N28" s="958" t="s">
        <v>358</v>
      </c>
      <c r="O28" s="638" t="s">
        <v>419</v>
      </c>
      <c r="P28" s="638" t="s">
        <v>358</v>
      </c>
      <c r="Q28" s="953" t="s">
        <v>432</v>
      </c>
      <c r="R28" s="1005"/>
      <c r="S28" s="1005"/>
      <c r="T28" s="952" t="s">
        <v>361</v>
      </c>
      <c r="U28" s="242" t="s">
        <v>433</v>
      </c>
      <c r="V28" s="112"/>
    </row>
    <row r="29" spans="1:22" ht="18" customHeight="1">
      <c r="A29" s="1007"/>
      <c r="B29" s="956"/>
      <c r="C29" s="956"/>
      <c r="D29" s="14"/>
      <c r="E29" s="7"/>
      <c r="F29" s="887"/>
      <c r="G29" s="887"/>
      <c r="H29" s="638"/>
      <c r="I29" s="638" t="s">
        <v>434</v>
      </c>
      <c r="J29" s="887"/>
      <c r="K29" s="638"/>
      <c r="L29" s="1008"/>
      <c r="M29" s="638"/>
      <c r="N29" s="958"/>
      <c r="O29" s="638"/>
      <c r="P29" s="638"/>
      <c r="Q29" s="28" t="s">
        <v>157</v>
      </c>
      <c r="R29" s="28" t="s">
        <v>326</v>
      </c>
      <c r="S29" s="28" t="s">
        <v>157</v>
      </c>
      <c r="T29" s="952"/>
      <c r="U29" s="7"/>
      <c r="V29" s="112"/>
    </row>
    <row r="30" spans="1:22" ht="18" customHeight="1">
      <c r="A30" s="205" t="s">
        <v>435</v>
      </c>
      <c r="L30" s="442"/>
      <c r="M30" s="438"/>
      <c r="O30" s="438"/>
      <c r="V30" s="10"/>
    </row>
    <row r="31" spans="1:22" ht="18" customHeight="1">
      <c r="A31" s="1006" t="s">
        <v>428</v>
      </c>
      <c r="B31" s="956"/>
      <c r="C31" s="956"/>
      <c r="D31" s="638">
        <v>2</v>
      </c>
      <c r="E31" s="638" t="s">
        <v>326</v>
      </c>
      <c r="F31" s="1008" t="s">
        <v>436</v>
      </c>
      <c r="G31" s="887"/>
      <c r="H31" s="638" t="s">
        <v>326</v>
      </c>
      <c r="I31" s="661" t="s">
        <v>422</v>
      </c>
      <c r="J31" s="957"/>
      <c r="K31" s="638" t="s">
        <v>326</v>
      </c>
      <c r="L31" s="1008" t="s">
        <v>430</v>
      </c>
      <c r="M31" s="638" t="s">
        <v>431</v>
      </c>
      <c r="N31" s="958" t="s">
        <v>358</v>
      </c>
      <c r="O31" s="638" t="s">
        <v>419</v>
      </c>
      <c r="P31" s="638" t="s">
        <v>358</v>
      </c>
      <c r="Q31" s="953" t="s">
        <v>432</v>
      </c>
      <c r="R31" s="1005"/>
      <c r="S31" s="1005"/>
      <c r="T31" s="952" t="s">
        <v>361</v>
      </c>
      <c r="U31" s="242" t="s">
        <v>437</v>
      </c>
      <c r="V31" s="112"/>
    </row>
    <row r="32" spans="1:22" ht="18" customHeight="1">
      <c r="A32" s="1007"/>
      <c r="B32" s="956"/>
      <c r="C32" s="956"/>
      <c r="D32" s="638"/>
      <c r="E32" s="638"/>
      <c r="F32" s="887"/>
      <c r="G32" s="887"/>
      <c r="H32" s="638"/>
      <c r="I32" s="638" t="s">
        <v>434</v>
      </c>
      <c r="J32" s="887"/>
      <c r="K32" s="638"/>
      <c r="L32" s="1008"/>
      <c r="M32" s="638"/>
      <c r="N32" s="958"/>
      <c r="O32" s="638"/>
      <c r="P32" s="638"/>
      <c r="Q32" s="28" t="s">
        <v>157</v>
      </c>
      <c r="R32" s="28" t="s">
        <v>326</v>
      </c>
      <c r="S32" s="28" t="s">
        <v>157</v>
      </c>
      <c r="T32" s="952"/>
      <c r="U32" s="7"/>
      <c r="V32" s="112"/>
    </row>
    <row r="33" spans="1:22" ht="18" customHeight="1">
      <c r="A33" s="9"/>
      <c r="V33" s="10"/>
    </row>
    <row r="34" spans="1:22" ht="18" customHeight="1">
      <c r="A34" s="9"/>
      <c r="B34" s="14" t="s">
        <v>438</v>
      </c>
      <c r="C34" s="14"/>
      <c r="D34" s="103"/>
      <c r="E34" s="103"/>
      <c r="F34" s="14"/>
      <c r="G34" s="14"/>
      <c r="H34" s="5"/>
      <c r="I34" s="5"/>
      <c r="J34" s="5"/>
      <c r="P34" s="120" t="s">
        <v>439</v>
      </c>
      <c r="V34" s="10"/>
    </row>
    <row r="35" spans="1:22" ht="18" customHeight="1">
      <c r="A35" s="9"/>
      <c r="B35" s="14" t="s">
        <v>440</v>
      </c>
      <c r="C35" s="14"/>
      <c r="D35" s="103"/>
      <c r="E35" s="103"/>
      <c r="F35" s="14"/>
      <c r="G35" s="14"/>
      <c r="H35" s="5"/>
      <c r="I35" s="5"/>
      <c r="J35" s="5"/>
      <c r="P35" s="120" t="s">
        <v>441</v>
      </c>
      <c r="Q35" s="246" t="s">
        <v>138</v>
      </c>
      <c r="R35" s="639">
        <f>H10</f>
        <v>600</v>
      </c>
      <c r="S35" s="639"/>
      <c r="T35" s="14" t="s">
        <v>9</v>
      </c>
      <c r="V35" s="10"/>
    </row>
    <row r="36" spans="1:22" ht="18" customHeight="1">
      <c r="A36" s="9"/>
      <c r="B36" s="14" t="s">
        <v>442</v>
      </c>
      <c r="C36" s="14"/>
      <c r="D36" s="14"/>
      <c r="E36" s="14"/>
      <c r="F36" s="14"/>
      <c r="G36" s="14"/>
      <c r="H36" s="14"/>
      <c r="I36" s="14"/>
      <c r="J36" s="14"/>
      <c r="P36" s="120" t="s">
        <v>429</v>
      </c>
      <c r="Q36" s="246" t="s">
        <v>138</v>
      </c>
      <c r="R36" s="639">
        <f>'Parameters &amp; Fault Cal. (4)'!Q32</f>
        <v>40000</v>
      </c>
      <c r="S36" s="639"/>
      <c r="T36" s="14" t="s">
        <v>9</v>
      </c>
      <c r="V36" s="10"/>
    </row>
    <row r="37" spans="1:22" ht="18" customHeight="1">
      <c r="A37" s="9"/>
      <c r="B37" s="14" t="s">
        <v>443</v>
      </c>
      <c r="C37" s="14"/>
      <c r="D37" s="14"/>
      <c r="E37" s="14"/>
      <c r="F37" s="14"/>
      <c r="G37" s="14"/>
      <c r="H37" s="14"/>
      <c r="I37" s="14"/>
      <c r="J37" s="14"/>
      <c r="P37" s="120" t="s">
        <v>436</v>
      </c>
      <c r="Q37" s="246" t="s">
        <v>138</v>
      </c>
      <c r="R37" s="873">
        <f>'Parameters &amp; Fault Cal. (4)'!M70</f>
        <v>19625.768379858539</v>
      </c>
      <c r="S37" s="639"/>
      <c r="T37" s="14" t="s">
        <v>9</v>
      </c>
      <c r="U37" s="30" t="s">
        <v>444</v>
      </c>
      <c r="V37" s="10"/>
    </row>
    <row r="38" spans="1:22" ht="18" customHeight="1">
      <c r="A38" s="9"/>
      <c r="B38" s="14"/>
      <c r="C38" s="14"/>
      <c r="D38" s="14"/>
      <c r="E38" s="14"/>
      <c r="F38" s="14"/>
      <c r="G38" s="14"/>
      <c r="H38" s="14"/>
      <c r="I38" s="14"/>
      <c r="J38" s="14"/>
      <c r="P38" s="120"/>
      <c r="Q38" s="246" t="s">
        <v>138</v>
      </c>
      <c r="R38" s="873">
        <f>'Parameters &amp; Fault Cal. (4)'!M91</f>
        <v>21361.580727736164</v>
      </c>
      <c r="S38" s="639"/>
      <c r="T38" s="14" t="s">
        <v>9</v>
      </c>
      <c r="U38" s="30" t="s">
        <v>445</v>
      </c>
      <c r="V38" s="10"/>
    </row>
    <row r="39" spans="1:22" ht="18" customHeight="1">
      <c r="A39" s="9"/>
      <c r="B39" s="14" t="s">
        <v>446</v>
      </c>
      <c r="C39" s="14"/>
      <c r="D39" s="103"/>
      <c r="E39" s="103"/>
      <c r="F39" s="14"/>
      <c r="G39" s="14"/>
      <c r="H39" s="5"/>
      <c r="I39" s="5"/>
      <c r="J39" s="5"/>
      <c r="P39" s="120" t="s">
        <v>447</v>
      </c>
      <c r="Q39" s="246" t="s">
        <v>138</v>
      </c>
      <c r="R39" s="639">
        <f>'CT-VT Burdens'!S17</f>
        <v>1</v>
      </c>
      <c r="S39" s="639"/>
      <c r="T39" s="14" t="s">
        <v>9</v>
      </c>
      <c r="V39" s="10"/>
    </row>
    <row r="40" spans="1:22" ht="18" customHeight="1">
      <c r="A40" s="9"/>
      <c r="B40" s="14" t="s">
        <v>448</v>
      </c>
      <c r="C40" s="14"/>
      <c r="D40" s="103"/>
      <c r="E40" s="103"/>
      <c r="F40" s="14"/>
      <c r="G40" s="14"/>
      <c r="H40" s="5"/>
      <c r="I40" s="5"/>
      <c r="J40" s="5"/>
      <c r="P40" s="120" t="s">
        <v>449</v>
      </c>
      <c r="Q40" s="246" t="s">
        <v>138</v>
      </c>
      <c r="R40" s="639">
        <f>'CT-VT Burdens'!S18</f>
        <v>1</v>
      </c>
      <c r="S40" s="639"/>
      <c r="T40" s="14" t="s">
        <v>9</v>
      </c>
      <c r="V40" s="10"/>
    </row>
    <row r="41" spans="1:22" ht="18" customHeight="1">
      <c r="A41" s="9"/>
      <c r="B41" s="14" t="s">
        <v>450</v>
      </c>
      <c r="C41" s="14"/>
      <c r="D41" s="103"/>
      <c r="E41" s="103"/>
      <c r="F41" s="14"/>
      <c r="G41" s="14"/>
      <c r="H41" s="5"/>
      <c r="I41" s="5"/>
      <c r="J41" s="5"/>
      <c r="P41" s="120" t="s">
        <v>451</v>
      </c>
      <c r="Q41" s="246" t="s">
        <v>138</v>
      </c>
      <c r="R41" s="639">
        <f>H12</f>
        <v>4</v>
      </c>
      <c r="S41" s="639"/>
      <c r="T41" s="204" t="s">
        <v>344</v>
      </c>
      <c r="V41" s="10"/>
    </row>
    <row r="42" spans="1:22" ht="18" customHeight="1">
      <c r="A42" s="9"/>
      <c r="B42" s="7" t="s">
        <v>164</v>
      </c>
      <c r="C42" s="14"/>
      <c r="D42" s="14"/>
      <c r="E42" s="14"/>
      <c r="F42" s="14"/>
      <c r="G42" s="14"/>
      <c r="H42" s="14"/>
      <c r="I42" s="14"/>
      <c r="J42" s="14"/>
      <c r="P42" s="249" t="s">
        <v>452</v>
      </c>
      <c r="Q42" s="246" t="s">
        <v>138</v>
      </c>
      <c r="R42" s="637">
        <f>P21</f>
        <v>1.46186744</v>
      </c>
      <c r="S42" s="639"/>
      <c r="T42" s="204" t="s">
        <v>344</v>
      </c>
      <c r="V42" s="10"/>
    </row>
    <row r="43" spans="1:22" ht="18" customHeight="1">
      <c r="A43" s="9"/>
      <c r="B43" s="40" t="s">
        <v>453</v>
      </c>
      <c r="C43" s="14"/>
      <c r="D43" s="14"/>
      <c r="E43" s="14"/>
      <c r="F43" s="14"/>
      <c r="G43" s="14"/>
      <c r="H43" s="5"/>
      <c r="I43" s="5"/>
      <c r="J43" s="5"/>
      <c r="P43" s="249" t="s">
        <v>454</v>
      </c>
      <c r="Q43" s="246" t="s">
        <v>138</v>
      </c>
      <c r="R43" s="637">
        <f>J18</f>
        <v>0.02</v>
      </c>
      <c r="S43" s="639"/>
      <c r="T43" s="14" t="s">
        <v>168</v>
      </c>
      <c r="V43" s="10"/>
    </row>
    <row r="44" spans="1:22" ht="18" customHeight="1">
      <c r="A44" s="9"/>
      <c r="B44" s="40"/>
      <c r="C44" s="14"/>
      <c r="D44" s="14"/>
      <c r="E44" s="14"/>
      <c r="F44" s="14"/>
      <c r="G44" s="14"/>
      <c r="H44" s="5"/>
      <c r="I44" s="5"/>
      <c r="J44" s="5"/>
      <c r="P44" s="249"/>
      <c r="Q44" s="246"/>
      <c r="R44" s="223"/>
      <c r="S44" s="27"/>
      <c r="T44" s="14"/>
      <c r="V44" s="10"/>
    </row>
    <row r="45" spans="1:22" s="7" customFormat="1" ht="18" customHeight="1">
      <c r="A45" s="395"/>
      <c r="B45" s="20"/>
      <c r="C45" s="20"/>
      <c r="D45" s="20"/>
      <c r="E45" s="20"/>
      <c r="F45" s="20"/>
      <c r="G45" s="20"/>
      <c r="H45" s="20"/>
      <c r="I45" s="20"/>
      <c r="J45" s="20"/>
      <c r="K45" s="20"/>
      <c r="L45" s="20"/>
      <c r="M45" s="20"/>
      <c r="N45" s="20"/>
      <c r="O45" s="20"/>
      <c r="P45" s="20"/>
      <c r="Q45" s="21"/>
      <c r="R45" s="22"/>
      <c r="S45" s="23"/>
      <c r="T45" s="20"/>
      <c r="U45" s="20"/>
      <c r="V45" s="140"/>
    </row>
    <row r="46" spans="1:22" ht="18" customHeight="1">
      <c r="A46" s="396" t="s">
        <v>427</v>
      </c>
      <c r="B46" s="397"/>
      <c r="C46" s="397"/>
      <c r="D46" s="397"/>
      <c r="E46" s="397"/>
      <c r="F46" s="397"/>
      <c r="G46" s="397"/>
      <c r="H46" s="397"/>
      <c r="I46" s="397"/>
      <c r="J46" s="397"/>
      <c r="K46" s="397"/>
      <c r="L46" s="397"/>
      <c r="M46" s="397"/>
      <c r="N46" s="397"/>
      <c r="O46" s="397"/>
      <c r="P46" s="397"/>
      <c r="Q46" s="397"/>
      <c r="R46" s="397"/>
      <c r="S46" s="397"/>
      <c r="T46" s="397"/>
      <c r="U46" s="397"/>
      <c r="V46" s="408"/>
    </row>
    <row r="47" spans="1:22" ht="18" customHeight="1">
      <c r="A47" s="1006" t="s">
        <v>428</v>
      </c>
      <c r="B47" s="956"/>
      <c r="C47" s="956"/>
      <c r="D47" s="14"/>
      <c r="E47" s="7"/>
      <c r="F47" s="1011">
        <f>R36</f>
        <v>40000</v>
      </c>
      <c r="G47" s="1012"/>
      <c r="H47" s="861" t="s">
        <v>326</v>
      </c>
      <c r="I47" s="1013">
        <f>R39</f>
        <v>1</v>
      </c>
      <c r="J47" s="1014"/>
      <c r="K47" s="861" t="s">
        <v>326</v>
      </c>
      <c r="L47" s="1011" t="s">
        <v>430</v>
      </c>
      <c r="M47" s="968">
        <f>R41</f>
        <v>4</v>
      </c>
      <c r="N47" s="1017" t="s">
        <v>358</v>
      </c>
      <c r="O47" s="1018">
        <f>R42</f>
        <v>1.46186744</v>
      </c>
      <c r="P47" s="861" t="s">
        <v>358</v>
      </c>
      <c r="Q47" s="1009">
        <f>R43</f>
        <v>0.02</v>
      </c>
      <c r="R47" s="1010"/>
      <c r="S47" s="1010"/>
      <c r="T47" s="952" t="s">
        <v>361</v>
      </c>
      <c r="U47" s="242" t="s">
        <v>433</v>
      </c>
      <c r="V47" s="112"/>
    </row>
    <row r="48" spans="1:22" ht="18" customHeight="1">
      <c r="A48" s="1007"/>
      <c r="B48" s="956"/>
      <c r="C48" s="956"/>
      <c r="D48" s="14"/>
      <c r="E48" s="7"/>
      <c r="F48" s="1012"/>
      <c r="G48" s="1012"/>
      <c r="H48" s="861"/>
      <c r="I48" s="861">
        <f>R35</f>
        <v>600</v>
      </c>
      <c r="J48" s="1015"/>
      <c r="K48" s="861"/>
      <c r="L48" s="1011"/>
      <c r="M48" s="968"/>
      <c r="N48" s="1017"/>
      <c r="O48" s="968"/>
      <c r="P48" s="861"/>
      <c r="Q48" s="233">
        <f>R40</f>
        <v>1</v>
      </c>
      <c r="R48" s="233" t="s">
        <v>326</v>
      </c>
      <c r="S48" s="233">
        <f>R40</f>
        <v>1</v>
      </c>
      <c r="T48" s="952"/>
      <c r="U48" s="7"/>
      <c r="V48" s="112"/>
    </row>
    <row r="49" spans="1:22" ht="18" customHeight="1">
      <c r="A49" s="9"/>
      <c r="L49" s="442"/>
      <c r="V49" s="10"/>
    </row>
    <row r="50" spans="1:22" ht="18" customHeight="1">
      <c r="A50" s="9"/>
      <c r="C50" s="27" t="s">
        <v>138</v>
      </c>
      <c r="D50" s="798">
        <f>F47*(I47/I48)*(M47+O47+(Q47/(Q48*S48)))</f>
        <v>365.45782933333334</v>
      </c>
      <c r="E50" s="799"/>
      <c r="F50" s="27" t="s">
        <v>316</v>
      </c>
      <c r="L50" s="442"/>
      <c r="V50" s="10"/>
    </row>
    <row r="51" spans="1:22" ht="18" customHeight="1">
      <c r="A51" s="9"/>
      <c r="L51" s="442"/>
      <c r="V51" s="10"/>
    </row>
    <row r="52" spans="1:22" ht="18" customHeight="1">
      <c r="A52" s="205" t="s">
        <v>455</v>
      </c>
      <c r="L52" s="442"/>
      <c r="V52" s="10"/>
    </row>
    <row r="53" spans="1:22" ht="18" customHeight="1">
      <c r="A53" s="1006" t="s">
        <v>428</v>
      </c>
      <c r="B53" s="956"/>
      <c r="C53" s="956"/>
      <c r="D53" s="861">
        <v>2</v>
      </c>
      <c r="E53" s="861" t="s">
        <v>326</v>
      </c>
      <c r="F53" s="1016">
        <f>R37</f>
        <v>19625.768379858539</v>
      </c>
      <c r="G53" s="1015"/>
      <c r="H53" s="861" t="s">
        <v>326</v>
      </c>
      <c r="I53" s="1013">
        <f>R39</f>
        <v>1</v>
      </c>
      <c r="J53" s="1014"/>
      <c r="K53" s="861" t="s">
        <v>326</v>
      </c>
      <c r="L53" s="1011" t="s">
        <v>430</v>
      </c>
      <c r="M53" s="968">
        <f>R41</f>
        <v>4</v>
      </c>
      <c r="N53" s="1017" t="s">
        <v>358</v>
      </c>
      <c r="O53" s="1018">
        <f>R42</f>
        <v>1.46186744</v>
      </c>
      <c r="P53" s="861" t="s">
        <v>358</v>
      </c>
      <c r="Q53" s="1010">
        <f>Q47</f>
        <v>0.02</v>
      </c>
      <c r="R53" s="1010"/>
      <c r="S53" s="1010"/>
      <c r="T53" s="952" t="s">
        <v>361</v>
      </c>
      <c r="U53" s="242" t="s">
        <v>437</v>
      </c>
      <c r="V53" s="112"/>
    </row>
    <row r="54" spans="1:22" ht="18" customHeight="1">
      <c r="A54" s="1007"/>
      <c r="B54" s="956"/>
      <c r="C54" s="956"/>
      <c r="D54" s="861"/>
      <c r="E54" s="861"/>
      <c r="F54" s="1015"/>
      <c r="G54" s="1015"/>
      <c r="H54" s="861"/>
      <c r="I54" s="861">
        <f>R35</f>
        <v>600</v>
      </c>
      <c r="J54" s="1015"/>
      <c r="K54" s="861"/>
      <c r="L54" s="1011"/>
      <c r="M54" s="968"/>
      <c r="N54" s="1017"/>
      <c r="O54" s="968"/>
      <c r="P54" s="861"/>
      <c r="Q54" s="233">
        <f>R40</f>
        <v>1</v>
      </c>
      <c r="R54" s="233" t="s">
        <v>326</v>
      </c>
      <c r="S54" s="233">
        <f>R40</f>
        <v>1</v>
      </c>
      <c r="T54" s="952"/>
      <c r="U54" s="7"/>
      <c r="V54" s="112"/>
    </row>
    <row r="55" spans="1:22" ht="18" customHeight="1">
      <c r="A55" s="9"/>
      <c r="L55" s="442"/>
      <c r="V55" s="10"/>
    </row>
    <row r="56" spans="1:22" ht="18" customHeight="1">
      <c r="A56" s="9"/>
      <c r="C56" s="27" t="s">
        <v>138</v>
      </c>
      <c r="D56" s="798">
        <f>D53*F53*(I53/I54)*(M53+O53+(Q53/(Q54*S54)))</f>
        <v>358.61953555509359</v>
      </c>
      <c r="E56" s="799"/>
      <c r="F56" s="27" t="s">
        <v>316</v>
      </c>
      <c r="L56" s="442"/>
      <c r="V56" s="10"/>
    </row>
    <row r="57" spans="1:22" ht="18" customHeight="1">
      <c r="A57" s="9"/>
      <c r="L57" s="442"/>
      <c r="V57" s="10"/>
    </row>
    <row r="58" spans="1:22" ht="18" customHeight="1">
      <c r="A58" s="205" t="s">
        <v>456</v>
      </c>
      <c r="L58" s="442"/>
      <c r="V58" s="10"/>
    </row>
    <row r="59" spans="1:22" ht="18" customHeight="1">
      <c r="A59" s="1006" t="s">
        <v>428</v>
      </c>
      <c r="B59" s="956"/>
      <c r="C59" s="956"/>
      <c r="D59" s="861">
        <v>2</v>
      </c>
      <c r="E59" s="861" t="s">
        <v>326</v>
      </c>
      <c r="F59" s="1016">
        <f>R38</f>
        <v>21361.580727736164</v>
      </c>
      <c r="G59" s="1015"/>
      <c r="H59" s="861" t="s">
        <v>326</v>
      </c>
      <c r="I59" s="1013">
        <f>R39</f>
        <v>1</v>
      </c>
      <c r="J59" s="1014"/>
      <c r="K59" s="861" t="s">
        <v>326</v>
      </c>
      <c r="L59" s="1011" t="s">
        <v>430</v>
      </c>
      <c r="M59" s="968">
        <f>R41</f>
        <v>4</v>
      </c>
      <c r="N59" s="1017" t="s">
        <v>358</v>
      </c>
      <c r="O59" s="1018">
        <f>R42</f>
        <v>1.46186744</v>
      </c>
      <c r="P59" s="861" t="s">
        <v>358</v>
      </c>
      <c r="Q59" s="1010">
        <f>R43</f>
        <v>0.02</v>
      </c>
      <c r="R59" s="1010"/>
      <c r="S59" s="1010"/>
      <c r="T59" s="952" t="s">
        <v>361</v>
      </c>
      <c r="U59" s="242" t="s">
        <v>437</v>
      </c>
      <c r="V59" s="112"/>
    </row>
    <row r="60" spans="1:22" ht="18" customHeight="1">
      <c r="A60" s="1007"/>
      <c r="B60" s="956"/>
      <c r="C60" s="956"/>
      <c r="D60" s="861"/>
      <c r="E60" s="861"/>
      <c r="F60" s="1015"/>
      <c r="G60" s="1015"/>
      <c r="H60" s="861"/>
      <c r="I60" s="861">
        <f>R35</f>
        <v>600</v>
      </c>
      <c r="J60" s="1015"/>
      <c r="K60" s="861"/>
      <c r="L60" s="1011"/>
      <c r="M60" s="968"/>
      <c r="N60" s="1017"/>
      <c r="O60" s="968"/>
      <c r="P60" s="861"/>
      <c r="Q60" s="233">
        <f>R40</f>
        <v>1</v>
      </c>
      <c r="R60" s="233" t="s">
        <v>326</v>
      </c>
      <c r="S60" s="233">
        <f>R40</f>
        <v>1</v>
      </c>
      <c r="T60" s="952"/>
      <c r="U60" s="7"/>
      <c r="V60" s="112"/>
    </row>
    <row r="61" spans="1:22" ht="18" customHeight="1">
      <c r="A61" s="9"/>
      <c r="V61" s="10"/>
    </row>
    <row r="62" spans="1:22" ht="18" customHeight="1">
      <c r="A62" s="9"/>
      <c r="C62" s="27" t="s">
        <v>138</v>
      </c>
      <c r="D62" s="798">
        <f>D59*F59*(I59/I60)*(M59+O59+(Q59/(Q60*S60)))</f>
        <v>390.3378461943613</v>
      </c>
      <c r="E62" s="799"/>
      <c r="F62" s="27" t="s">
        <v>316</v>
      </c>
      <c r="V62" s="10"/>
    </row>
    <row r="63" spans="1:22" ht="18" customHeight="1">
      <c r="A63" s="9"/>
      <c r="V63" s="10"/>
    </row>
    <row r="64" spans="1:22" ht="18" customHeight="1">
      <c r="A64" s="116" t="s">
        <v>457</v>
      </c>
      <c r="V64" s="10"/>
    </row>
    <row r="65" spans="1:22" ht="18" customHeight="1">
      <c r="A65" s="1002" t="s">
        <v>426</v>
      </c>
      <c r="B65" s="1003"/>
      <c r="C65" s="1003"/>
      <c r="D65" s="1003"/>
      <c r="E65" s="1003"/>
      <c r="F65" s="1003"/>
      <c r="G65" s="1003"/>
      <c r="H65" s="1003"/>
      <c r="I65" s="1003"/>
      <c r="J65" s="1003"/>
      <c r="K65" s="1003"/>
      <c r="L65" s="1003"/>
      <c r="M65" s="1003"/>
      <c r="N65" s="1003"/>
      <c r="O65" s="1003"/>
      <c r="P65" s="1003"/>
      <c r="Q65" s="1003"/>
      <c r="R65" s="1003"/>
      <c r="S65" s="1003"/>
      <c r="T65" s="1003"/>
      <c r="U65" s="1003"/>
      <c r="V65" s="1004"/>
    </row>
    <row r="66" spans="1:22" ht="18" customHeight="1">
      <c r="A66" s="1002"/>
      <c r="B66" s="1003"/>
      <c r="C66" s="1003"/>
      <c r="D66" s="1003"/>
      <c r="E66" s="1003"/>
      <c r="F66" s="1003"/>
      <c r="G66" s="1003"/>
      <c r="H66" s="1003"/>
      <c r="I66" s="1003"/>
      <c r="J66" s="1003"/>
      <c r="K66" s="1003"/>
      <c r="L66" s="1003"/>
      <c r="M66" s="1003"/>
      <c r="N66" s="1003"/>
      <c r="O66" s="1003"/>
      <c r="P66" s="1003"/>
      <c r="Q66" s="1003"/>
      <c r="R66" s="1003"/>
      <c r="S66" s="1003"/>
      <c r="T66" s="1003"/>
      <c r="U66" s="1003"/>
      <c r="V66" s="1004"/>
    </row>
    <row r="67" spans="1:22" ht="18" customHeight="1">
      <c r="A67" s="205" t="s">
        <v>427</v>
      </c>
      <c r="V67" s="10"/>
    </row>
    <row r="68" spans="1:22" ht="18" customHeight="1">
      <c r="A68" s="1006" t="s">
        <v>428</v>
      </c>
      <c r="B68" s="956"/>
      <c r="C68" s="956"/>
      <c r="D68" s="1008" t="s">
        <v>429</v>
      </c>
      <c r="E68" s="887"/>
      <c r="F68" s="638" t="s">
        <v>326</v>
      </c>
      <c r="G68" s="661" t="s">
        <v>447</v>
      </c>
      <c r="H68" s="957"/>
      <c r="I68" s="638" t="s">
        <v>326</v>
      </c>
      <c r="J68" s="661" t="s">
        <v>146</v>
      </c>
      <c r="K68" s="638" t="s">
        <v>326</v>
      </c>
      <c r="L68" s="1008" t="s">
        <v>430</v>
      </c>
      <c r="M68" s="638" t="s">
        <v>451</v>
      </c>
      <c r="N68" s="958" t="s">
        <v>358</v>
      </c>
      <c r="O68" s="638" t="s">
        <v>458</v>
      </c>
      <c r="P68" s="638" t="s">
        <v>358</v>
      </c>
      <c r="Q68" s="953" t="s">
        <v>459</v>
      </c>
      <c r="R68" s="1005"/>
      <c r="S68" s="1005"/>
      <c r="T68" s="952" t="s">
        <v>361</v>
      </c>
      <c r="U68" s="242" t="s">
        <v>433</v>
      </c>
      <c r="V68" s="112"/>
    </row>
    <row r="69" spans="1:22" ht="18" customHeight="1">
      <c r="A69" s="1007"/>
      <c r="B69" s="956"/>
      <c r="C69" s="956"/>
      <c r="D69" s="887"/>
      <c r="E69" s="887"/>
      <c r="F69" s="638"/>
      <c r="G69" s="638" t="s">
        <v>441</v>
      </c>
      <c r="H69" s="887"/>
      <c r="I69" s="638"/>
      <c r="J69" s="638"/>
      <c r="K69" s="638"/>
      <c r="L69" s="1008"/>
      <c r="M69" s="638"/>
      <c r="N69" s="958"/>
      <c r="O69" s="638"/>
      <c r="P69" s="638"/>
      <c r="Q69" s="28" t="s">
        <v>449</v>
      </c>
      <c r="R69" s="28" t="s">
        <v>326</v>
      </c>
      <c r="S69" s="28" t="s">
        <v>449</v>
      </c>
      <c r="T69" s="952"/>
      <c r="U69" s="7"/>
      <c r="V69" s="112"/>
    </row>
    <row r="70" spans="1:22" ht="18" customHeight="1">
      <c r="A70" s="205" t="s">
        <v>460</v>
      </c>
      <c r="I70" s="7"/>
      <c r="J70" s="7"/>
      <c r="K70" s="7"/>
      <c r="L70" s="442"/>
      <c r="M70" s="438"/>
      <c r="O70" s="438"/>
      <c r="V70" s="10"/>
    </row>
    <row r="71" spans="1:22" ht="18" customHeight="1">
      <c r="A71" s="1006" t="s">
        <v>428</v>
      </c>
      <c r="B71" s="956"/>
      <c r="C71" s="956"/>
      <c r="D71" s="1008" t="s">
        <v>461</v>
      </c>
      <c r="E71" s="887"/>
      <c r="F71" s="638" t="s">
        <v>326</v>
      </c>
      <c r="G71" s="661" t="s">
        <v>447</v>
      </c>
      <c r="H71" s="957"/>
      <c r="I71" s="638" t="s">
        <v>326</v>
      </c>
      <c r="J71" s="661" t="s">
        <v>462</v>
      </c>
      <c r="K71" s="638" t="s">
        <v>326</v>
      </c>
      <c r="L71" s="1008" t="s">
        <v>430</v>
      </c>
      <c r="M71" s="638" t="s">
        <v>451</v>
      </c>
      <c r="N71" s="958" t="s">
        <v>358</v>
      </c>
      <c r="O71" s="638" t="s">
        <v>458</v>
      </c>
      <c r="P71" s="638" t="s">
        <v>358</v>
      </c>
      <c r="Q71" s="953" t="s">
        <v>459</v>
      </c>
      <c r="R71" s="1005"/>
      <c r="S71" s="1005"/>
      <c r="T71" s="952" t="s">
        <v>361</v>
      </c>
      <c r="U71" s="242" t="s">
        <v>437</v>
      </c>
      <c r="V71" s="112"/>
    </row>
    <row r="72" spans="1:22" ht="18" customHeight="1">
      <c r="A72" s="1007"/>
      <c r="B72" s="956"/>
      <c r="C72" s="956"/>
      <c r="D72" s="887"/>
      <c r="E72" s="887"/>
      <c r="F72" s="638"/>
      <c r="G72" s="638" t="s">
        <v>441</v>
      </c>
      <c r="H72" s="887"/>
      <c r="I72" s="638"/>
      <c r="J72" s="638"/>
      <c r="K72" s="638"/>
      <c r="L72" s="1008"/>
      <c r="M72" s="638"/>
      <c r="N72" s="958"/>
      <c r="O72" s="638"/>
      <c r="P72" s="638"/>
      <c r="Q72" s="28" t="s">
        <v>449</v>
      </c>
      <c r="R72" s="28" t="s">
        <v>326</v>
      </c>
      <c r="S72" s="28" t="s">
        <v>449</v>
      </c>
      <c r="T72" s="952"/>
      <c r="U72" s="7"/>
      <c r="V72" s="112"/>
    </row>
    <row r="73" spans="1:22" ht="18" customHeight="1">
      <c r="A73" s="9"/>
      <c r="V73" s="10"/>
    </row>
    <row r="74" spans="1:22" ht="18" customHeight="1">
      <c r="A74" s="9"/>
      <c r="B74" s="14" t="s">
        <v>438</v>
      </c>
      <c r="P74" s="120" t="s">
        <v>439</v>
      </c>
      <c r="V74" s="10"/>
    </row>
    <row r="75" spans="1:22" ht="18" customHeight="1">
      <c r="A75" s="9"/>
      <c r="B75" s="14" t="s">
        <v>440</v>
      </c>
      <c r="P75" s="120" t="s">
        <v>441</v>
      </c>
      <c r="Q75" s="246" t="s">
        <v>138</v>
      </c>
      <c r="R75" s="639">
        <f>R35</f>
        <v>600</v>
      </c>
      <c r="S75" s="639"/>
      <c r="T75" s="14" t="s">
        <v>9</v>
      </c>
      <c r="V75" s="10"/>
    </row>
    <row r="76" spans="1:22" ht="18" customHeight="1">
      <c r="A76" s="9"/>
      <c r="B76" s="14" t="s">
        <v>442</v>
      </c>
      <c r="P76" s="120" t="s">
        <v>429</v>
      </c>
      <c r="Q76" s="246" t="s">
        <v>138</v>
      </c>
      <c r="R76" s="639">
        <f>R36</f>
        <v>40000</v>
      </c>
      <c r="S76" s="639"/>
      <c r="T76" s="14" t="s">
        <v>9</v>
      </c>
      <c r="V76" s="10"/>
    </row>
    <row r="77" spans="1:22" ht="18" customHeight="1">
      <c r="A77" s="9"/>
      <c r="B77" s="14" t="s">
        <v>463</v>
      </c>
      <c r="P77" s="120" t="s">
        <v>461</v>
      </c>
      <c r="Q77" s="246" t="s">
        <v>138</v>
      </c>
      <c r="R77" s="873">
        <f>'Parameters &amp; Fault Cal. (4)'!M110</f>
        <v>22086.904410813047</v>
      </c>
      <c r="S77" s="639"/>
      <c r="T77" s="14" t="s">
        <v>9</v>
      </c>
      <c r="U77" s="30" t="s">
        <v>444</v>
      </c>
      <c r="V77" s="10"/>
    </row>
    <row r="78" spans="1:22" ht="18" customHeight="1">
      <c r="A78" s="9"/>
      <c r="B78" s="14"/>
      <c r="P78" s="120"/>
      <c r="Q78" s="246" t="s">
        <v>138</v>
      </c>
      <c r="R78" s="873">
        <f>'Parameters &amp; Fault Cal. (4)'!M131</f>
        <v>23819.814378888525</v>
      </c>
      <c r="S78" s="639"/>
      <c r="T78" s="14" t="s">
        <v>9</v>
      </c>
      <c r="U78" s="30" t="s">
        <v>445</v>
      </c>
      <c r="V78" s="10"/>
    </row>
    <row r="79" spans="1:22" ht="18" customHeight="1">
      <c r="A79" s="9"/>
      <c r="B79" s="14" t="s">
        <v>464</v>
      </c>
      <c r="P79" s="120" t="s">
        <v>447</v>
      </c>
      <c r="Q79" s="246" t="s">
        <v>138</v>
      </c>
      <c r="R79" s="639">
        <f>R39</f>
        <v>1</v>
      </c>
      <c r="S79" s="639"/>
      <c r="T79" s="14" t="s">
        <v>9</v>
      </c>
      <c r="V79" s="10"/>
    </row>
    <row r="80" spans="1:22" ht="18" customHeight="1">
      <c r="A80" s="9"/>
      <c r="B80" s="14" t="s">
        <v>448</v>
      </c>
      <c r="P80" s="120" t="s">
        <v>449</v>
      </c>
      <c r="Q80" s="246" t="s">
        <v>138</v>
      </c>
      <c r="R80" s="639">
        <f>R40</f>
        <v>1</v>
      </c>
      <c r="S80" s="639"/>
      <c r="T80" s="14" t="s">
        <v>9</v>
      </c>
      <c r="V80" s="10"/>
    </row>
    <row r="81" spans="1:22" ht="18" customHeight="1">
      <c r="A81" s="9"/>
      <c r="B81" s="14" t="s">
        <v>450</v>
      </c>
      <c r="P81" s="120" t="s">
        <v>451</v>
      </c>
      <c r="Q81" s="246" t="s">
        <v>138</v>
      </c>
      <c r="R81" s="639">
        <f>R41</f>
        <v>4</v>
      </c>
      <c r="S81" s="639"/>
      <c r="T81" s="204" t="s">
        <v>344</v>
      </c>
      <c r="V81" s="10"/>
    </row>
    <row r="82" spans="1:22" ht="18" customHeight="1">
      <c r="A82" s="9"/>
      <c r="B82" s="14" t="s">
        <v>465</v>
      </c>
      <c r="P82" s="249" t="s">
        <v>452</v>
      </c>
      <c r="Q82" s="246" t="s">
        <v>138</v>
      </c>
      <c r="R82" s="637">
        <f>R42</f>
        <v>1.46186744</v>
      </c>
      <c r="S82" s="639"/>
      <c r="T82" s="204" t="s">
        <v>344</v>
      </c>
      <c r="V82" s="10"/>
    </row>
    <row r="83" spans="1:22" ht="18" customHeight="1">
      <c r="A83" s="9"/>
      <c r="B83" s="40" t="s">
        <v>453</v>
      </c>
      <c r="P83" s="249" t="s">
        <v>454</v>
      </c>
      <c r="Q83" s="246" t="s">
        <v>138</v>
      </c>
      <c r="R83" s="637">
        <f>J18</f>
        <v>0.02</v>
      </c>
      <c r="S83" s="639"/>
      <c r="T83" s="14" t="s">
        <v>168</v>
      </c>
      <c r="V83" s="10"/>
    </row>
    <row r="84" spans="1:22" ht="18" customHeight="1">
      <c r="A84" s="9"/>
      <c r="B84" s="40"/>
      <c r="P84" s="249"/>
      <c r="Q84" s="246"/>
      <c r="R84" s="223"/>
      <c r="S84" s="27"/>
      <c r="T84" s="14"/>
      <c r="V84" s="10"/>
    </row>
    <row r="85" spans="1:22" s="7" customFormat="1" ht="18" customHeight="1">
      <c r="A85" s="395"/>
      <c r="B85" s="20"/>
      <c r="C85" s="20"/>
      <c r="D85" s="20"/>
      <c r="E85" s="20"/>
      <c r="F85" s="20"/>
      <c r="G85" s="20"/>
      <c r="H85" s="20"/>
      <c r="I85" s="20"/>
      <c r="J85" s="20"/>
      <c r="K85" s="20"/>
      <c r="L85" s="20"/>
      <c r="M85" s="20"/>
      <c r="N85" s="20"/>
      <c r="O85" s="20"/>
      <c r="P85" s="20"/>
      <c r="Q85" s="21"/>
      <c r="R85" s="22"/>
      <c r="S85" s="23"/>
      <c r="T85" s="20"/>
      <c r="U85" s="20"/>
      <c r="V85" s="140"/>
    </row>
    <row r="86" spans="1:22" ht="18" customHeight="1">
      <c r="A86" s="444" t="s">
        <v>466</v>
      </c>
      <c r="B86" s="445"/>
      <c r="C86" s="446"/>
      <c r="D86" s="447"/>
      <c r="E86" s="446"/>
      <c r="F86" s="447"/>
      <c r="G86" s="447"/>
      <c r="H86" s="445"/>
      <c r="I86" s="445"/>
      <c r="J86" s="445"/>
      <c r="K86" s="448"/>
      <c r="L86" s="448"/>
      <c r="M86" s="111"/>
      <c r="N86" s="447"/>
      <c r="O86" s="447"/>
      <c r="P86" s="448"/>
      <c r="Q86" s="449"/>
      <c r="R86" s="111"/>
      <c r="S86" s="111"/>
      <c r="T86" s="111"/>
      <c r="U86" s="111"/>
      <c r="V86" s="147"/>
    </row>
    <row r="87" spans="1:22" ht="18" customHeight="1">
      <c r="A87" s="96" t="s">
        <v>467</v>
      </c>
      <c r="B87" s="164"/>
      <c r="C87" s="450"/>
      <c r="D87" s="389"/>
      <c r="E87" s="450"/>
      <c r="F87" s="389"/>
      <c r="G87" s="389"/>
      <c r="H87" s="164"/>
      <c r="I87" s="164"/>
      <c r="J87" s="164"/>
      <c r="K87" s="165"/>
      <c r="L87" s="165"/>
      <c r="M87" s="7"/>
      <c r="N87" s="389"/>
      <c r="O87" s="389"/>
      <c r="P87" s="165"/>
      <c r="Q87" s="451"/>
      <c r="R87" s="7"/>
      <c r="S87" s="7"/>
      <c r="T87" s="7"/>
      <c r="U87" s="7"/>
      <c r="V87" s="112"/>
    </row>
    <row r="88" spans="1:22" ht="18" customHeight="1">
      <c r="A88" s="409"/>
      <c r="B88" s="164"/>
      <c r="C88" s="450"/>
      <c r="D88" s="7"/>
      <c r="E88" s="7"/>
      <c r="F88" s="7"/>
      <c r="G88" s="389"/>
      <c r="H88" s="452" t="s">
        <v>468</v>
      </c>
      <c r="I88" s="14" t="s">
        <v>469</v>
      </c>
      <c r="J88" s="7"/>
      <c r="K88" s="28" t="s">
        <v>470</v>
      </c>
      <c r="L88" s="28" t="s">
        <v>146</v>
      </c>
      <c r="M88" s="453"/>
      <c r="N88" s="389"/>
      <c r="O88" s="389"/>
      <c r="P88" s="102" t="s">
        <v>138</v>
      </c>
      <c r="Q88" s="28">
        <v>1</v>
      </c>
      <c r="R88" s="7"/>
      <c r="S88" s="7"/>
      <c r="T88" s="7"/>
      <c r="U88" s="7"/>
      <c r="V88" s="112"/>
    </row>
    <row r="89" spans="1:22" ht="18" customHeight="1">
      <c r="A89" s="409"/>
      <c r="B89" s="164"/>
      <c r="C89" s="450"/>
      <c r="D89" s="7"/>
      <c r="E89" s="7"/>
      <c r="F89" s="7"/>
      <c r="G89" s="389"/>
      <c r="H89" s="452"/>
      <c r="I89" s="14"/>
      <c r="J89" s="7"/>
      <c r="K89" s="28"/>
      <c r="L89" s="28"/>
      <c r="M89" s="453"/>
      <c r="N89" s="389"/>
      <c r="O89" s="389"/>
      <c r="P89" s="102"/>
      <c r="Q89" s="28"/>
      <c r="R89" s="7"/>
      <c r="S89" s="7"/>
      <c r="T89" s="7"/>
      <c r="U89" s="7"/>
      <c r="V89" s="112"/>
    </row>
    <row r="90" spans="1:22" ht="18" customHeight="1">
      <c r="A90" s="96" t="s">
        <v>471</v>
      </c>
      <c r="B90" s="164"/>
      <c r="C90" s="450"/>
      <c r="D90" s="389"/>
      <c r="E90" s="450"/>
      <c r="F90" s="389"/>
      <c r="G90" s="389"/>
      <c r="H90" s="164"/>
      <c r="I90" s="7"/>
      <c r="J90" s="7"/>
      <c r="K90" s="121"/>
      <c r="L90" s="121"/>
      <c r="M90" s="7"/>
      <c r="N90" s="389"/>
      <c r="O90" s="389"/>
      <c r="P90" s="165"/>
      <c r="Q90" s="451"/>
      <c r="V90" s="10"/>
    </row>
    <row r="91" spans="1:22" ht="18" customHeight="1">
      <c r="A91" s="96" t="s">
        <v>472</v>
      </c>
      <c r="B91" s="164"/>
      <c r="C91" s="450"/>
      <c r="D91" s="389"/>
      <c r="E91" s="450"/>
      <c r="F91" s="389"/>
      <c r="G91" s="389"/>
      <c r="H91" s="164"/>
      <c r="I91" s="7"/>
      <c r="J91" s="7"/>
      <c r="K91" s="121"/>
      <c r="L91" s="121"/>
      <c r="M91" s="7"/>
      <c r="N91" s="389"/>
      <c r="O91" s="389"/>
      <c r="P91" s="165"/>
      <c r="Q91" s="451"/>
      <c r="V91" s="10"/>
    </row>
    <row r="92" spans="1:22" ht="18" customHeight="1">
      <c r="A92" s="409"/>
      <c r="B92" s="164"/>
      <c r="C92" s="450"/>
      <c r="D92" s="7"/>
      <c r="E92" s="7"/>
      <c r="F92" s="7"/>
      <c r="G92" s="389"/>
      <c r="H92" s="452" t="s">
        <v>468</v>
      </c>
      <c r="I92" s="14" t="s">
        <v>473</v>
      </c>
      <c r="J92" s="7"/>
      <c r="K92" s="28" t="s">
        <v>470</v>
      </c>
      <c r="L92" s="28" t="s">
        <v>462</v>
      </c>
      <c r="M92" s="453"/>
      <c r="N92" s="389"/>
      <c r="O92" s="389"/>
      <c r="P92" s="102" t="s">
        <v>138</v>
      </c>
      <c r="Q92" s="28">
        <v>3</v>
      </c>
      <c r="V92" s="10"/>
    </row>
    <row r="93" spans="1:22" ht="18" customHeight="1">
      <c r="A93" s="409"/>
      <c r="B93" s="164"/>
      <c r="C93" s="450"/>
      <c r="D93" s="7"/>
      <c r="E93" s="7"/>
      <c r="F93" s="7"/>
      <c r="G93" s="389"/>
      <c r="H93" s="452"/>
      <c r="I93" s="14"/>
      <c r="J93" s="7"/>
      <c r="K93" s="28"/>
      <c r="L93" s="28"/>
      <c r="M93" s="453"/>
      <c r="N93" s="389"/>
      <c r="O93" s="389"/>
      <c r="P93" s="102"/>
      <c r="Q93" s="28"/>
      <c r="V93" s="10"/>
    </row>
    <row r="94" spans="1:22" ht="18" customHeight="1">
      <c r="A94" s="205" t="s">
        <v>427</v>
      </c>
      <c r="V94" s="10"/>
    </row>
    <row r="95" spans="1:22" ht="18" customHeight="1">
      <c r="A95" s="114"/>
      <c r="B95" s="7"/>
      <c r="C95" s="7"/>
      <c r="D95" s="7"/>
      <c r="E95" s="7"/>
      <c r="F95" s="7"/>
      <c r="G95" s="14" t="s">
        <v>474</v>
      </c>
      <c r="H95" s="7"/>
      <c r="I95" s="7"/>
      <c r="J95" s="7"/>
      <c r="K95" s="28" t="s">
        <v>138</v>
      </c>
      <c r="L95" s="641">
        <f>'Parameters &amp; Fault Cal. (4)'!Q59</f>
        <v>159.09090909090909</v>
      </c>
      <c r="M95" s="638"/>
      <c r="N95" s="14" t="s">
        <v>475</v>
      </c>
      <c r="O95" s="28" t="s">
        <v>146</v>
      </c>
      <c r="P95" s="28" t="s">
        <v>138</v>
      </c>
      <c r="Q95" s="28">
        <f>IF(L95&lt;=400,Q88,Q89)</f>
        <v>1</v>
      </c>
      <c r="R95" s="7"/>
      <c r="S95" s="7"/>
      <c r="T95" s="7"/>
      <c r="V95" s="10"/>
    </row>
    <row r="96" spans="1:22" ht="18" customHeight="1">
      <c r="A96" s="1006" t="s">
        <v>428</v>
      </c>
      <c r="B96" s="956"/>
      <c r="C96" s="956"/>
      <c r="D96" s="1011">
        <f>R76</f>
        <v>40000</v>
      </c>
      <c r="E96" s="1019"/>
      <c r="F96" s="861" t="s">
        <v>326</v>
      </c>
      <c r="G96" s="1013">
        <f>R79</f>
        <v>1</v>
      </c>
      <c r="H96" s="1020"/>
      <c r="I96" s="861" t="s">
        <v>326</v>
      </c>
      <c r="J96" s="862">
        <f>Q95</f>
        <v>1</v>
      </c>
      <c r="K96" s="861" t="s">
        <v>326</v>
      </c>
      <c r="L96" s="1011" t="s">
        <v>430</v>
      </c>
      <c r="M96" s="968">
        <f>R81</f>
        <v>4</v>
      </c>
      <c r="N96" s="1017" t="s">
        <v>358</v>
      </c>
      <c r="O96" s="1018">
        <f>R82</f>
        <v>1.46186744</v>
      </c>
      <c r="P96" s="861" t="s">
        <v>358</v>
      </c>
      <c r="Q96" s="1010">
        <f>R83</f>
        <v>0.02</v>
      </c>
      <c r="R96" s="1010"/>
      <c r="S96" s="1010"/>
      <c r="T96" s="952" t="s">
        <v>361</v>
      </c>
      <c r="U96" s="242" t="s">
        <v>433</v>
      </c>
      <c r="V96" s="112"/>
    </row>
    <row r="97" spans="1:22" ht="18" customHeight="1">
      <c r="A97" s="1007"/>
      <c r="B97" s="956"/>
      <c r="C97" s="956"/>
      <c r="D97" s="1019"/>
      <c r="E97" s="1019"/>
      <c r="F97" s="861"/>
      <c r="G97" s="861">
        <f>R75</f>
        <v>600</v>
      </c>
      <c r="H97" s="1019"/>
      <c r="I97" s="861"/>
      <c r="J97" s="861"/>
      <c r="K97" s="861"/>
      <c r="L97" s="1011"/>
      <c r="M97" s="968"/>
      <c r="N97" s="1017"/>
      <c r="O97" s="968"/>
      <c r="P97" s="861"/>
      <c r="Q97" s="233">
        <f>R80</f>
        <v>1</v>
      </c>
      <c r="R97" s="233" t="s">
        <v>326</v>
      </c>
      <c r="S97" s="233">
        <f>R80</f>
        <v>1</v>
      </c>
      <c r="T97" s="952"/>
      <c r="U97" s="7"/>
      <c r="V97" s="112"/>
    </row>
    <row r="98" spans="1:22" ht="18" customHeight="1">
      <c r="A98" s="114"/>
      <c r="B98" s="7"/>
      <c r="C98" s="7"/>
      <c r="D98" s="7"/>
      <c r="E98" s="7"/>
      <c r="F98" s="7"/>
      <c r="G98" s="7"/>
      <c r="H98" s="7"/>
      <c r="I98" s="7"/>
      <c r="J98" s="7"/>
      <c r="K98" s="7"/>
      <c r="L98" s="7"/>
      <c r="M98" s="7"/>
      <c r="N98" s="7"/>
      <c r="O98" s="7"/>
      <c r="P98" s="7"/>
      <c r="Q98" s="7"/>
      <c r="R98" s="7"/>
      <c r="S98" s="7"/>
      <c r="T98" s="7"/>
      <c r="V98" s="10"/>
    </row>
    <row r="99" spans="1:22" ht="18" customHeight="1">
      <c r="A99" s="9"/>
      <c r="C99" s="30" t="s">
        <v>138</v>
      </c>
      <c r="D99" s="797">
        <f>D96*(G96/G97)*J96*(M96+O96+(Q96/(Q97*S97)))</f>
        <v>365.45782933333334</v>
      </c>
      <c r="E99" s="645"/>
      <c r="F99" s="27" t="s">
        <v>316</v>
      </c>
      <c r="V99" s="10"/>
    </row>
    <row r="100" spans="1:22" ht="18" customHeight="1">
      <c r="A100" s="9"/>
      <c r="V100" s="10"/>
    </row>
    <row r="101" spans="1:22" ht="18" customHeight="1">
      <c r="A101" s="205" t="s">
        <v>476</v>
      </c>
      <c r="V101" s="10"/>
    </row>
    <row r="102" spans="1:22" ht="18" customHeight="1">
      <c r="A102" s="9"/>
      <c r="E102" s="30" t="s">
        <v>477</v>
      </c>
      <c r="K102" s="27" t="s">
        <v>138</v>
      </c>
      <c r="L102" s="637">
        <f>'Parameters &amp; Fault Cal. (4)'!Q116</f>
        <v>6.7473490103646627</v>
      </c>
      <c r="M102" s="639"/>
      <c r="N102" s="30" t="s">
        <v>475</v>
      </c>
      <c r="O102" s="28" t="s">
        <v>462</v>
      </c>
      <c r="P102" s="27" t="s">
        <v>138</v>
      </c>
      <c r="Q102" s="27">
        <f>IF(L102&lt;=200,Q92,Q93)</f>
        <v>3</v>
      </c>
      <c r="V102" s="10"/>
    </row>
    <row r="103" spans="1:22" ht="18" customHeight="1">
      <c r="A103" s="1006" t="s">
        <v>428</v>
      </c>
      <c r="B103" s="956"/>
      <c r="C103" s="956"/>
      <c r="D103" s="1016">
        <f>R77</f>
        <v>22086.904410813047</v>
      </c>
      <c r="E103" s="1015"/>
      <c r="F103" s="861" t="s">
        <v>326</v>
      </c>
      <c r="G103" s="1013">
        <f>R79</f>
        <v>1</v>
      </c>
      <c r="H103" s="1014"/>
      <c r="I103" s="861" t="s">
        <v>326</v>
      </c>
      <c r="J103" s="862">
        <f>Q102</f>
        <v>3</v>
      </c>
      <c r="K103" s="861" t="s">
        <v>326</v>
      </c>
      <c r="L103" s="1011" t="s">
        <v>430</v>
      </c>
      <c r="M103" s="968">
        <f>R81</f>
        <v>4</v>
      </c>
      <c r="N103" s="1017" t="s">
        <v>358</v>
      </c>
      <c r="O103" s="1018">
        <f>R82</f>
        <v>1.46186744</v>
      </c>
      <c r="P103" s="861" t="s">
        <v>358</v>
      </c>
      <c r="Q103" s="1010">
        <f>R83</f>
        <v>0.02</v>
      </c>
      <c r="R103" s="1010"/>
      <c r="S103" s="1010"/>
      <c r="T103" s="952" t="s">
        <v>361</v>
      </c>
      <c r="U103" s="242" t="s">
        <v>437</v>
      </c>
      <c r="V103" s="112"/>
    </row>
    <row r="104" spans="1:22" ht="18" customHeight="1">
      <c r="A104" s="1007"/>
      <c r="B104" s="956"/>
      <c r="C104" s="956"/>
      <c r="D104" s="1015"/>
      <c r="E104" s="1015"/>
      <c r="F104" s="861"/>
      <c r="G104" s="861">
        <f>R75</f>
        <v>600</v>
      </c>
      <c r="H104" s="1015"/>
      <c r="I104" s="861"/>
      <c r="J104" s="861"/>
      <c r="K104" s="861"/>
      <c r="L104" s="1011"/>
      <c r="M104" s="968"/>
      <c r="N104" s="1017"/>
      <c r="O104" s="968"/>
      <c r="P104" s="861"/>
      <c r="Q104" s="233">
        <f>R80</f>
        <v>1</v>
      </c>
      <c r="R104" s="233" t="s">
        <v>326</v>
      </c>
      <c r="S104" s="233">
        <f>R80</f>
        <v>1</v>
      </c>
      <c r="T104" s="952"/>
      <c r="U104" s="7"/>
      <c r="V104" s="112"/>
    </row>
    <row r="105" spans="1:22" ht="18" customHeight="1">
      <c r="A105" s="9"/>
      <c r="I105" s="7"/>
      <c r="J105" s="7"/>
      <c r="K105" s="7"/>
      <c r="V105" s="10"/>
    </row>
    <row r="106" spans="1:22" ht="18" customHeight="1">
      <c r="A106" s="9"/>
      <c r="C106" s="27" t="s">
        <v>138</v>
      </c>
      <c r="D106" s="797">
        <f>D103*(G103/G104)*J103*(M103+O103+(Q103/(Q104*S104)))</f>
        <v>605.38741070014214</v>
      </c>
      <c r="E106" s="645"/>
      <c r="F106" s="27" t="s">
        <v>316</v>
      </c>
      <c r="I106" s="7"/>
      <c r="J106" s="7"/>
      <c r="K106" s="7"/>
      <c r="V106" s="10"/>
    </row>
    <row r="107" spans="1:22" ht="18" customHeight="1">
      <c r="A107" s="9"/>
      <c r="I107" s="7"/>
      <c r="J107" s="7"/>
      <c r="K107" s="7"/>
      <c r="V107" s="10"/>
    </row>
    <row r="108" spans="1:22" ht="18" customHeight="1">
      <c r="A108" s="205" t="s">
        <v>478</v>
      </c>
      <c r="I108" s="7"/>
      <c r="J108" s="7"/>
      <c r="K108" s="7"/>
      <c r="V108" s="10"/>
    </row>
    <row r="109" spans="1:22" ht="18" customHeight="1">
      <c r="A109" s="9"/>
      <c r="E109" s="30" t="s">
        <v>479</v>
      </c>
      <c r="I109" s="7"/>
      <c r="J109" s="7"/>
      <c r="K109" s="28" t="s">
        <v>138</v>
      </c>
      <c r="L109" s="637">
        <f>'Parameters &amp; Fault Cal. (4)'!Q139</f>
        <v>6.9289372966517959</v>
      </c>
      <c r="M109" s="639"/>
      <c r="N109" s="27" t="s">
        <v>475</v>
      </c>
      <c r="O109" s="28" t="s">
        <v>462</v>
      </c>
      <c r="P109" s="27" t="s">
        <v>138</v>
      </c>
      <c r="Q109" s="27">
        <f>IF(L109&lt;=200,Q92,Q93)</f>
        <v>3</v>
      </c>
      <c r="V109" s="10"/>
    </row>
    <row r="110" spans="1:22" ht="18" customHeight="1">
      <c r="A110" s="1006" t="s">
        <v>428</v>
      </c>
      <c r="B110" s="956"/>
      <c r="C110" s="956"/>
      <c r="D110" s="1016">
        <f>R78</f>
        <v>23819.814378888525</v>
      </c>
      <c r="E110" s="1015"/>
      <c r="F110" s="861" t="s">
        <v>326</v>
      </c>
      <c r="G110" s="1013">
        <f>R79</f>
        <v>1</v>
      </c>
      <c r="H110" s="1014"/>
      <c r="I110" s="861" t="s">
        <v>326</v>
      </c>
      <c r="J110" s="862">
        <f>Q109</f>
        <v>3</v>
      </c>
      <c r="K110" s="861" t="s">
        <v>326</v>
      </c>
      <c r="L110" s="1011" t="s">
        <v>430</v>
      </c>
      <c r="M110" s="968">
        <f>R81</f>
        <v>4</v>
      </c>
      <c r="N110" s="1017" t="s">
        <v>358</v>
      </c>
      <c r="O110" s="1018">
        <f>R82</f>
        <v>1.46186744</v>
      </c>
      <c r="P110" s="861" t="s">
        <v>358</v>
      </c>
      <c r="Q110" s="1010">
        <f>R83</f>
        <v>0.02</v>
      </c>
      <c r="R110" s="1010"/>
      <c r="S110" s="1010"/>
      <c r="T110" s="952" t="s">
        <v>361</v>
      </c>
      <c r="U110" s="242" t="s">
        <v>437</v>
      </c>
      <c r="V110" s="112"/>
    </row>
    <row r="111" spans="1:22" ht="18" customHeight="1">
      <c r="A111" s="1007"/>
      <c r="B111" s="956"/>
      <c r="C111" s="956"/>
      <c r="D111" s="1015"/>
      <c r="E111" s="1015"/>
      <c r="F111" s="861"/>
      <c r="G111" s="861">
        <f>R75</f>
        <v>600</v>
      </c>
      <c r="H111" s="1015"/>
      <c r="I111" s="861"/>
      <c r="J111" s="861"/>
      <c r="K111" s="861"/>
      <c r="L111" s="1011"/>
      <c r="M111" s="968"/>
      <c r="N111" s="1017"/>
      <c r="O111" s="968"/>
      <c r="P111" s="861"/>
      <c r="Q111" s="233">
        <f>R80</f>
        <v>1</v>
      </c>
      <c r="R111" s="233" t="s">
        <v>326</v>
      </c>
      <c r="S111" s="233">
        <f>R80</f>
        <v>1</v>
      </c>
      <c r="T111" s="952"/>
      <c r="U111" s="7"/>
      <c r="V111" s="112"/>
    </row>
    <row r="112" spans="1:22" ht="18" customHeight="1">
      <c r="A112" s="9"/>
      <c r="V112" s="10"/>
    </row>
    <row r="113" spans="1:26" ht="18" customHeight="1">
      <c r="A113" s="9"/>
      <c r="C113" s="30" t="s">
        <v>138</v>
      </c>
      <c r="D113" s="1021">
        <f>D110*(G110/G111)*J110*(M110+O110+(Q110/(Q111*S111)))</f>
        <v>652.88532435236414</v>
      </c>
      <c r="E113" s="1022"/>
      <c r="F113" s="27" t="s">
        <v>316</v>
      </c>
      <c r="V113" s="10"/>
    </row>
    <row r="114" spans="1:26" ht="18" customHeight="1">
      <c r="A114" s="9"/>
      <c r="V114" s="10"/>
    </row>
    <row r="115" spans="1:26" ht="18" customHeight="1">
      <c r="A115" s="196" t="s">
        <v>480</v>
      </c>
      <c r="M115" s="1023">
        <f>H10</f>
        <v>600</v>
      </c>
      <c r="N115" s="1024"/>
      <c r="O115" s="30" t="s">
        <v>481</v>
      </c>
      <c r="Q115" s="798">
        <f>MAX(D50,D56,D62,D99,D106,D113)</f>
        <v>652.88532435236414</v>
      </c>
      <c r="R115" s="799"/>
      <c r="S115" s="30" t="s">
        <v>316</v>
      </c>
      <c r="V115" s="10"/>
    </row>
    <row r="116" spans="1:26" ht="18" customHeight="1">
      <c r="A116" s="364" t="s">
        <v>482</v>
      </c>
      <c r="B116" s="7"/>
      <c r="C116" s="7"/>
      <c r="D116" s="454"/>
      <c r="E116" s="7"/>
      <c r="F116" s="7"/>
      <c r="G116" s="385"/>
      <c r="H116" s="7"/>
      <c r="J116" s="7"/>
      <c r="K116" s="7"/>
      <c r="L116" s="7"/>
      <c r="M116" s="7"/>
      <c r="N116" s="7"/>
      <c r="O116" s="7"/>
      <c r="P116" s="262"/>
      <c r="Q116" s="263"/>
      <c r="R116" s="385"/>
      <c r="S116" s="7"/>
      <c r="V116" s="10"/>
    </row>
    <row r="117" spans="1:26" ht="18" customHeight="1">
      <c r="A117" s="96" t="s">
        <v>483</v>
      </c>
      <c r="V117" s="10"/>
    </row>
    <row r="118" spans="1:26" ht="18" customHeight="1">
      <c r="A118" s="9"/>
      <c r="N118" s="7"/>
      <c r="O118" s="28" t="s">
        <v>484</v>
      </c>
      <c r="P118" s="102" t="s">
        <v>138</v>
      </c>
      <c r="Q118" s="906" t="s">
        <v>485</v>
      </c>
      <c r="R118" s="906"/>
      <c r="S118" s="28" t="s">
        <v>326</v>
      </c>
      <c r="T118" s="28">
        <v>0.8</v>
      </c>
      <c r="V118" s="10"/>
    </row>
    <row r="119" spans="1:26" ht="18" customHeight="1">
      <c r="A119" s="9"/>
      <c r="N119" s="264"/>
      <c r="O119" s="28"/>
      <c r="P119" s="102" t="s">
        <v>138</v>
      </c>
      <c r="Q119" s="1026">
        <f>+Q115</f>
        <v>652.88532435236414</v>
      </c>
      <c r="R119" s="661"/>
      <c r="S119" s="234" t="s">
        <v>326</v>
      </c>
      <c r="T119" s="265">
        <f>+T118</f>
        <v>0.8</v>
      </c>
      <c r="V119" s="10"/>
    </row>
    <row r="120" spans="1:26" ht="18" customHeight="1">
      <c r="A120" s="9"/>
      <c r="O120" s="28"/>
      <c r="P120" s="28" t="s">
        <v>138</v>
      </c>
      <c r="Q120" s="1027">
        <f>Q119*T119</f>
        <v>522.30825948189135</v>
      </c>
      <c r="R120" s="651"/>
      <c r="S120" s="47" t="s">
        <v>316</v>
      </c>
      <c r="T120" s="28"/>
      <c r="V120" s="10"/>
    </row>
    <row r="121" spans="1:26" ht="18" customHeight="1">
      <c r="A121" s="9"/>
      <c r="D121" s="14" t="s">
        <v>486</v>
      </c>
      <c r="G121" s="27" t="s">
        <v>487</v>
      </c>
      <c r="H121" s="14" t="s">
        <v>488</v>
      </c>
      <c r="V121" s="10"/>
      <c r="Z121" t="str">
        <f>IF(E122&gt;H122,"&gt;","&lt;")</f>
        <v>&gt;</v>
      </c>
    </row>
    <row r="122" spans="1:26" ht="18" customHeight="1">
      <c r="A122" s="9"/>
      <c r="E122" s="639">
        <f>H13</f>
        <v>800</v>
      </c>
      <c r="F122" s="639"/>
      <c r="G122" s="27" t="s">
        <v>487</v>
      </c>
      <c r="H122" s="637">
        <f>Q120</f>
        <v>522.30825948189135</v>
      </c>
      <c r="I122" s="639"/>
      <c r="V122" s="10"/>
    </row>
    <row r="123" spans="1:26" ht="18" customHeight="1">
      <c r="A123" s="9"/>
      <c r="F123" s="256" t="s">
        <v>489</v>
      </c>
      <c r="H123" s="18" t="str">
        <f>IF(E122&gt;H122,"Suitably Dimensioned","Under Dimensioned")</f>
        <v>Suitably Dimensioned</v>
      </c>
      <c r="V123" s="10"/>
      <c r="Z123" t="str">
        <f>IF(G121="&gt;","Suitably Dimensioned","Under Dimensioned")</f>
        <v>Suitably Dimensioned</v>
      </c>
    </row>
    <row r="124" spans="1:26" ht="18" customHeight="1">
      <c r="A124" s="9"/>
      <c r="F124" s="256"/>
      <c r="H124" s="18"/>
      <c r="V124" s="10"/>
    </row>
    <row r="125" spans="1:26" s="7" customFormat="1" ht="18" customHeight="1">
      <c r="A125" s="395"/>
      <c r="B125" s="20"/>
      <c r="C125" s="20"/>
      <c r="D125" s="20"/>
      <c r="E125" s="20"/>
      <c r="F125" s="20"/>
      <c r="G125" s="20"/>
      <c r="H125" s="20"/>
      <c r="I125" s="20"/>
      <c r="J125" s="20"/>
      <c r="K125" s="20"/>
      <c r="L125" s="20"/>
      <c r="M125" s="20"/>
      <c r="N125" s="20"/>
      <c r="O125" s="20"/>
      <c r="P125" s="20"/>
      <c r="Q125" s="21"/>
      <c r="R125" s="22"/>
      <c r="S125" s="23"/>
      <c r="T125" s="20"/>
      <c r="U125" s="20"/>
      <c r="V125" s="140"/>
    </row>
    <row r="126" spans="1:26" ht="18" hidden="1" customHeight="1">
      <c r="A126" s="455"/>
      <c r="B126" s="397"/>
      <c r="C126" s="397"/>
      <c r="D126" s="397"/>
      <c r="E126" s="397"/>
      <c r="F126" s="397"/>
      <c r="G126" s="397"/>
      <c r="H126" s="397"/>
      <c r="I126" s="397"/>
      <c r="J126" s="397"/>
      <c r="K126" s="397"/>
      <c r="L126" s="397"/>
      <c r="M126" s="397"/>
      <c r="N126" s="397"/>
      <c r="O126" s="397"/>
      <c r="P126" s="397"/>
      <c r="Q126" s="397"/>
      <c r="R126" s="397"/>
      <c r="S126" s="397"/>
      <c r="T126" s="397"/>
      <c r="U126" s="397"/>
      <c r="V126" s="408"/>
    </row>
    <row r="127" spans="1:26" ht="18" hidden="1" customHeight="1">
      <c r="A127" s="116" t="s">
        <v>490</v>
      </c>
      <c r="V127" s="10"/>
    </row>
    <row r="128" spans="1:26" ht="18" hidden="1" customHeight="1">
      <c r="A128" s="1002" t="s">
        <v>491</v>
      </c>
      <c r="B128" s="965"/>
      <c r="C128" s="965"/>
      <c r="D128" s="965"/>
      <c r="E128" s="965"/>
      <c r="F128" s="965"/>
      <c r="G128" s="965"/>
      <c r="H128" s="965"/>
      <c r="I128" s="965"/>
      <c r="J128" s="965"/>
      <c r="K128" s="965"/>
      <c r="L128" s="965"/>
      <c r="M128" s="965"/>
      <c r="N128" s="965"/>
      <c r="O128" s="965"/>
      <c r="P128" s="965"/>
      <c r="Q128" s="965"/>
      <c r="R128" s="965"/>
      <c r="S128" s="965"/>
      <c r="T128" s="965"/>
      <c r="U128" s="965"/>
      <c r="V128" s="966"/>
    </row>
    <row r="129" spans="1:22" ht="18" hidden="1" customHeight="1">
      <c r="A129" s="967"/>
      <c r="B129" s="965"/>
      <c r="C129" s="965"/>
      <c r="D129" s="965"/>
      <c r="E129" s="965"/>
      <c r="F129" s="965"/>
      <c r="G129" s="965"/>
      <c r="H129" s="965"/>
      <c r="I129" s="965"/>
      <c r="J129" s="965"/>
      <c r="K129" s="965"/>
      <c r="L129" s="965"/>
      <c r="M129" s="965"/>
      <c r="N129" s="965"/>
      <c r="O129" s="965"/>
      <c r="P129" s="965"/>
      <c r="Q129" s="965"/>
      <c r="R129" s="965"/>
      <c r="S129" s="965"/>
      <c r="T129" s="965"/>
      <c r="U129" s="965"/>
      <c r="V129" s="966"/>
    </row>
    <row r="130" spans="1:22" ht="18" hidden="1" customHeight="1">
      <c r="A130" s="456"/>
      <c r="B130" s="5"/>
      <c r="C130" s="5"/>
      <c r="D130" s="5"/>
      <c r="E130" s="5"/>
      <c r="F130" s="30"/>
      <c r="G130" s="30"/>
      <c r="H130" s="30"/>
      <c r="I130" s="30"/>
      <c r="J130" s="30"/>
      <c r="K130" s="30"/>
      <c r="L130" s="30"/>
      <c r="M130" s="224"/>
      <c r="N130" s="224"/>
      <c r="O130" s="103"/>
      <c r="P130" s="30"/>
      <c r="Q130" s="235"/>
      <c r="R130" s="14"/>
      <c r="S130" s="226"/>
      <c r="T130" s="30"/>
      <c r="U130" s="30"/>
      <c r="V130" s="197"/>
    </row>
    <row r="131" spans="1:22" ht="18" hidden="1" customHeight="1">
      <c r="A131" s="1006" t="s">
        <v>428</v>
      </c>
      <c r="B131" s="1008"/>
      <c r="C131" s="1008"/>
      <c r="D131" s="638">
        <v>5</v>
      </c>
      <c r="E131" s="638" t="s">
        <v>326</v>
      </c>
      <c r="F131" s="638" t="s">
        <v>492</v>
      </c>
      <c r="G131" s="639"/>
      <c r="H131" s="638" t="s">
        <v>326</v>
      </c>
      <c r="I131" s="661" t="s">
        <v>493</v>
      </c>
      <c r="J131" s="1068"/>
      <c r="K131" s="638" t="s">
        <v>326</v>
      </c>
      <c r="L131" s="920" t="s">
        <v>430</v>
      </c>
      <c r="M131" s="920" t="s">
        <v>431</v>
      </c>
      <c r="N131" s="958" t="s">
        <v>358</v>
      </c>
      <c r="O131" s="920" t="s">
        <v>419</v>
      </c>
      <c r="P131" s="638" t="s">
        <v>358</v>
      </c>
      <c r="Q131" s="953" t="s">
        <v>432</v>
      </c>
      <c r="R131" s="1005"/>
      <c r="S131" s="1005"/>
      <c r="T131" s="952" t="s">
        <v>361</v>
      </c>
      <c r="U131" s="242" t="s">
        <v>433</v>
      </c>
      <c r="V131" s="97"/>
    </row>
    <row r="132" spans="1:22" ht="18" hidden="1" customHeight="1">
      <c r="A132" s="1067"/>
      <c r="B132" s="1008"/>
      <c r="C132" s="1008"/>
      <c r="D132" s="638"/>
      <c r="E132" s="638"/>
      <c r="F132" s="639"/>
      <c r="G132" s="639"/>
      <c r="H132" s="638"/>
      <c r="I132" s="638" t="s">
        <v>494</v>
      </c>
      <c r="J132" s="985"/>
      <c r="K132" s="638"/>
      <c r="L132" s="920"/>
      <c r="M132" s="920"/>
      <c r="N132" s="958"/>
      <c r="O132" s="920"/>
      <c r="P132" s="638"/>
      <c r="Q132" s="28" t="s">
        <v>157</v>
      </c>
      <c r="R132" s="28" t="s">
        <v>326</v>
      </c>
      <c r="S132" s="28" t="s">
        <v>157</v>
      </c>
      <c r="T132" s="952"/>
      <c r="U132" s="14"/>
      <c r="V132" s="97"/>
    </row>
    <row r="133" spans="1:22" ht="18" hidden="1" customHeight="1">
      <c r="A133" s="159"/>
      <c r="B133" s="14" t="s">
        <v>438</v>
      </c>
      <c r="C133" s="14"/>
      <c r="D133" s="103"/>
      <c r="E133" s="103"/>
      <c r="F133" s="14"/>
      <c r="G133" s="14"/>
      <c r="H133" s="5"/>
      <c r="I133" s="5"/>
      <c r="J133" s="5"/>
      <c r="K133" s="30"/>
      <c r="L133" s="30"/>
      <c r="M133" s="30"/>
      <c r="N133" s="30"/>
      <c r="O133" s="30"/>
      <c r="P133" s="120" t="s">
        <v>439</v>
      </c>
      <c r="Q133" s="30"/>
      <c r="R133" s="30"/>
      <c r="S133" s="30"/>
      <c r="T133" s="30"/>
      <c r="U133" s="457"/>
      <c r="V133" s="458"/>
    </row>
    <row r="134" spans="1:22" ht="18" hidden="1" customHeight="1">
      <c r="A134" s="459"/>
      <c r="B134" s="14" t="s">
        <v>440</v>
      </c>
      <c r="C134" s="14"/>
      <c r="D134" s="103"/>
      <c r="E134" s="103"/>
      <c r="F134" s="14"/>
      <c r="G134" s="14"/>
      <c r="H134" s="5"/>
      <c r="I134" s="5"/>
      <c r="J134" s="5"/>
      <c r="K134" s="30"/>
      <c r="L134" s="30"/>
      <c r="M134" s="30"/>
      <c r="N134" s="30"/>
      <c r="O134" s="30"/>
      <c r="P134" s="120" t="s">
        <v>495</v>
      </c>
      <c r="Q134" s="246" t="s">
        <v>138</v>
      </c>
      <c r="R134" s="639">
        <f>R35</f>
        <v>600</v>
      </c>
      <c r="S134" s="639"/>
      <c r="T134" s="14" t="s">
        <v>9</v>
      </c>
      <c r="U134" s="457"/>
      <c r="V134" s="458"/>
    </row>
    <row r="135" spans="1:22" ht="18" hidden="1" customHeight="1">
      <c r="A135" s="459"/>
      <c r="B135" s="14" t="s">
        <v>496</v>
      </c>
      <c r="C135" s="14"/>
      <c r="D135" s="14"/>
      <c r="E135" s="14"/>
      <c r="F135" s="14"/>
      <c r="G135" s="14"/>
      <c r="H135" s="14"/>
      <c r="I135" s="14"/>
      <c r="J135" s="14"/>
      <c r="K135" s="30"/>
      <c r="L135" s="30"/>
      <c r="M135" s="30"/>
      <c r="N135" s="30"/>
      <c r="O135" s="30"/>
      <c r="P135" s="120" t="s">
        <v>492</v>
      </c>
      <c r="Q135" s="246" t="s">
        <v>138</v>
      </c>
      <c r="R135" s="873">
        <f>R76</f>
        <v>40000</v>
      </c>
      <c r="S135" s="873"/>
      <c r="T135" s="14" t="s">
        <v>9</v>
      </c>
      <c r="U135" s="457"/>
      <c r="V135" s="458"/>
    </row>
    <row r="136" spans="1:22" ht="18" hidden="1" customHeight="1">
      <c r="A136" s="459"/>
      <c r="B136" s="14" t="s">
        <v>446</v>
      </c>
      <c r="C136" s="14"/>
      <c r="D136" s="103"/>
      <c r="E136" s="103"/>
      <c r="F136" s="14"/>
      <c r="G136" s="14"/>
      <c r="H136" s="5"/>
      <c r="I136" s="5"/>
      <c r="J136" s="5"/>
      <c r="K136" s="30"/>
      <c r="L136" s="30"/>
      <c r="M136" s="30"/>
      <c r="N136" s="30"/>
      <c r="O136" s="30"/>
      <c r="P136" s="120" t="s">
        <v>497</v>
      </c>
      <c r="Q136" s="246" t="s">
        <v>138</v>
      </c>
      <c r="R136" s="639">
        <f>R79</f>
        <v>1</v>
      </c>
      <c r="S136" s="639"/>
      <c r="T136" s="14" t="s">
        <v>9</v>
      </c>
      <c r="U136" s="457"/>
      <c r="V136" s="458"/>
    </row>
    <row r="137" spans="1:22" ht="18" hidden="1" customHeight="1">
      <c r="A137" s="159"/>
      <c r="B137" s="14" t="s">
        <v>448</v>
      </c>
      <c r="C137" s="14"/>
      <c r="D137" s="103"/>
      <c r="E137" s="103"/>
      <c r="F137" s="14"/>
      <c r="G137" s="14"/>
      <c r="H137" s="5"/>
      <c r="I137" s="5"/>
      <c r="J137" s="5"/>
      <c r="K137" s="30"/>
      <c r="L137" s="30"/>
      <c r="M137" s="30"/>
      <c r="N137" s="30"/>
      <c r="O137" s="30"/>
      <c r="P137" s="120" t="s">
        <v>449</v>
      </c>
      <c r="Q137" s="246" t="s">
        <v>138</v>
      </c>
      <c r="R137" s="639">
        <f>R80</f>
        <v>1</v>
      </c>
      <c r="S137" s="639"/>
      <c r="T137" s="14" t="s">
        <v>9</v>
      </c>
      <c r="U137" s="18"/>
      <c r="V137" s="97"/>
    </row>
    <row r="138" spans="1:22" ht="18" hidden="1" customHeight="1">
      <c r="A138" s="159"/>
      <c r="B138" s="14" t="s">
        <v>450</v>
      </c>
      <c r="C138" s="14"/>
      <c r="D138" s="103"/>
      <c r="E138" s="103"/>
      <c r="F138" s="14"/>
      <c r="G138" s="14"/>
      <c r="H138" s="5"/>
      <c r="I138" s="5"/>
      <c r="J138" s="5"/>
      <c r="K138" s="30"/>
      <c r="L138" s="30"/>
      <c r="M138" s="30"/>
      <c r="N138" s="30"/>
      <c r="O138" s="30"/>
      <c r="P138" s="120" t="s">
        <v>451</v>
      </c>
      <c r="Q138" s="246" t="s">
        <v>138</v>
      </c>
      <c r="R138" s="639">
        <f>R81</f>
        <v>4</v>
      </c>
      <c r="S138" s="639"/>
      <c r="T138" s="204" t="s">
        <v>344</v>
      </c>
      <c r="U138" s="18"/>
      <c r="V138" s="97"/>
    </row>
    <row r="139" spans="1:22" ht="18" hidden="1" customHeight="1">
      <c r="A139" s="196"/>
      <c r="B139" s="14" t="s">
        <v>498</v>
      </c>
      <c r="C139" s="14"/>
      <c r="D139" s="14"/>
      <c r="E139" s="14"/>
      <c r="F139" s="14"/>
      <c r="G139" s="14"/>
      <c r="H139" s="14"/>
      <c r="I139" s="14"/>
      <c r="J139" s="14"/>
      <c r="K139" s="30"/>
      <c r="L139" s="30"/>
      <c r="M139" s="30"/>
      <c r="N139" s="30"/>
      <c r="O139" s="30"/>
      <c r="P139" s="249" t="s">
        <v>452</v>
      </c>
      <c r="Q139" s="246" t="s">
        <v>138</v>
      </c>
      <c r="R139" s="637">
        <f>R82</f>
        <v>1.46186744</v>
      </c>
      <c r="S139" s="637"/>
      <c r="T139" s="204" t="s">
        <v>344</v>
      </c>
      <c r="U139" s="30"/>
      <c r="V139" s="197"/>
    </row>
    <row r="140" spans="1:22" ht="18" hidden="1" customHeight="1">
      <c r="A140" s="96"/>
      <c r="B140" s="40" t="s">
        <v>499</v>
      </c>
      <c r="C140" s="14"/>
      <c r="D140" s="14"/>
      <c r="E140" s="14"/>
      <c r="F140" s="14"/>
      <c r="G140" s="14"/>
      <c r="H140" s="5"/>
      <c r="I140" s="5"/>
      <c r="J140" s="5"/>
      <c r="K140" s="30"/>
      <c r="L140" s="30"/>
      <c r="M140" s="30"/>
      <c r="N140" s="30"/>
      <c r="O140" s="30"/>
      <c r="P140" s="249" t="s">
        <v>454</v>
      </c>
      <c r="Q140" s="246" t="s">
        <v>138</v>
      </c>
      <c r="R140" s="637">
        <f>J19</f>
        <v>0</v>
      </c>
      <c r="S140" s="639"/>
      <c r="T140" s="14" t="s">
        <v>168</v>
      </c>
      <c r="U140" s="30"/>
      <c r="V140" s="197"/>
    </row>
    <row r="141" spans="1:22" ht="18" hidden="1" customHeight="1">
      <c r="A141" s="96"/>
      <c r="B141" s="30" t="s">
        <v>500</v>
      </c>
      <c r="C141" s="30"/>
      <c r="D141" s="30"/>
      <c r="E141" s="30"/>
      <c r="F141" s="30" t="s">
        <v>501</v>
      </c>
      <c r="G141" s="27" t="s">
        <v>431</v>
      </c>
      <c r="H141" s="27" t="s">
        <v>326</v>
      </c>
      <c r="I141" s="27" t="s">
        <v>493</v>
      </c>
      <c r="J141" s="27" t="s">
        <v>326</v>
      </c>
      <c r="K141" s="27" t="s">
        <v>493</v>
      </c>
      <c r="L141" s="30"/>
      <c r="M141" s="30"/>
      <c r="N141" s="30"/>
      <c r="O141" s="30"/>
      <c r="P141" s="256" t="s">
        <v>502</v>
      </c>
      <c r="Q141" s="246" t="s">
        <v>138</v>
      </c>
      <c r="R141" s="637">
        <f>R138*R136*R136</f>
        <v>4</v>
      </c>
      <c r="S141" s="639"/>
      <c r="T141" s="14" t="s">
        <v>168</v>
      </c>
      <c r="U141" s="30"/>
      <c r="V141" s="197"/>
    </row>
    <row r="142" spans="1:22" ht="18" hidden="1" customHeight="1">
      <c r="A142" s="96"/>
      <c r="B142" s="30" t="s">
        <v>503</v>
      </c>
      <c r="C142" s="30"/>
      <c r="D142" s="30"/>
      <c r="E142" s="30"/>
      <c r="F142" s="30"/>
      <c r="G142" s="30"/>
      <c r="H142" s="30"/>
      <c r="I142" s="30"/>
      <c r="J142" s="30"/>
      <c r="K142" s="30"/>
      <c r="L142" s="30"/>
      <c r="M142" s="30"/>
      <c r="N142" s="30"/>
      <c r="O142" s="30"/>
      <c r="P142" s="120" t="s">
        <v>504</v>
      </c>
      <c r="Q142" s="246" t="s">
        <v>138</v>
      </c>
      <c r="R142" s="637">
        <f>H122</f>
        <v>522.30825948189135</v>
      </c>
      <c r="S142" s="639"/>
      <c r="T142" s="14" t="s">
        <v>168</v>
      </c>
      <c r="U142" s="30"/>
      <c r="V142" s="197"/>
    </row>
    <row r="143" spans="1:22" ht="18" hidden="1" customHeight="1">
      <c r="A143" s="96"/>
      <c r="B143" s="30" t="s">
        <v>505</v>
      </c>
      <c r="C143" s="30"/>
      <c r="D143" s="30"/>
      <c r="E143" s="30"/>
      <c r="F143" s="30"/>
      <c r="G143" s="30"/>
      <c r="H143" s="30"/>
      <c r="I143" s="30"/>
      <c r="J143" s="30"/>
      <c r="K143" s="30"/>
      <c r="L143" s="30"/>
      <c r="M143" s="30"/>
      <c r="N143" s="30"/>
      <c r="O143" s="30"/>
      <c r="P143" s="256" t="s">
        <v>506</v>
      </c>
      <c r="Q143" s="246" t="s">
        <v>138</v>
      </c>
      <c r="R143" s="639">
        <f>I120</f>
        <v>0</v>
      </c>
      <c r="S143" s="639"/>
      <c r="T143" s="30"/>
      <c r="U143" s="30"/>
      <c r="V143" s="197"/>
    </row>
    <row r="144" spans="1:22" ht="18" hidden="1" customHeight="1">
      <c r="A144" s="1006" t="s">
        <v>428</v>
      </c>
      <c r="B144" s="1008"/>
      <c r="C144" s="1008"/>
      <c r="D144" s="638">
        <v>5</v>
      </c>
      <c r="E144" s="638" t="s">
        <v>326</v>
      </c>
      <c r="F144" s="959">
        <f>R135</f>
        <v>40000</v>
      </c>
      <c r="G144" s="873"/>
      <c r="H144" s="638" t="s">
        <v>326</v>
      </c>
      <c r="I144" s="661">
        <f>R136</f>
        <v>1</v>
      </c>
      <c r="J144" s="1068"/>
      <c r="K144" s="638" t="s">
        <v>326</v>
      </c>
      <c r="L144" s="920" t="s">
        <v>430</v>
      </c>
      <c r="M144" s="920">
        <f>R138</f>
        <v>4</v>
      </c>
      <c r="N144" s="958" t="s">
        <v>358</v>
      </c>
      <c r="O144" s="1065">
        <f>R139</f>
        <v>1.46186744</v>
      </c>
      <c r="P144" s="638" t="s">
        <v>358</v>
      </c>
      <c r="Q144" s="1066">
        <f>R140</f>
        <v>0</v>
      </c>
      <c r="R144" s="1005"/>
      <c r="S144" s="1005"/>
      <c r="T144" s="952" t="s">
        <v>361</v>
      </c>
      <c r="U144" s="242" t="s">
        <v>433</v>
      </c>
      <c r="V144" s="97"/>
    </row>
    <row r="145" spans="1:22" ht="18" hidden="1" customHeight="1">
      <c r="A145" s="1067"/>
      <c r="B145" s="1008"/>
      <c r="C145" s="1008"/>
      <c r="D145" s="638"/>
      <c r="E145" s="638"/>
      <c r="F145" s="873"/>
      <c r="G145" s="873"/>
      <c r="H145" s="638"/>
      <c r="I145" s="638">
        <f>R134</f>
        <v>600</v>
      </c>
      <c r="J145" s="985"/>
      <c r="K145" s="638"/>
      <c r="L145" s="920"/>
      <c r="M145" s="920"/>
      <c r="N145" s="958"/>
      <c r="O145" s="920"/>
      <c r="P145" s="638"/>
      <c r="Q145" s="28">
        <f>R137</f>
        <v>1</v>
      </c>
      <c r="R145" s="28" t="s">
        <v>326</v>
      </c>
      <c r="S145" s="28">
        <f>R137</f>
        <v>1</v>
      </c>
      <c r="T145" s="952"/>
      <c r="U145" s="14"/>
      <c r="V145" s="97"/>
    </row>
    <row r="146" spans="1:22" ht="18" hidden="1" customHeight="1">
      <c r="A146" s="196"/>
      <c r="B146" s="30"/>
      <c r="C146" s="30"/>
      <c r="D146" s="30"/>
      <c r="E146" s="30"/>
      <c r="F146" s="30"/>
      <c r="G146" s="30"/>
      <c r="H146" s="30"/>
      <c r="I146" s="30"/>
      <c r="J146" s="30"/>
      <c r="K146" s="30"/>
      <c r="L146" s="30"/>
      <c r="M146" s="30"/>
      <c r="N146" s="30"/>
      <c r="O146" s="30"/>
      <c r="P146" s="30"/>
      <c r="Q146" s="30"/>
      <c r="R146" s="30"/>
      <c r="S146" s="30"/>
      <c r="T146" s="30"/>
      <c r="U146" s="30"/>
      <c r="V146" s="197"/>
    </row>
    <row r="147" spans="1:22" ht="18" hidden="1" customHeight="1">
      <c r="A147" s="196"/>
      <c r="B147" s="30"/>
      <c r="C147" s="30" t="s">
        <v>138</v>
      </c>
      <c r="D147" s="798">
        <f>D144*F144*(I144/I145)*(M144+O144+(Q144/(Q145*S145)))</f>
        <v>1820.6224800000002</v>
      </c>
      <c r="E147" s="799"/>
      <c r="F147" s="30" t="s">
        <v>316</v>
      </c>
      <c r="G147" s="30"/>
      <c r="H147" s="30"/>
      <c r="I147" s="30"/>
      <c r="J147" s="30"/>
      <c r="K147" s="30"/>
      <c r="L147" s="30"/>
      <c r="M147" s="30"/>
      <c r="N147" s="30"/>
      <c r="O147" s="30"/>
      <c r="P147" s="30"/>
      <c r="Q147" s="30"/>
      <c r="R147" s="30"/>
      <c r="S147" s="30"/>
      <c r="T147" s="30"/>
      <c r="U147" s="30"/>
      <c r="V147" s="197"/>
    </row>
    <row r="148" spans="1:22" ht="18" hidden="1" customHeight="1">
      <c r="A148" s="9"/>
      <c r="V148" s="10"/>
    </row>
    <row r="149" spans="1:22" ht="18" hidden="1" customHeight="1">
      <c r="A149" s="364" t="s">
        <v>482</v>
      </c>
      <c r="B149" s="7"/>
      <c r="C149" s="7"/>
      <c r="D149" s="454"/>
      <c r="E149" s="7"/>
      <c r="F149" s="7"/>
      <c r="G149" s="385"/>
      <c r="H149" s="7"/>
      <c r="J149" s="7"/>
      <c r="K149" s="7"/>
      <c r="L149" s="7"/>
      <c r="M149" s="7"/>
      <c r="N149" s="7"/>
      <c r="O149" s="7"/>
      <c r="P149" s="262"/>
      <c r="Q149" s="263"/>
      <c r="R149" s="385"/>
      <c r="S149" s="7"/>
      <c r="V149" s="10"/>
    </row>
    <row r="150" spans="1:22" ht="18" hidden="1" customHeight="1">
      <c r="A150" s="96" t="s">
        <v>507</v>
      </c>
      <c r="V150" s="10"/>
    </row>
    <row r="151" spans="1:22" ht="18" hidden="1" customHeight="1">
      <c r="A151" s="9"/>
      <c r="N151" s="7"/>
      <c r="O151" s="28" t="s">
        <v>484</v>
      </c>
      <c r="P151" s="102" t="s">
        <v>138</v>
      </c>
      <c r="Q151" s="906" t="s">
        <v>485</v>
      </c>
      <c r="R151" s="906"/>
      <c r="S151" s="28" t="s">
        <v>326</v>
      </c>
      <c r="T151" s="28">
        <v>0.8</v>
      </c>
      <c r="V151" s="10"/>
    </row>
    <row r="152" spans="1:22" ht="18" hidden="1" customHeight="1">
      <c r="A152" s="9"/>
      <c r="N152" s="264"/>
      <c r="O152" s="28"/>
      <c r="P152" s="102" t="s">
        <v>138</v>
      </c>
      <c r="Q152" s="1026">
        <f>D147</f>
        <v>1820.6224800000002</v>
      </c>
      <c r="R152" s="661"/>
      <c r="S152" s="234" t="s">
        <v>326</v>
      </c>
      <c r="T152" s="265">
        <f>+T151</f>
        <v>0.8</v>
      </c>
      <c r="V152" s="10"/>
    </row>
    <row r="153" spans="1:22" ht="18" hidden="1" customHeight="1">
      <c r="A153" s="9"/>
      <c r="O153" s="28"/>
      <c r="P153" s="28" t="s">
        <v>138</v>
      </c>
      <c r="Q153" s="1027">
        <f>Q152*T152</f>
        <v>1456.4979840000003</v>
      </c>
      <c r="R153" s="651"/>
      <c r="S153" s="47" t="s">
        <v>316</v>
      </c>
      <c r="T153" s="28"/>
      <c r="V153" s="10"/>
    </row>
    <row r="154" spans="1:22" ht="18" hidden="1" customHeight="1">
      <c r="A154" s="9"/>
      <c r="D154" s="14" t="s">
        <v>486</v>
      </c>
      <c r="G154" s="27" t="str">
        <f>IF(E155&gt;H155,"&gt;","&lt;")</f>
        <v>&lt;</v>
      </c>
      <c r="H154" s="14" t="s">
        <v>488</v>
      </c>
      <c r="V154" s="10"/>
    </row>
    <row r="155" spans="1:22" ht="18" hidden="1" customHeight="1">
      <c r="A155" s="9"/>
      <c r="E155" s="639">
        <f>H13</f>
        <v>800</v>
      </c>
      <c r="F155" s="639"/>
      <c r="G155" s="27" t="str">
        <f>G154</f>
        <v>&lt;</v>
      </c>
      <c r="H155" s="637">
        <f>Q153</f>
        <v>1456.4979840000003</v>
      </c>
      <c r="I155" s="639"/>
      <c r="V155" s="10"/>
    </row>
    <row r="156" spans="1:22" ht="18" hidden="1" customHeight="1">
      <c r="A156" s="9"/>
      <c r="F156" s="256" t="s">
        <v>489</v>
      </c>
      <c r="H156" s="18" t="str">
        <f>IF(G154="&gt;","Suitably Dimensioned","Under Dimensioned")</f>
        <v>Under Dimensioned</v>
      </c>
      <c r="V156" s="10"/>
    </row>
    <row r="157" spans="1:22" ht="18" hidden="1" customHeight="1">
      <c r="A157" s="9"/>
      <c r="V157" s="10"/>
    </row>
    <row r="158" spans="1:22" ht="18" hidden="1" customHeight="1">
      <c r="A158" s="9"/>
      <c r="V158" s="10"/>
    </row>
    <row r="159" spans="1:22" ht="18" hidden="1" customHeight="1">
      <c r="A159" s="9"/>
      <c r="V159" s="10"/>
    </row>
    <row r="160" spans="1:22" ht="18" hidden="1" customHeight="1">
      <c r="A160" s="9"/>
      <c r="V160" s="10"/>
    </row>
    <row r="161" spans="1:22" ht="18" hidden="1" customHeight="1">
      <c r="A161" s="9"/>
      <c r="V161" s="10"/>
    </row>
    <row r="162" spans="1:22" ht="18" hidden="1" customHeight="1">
      <c r="A162" s="9"/>
      <c r="V162" s="10"/>
    </row>
    <row r="163" spans="1:22" ht="18" hidden="1" customHeight="1">
      <c r="A163" s="9"/>
      <c r="V163" s="10"/>
    </row>
    <row r="164" spans="1:22" ht="18" hidden="1" customHeight="1">
      <c r="A164" s="9"/>
      <c r="V164" s="10"/>
    </row>
    <row r="165" spans="1:22" ht="18" hidden="1" customHeight="1">
      <c r="A165" s="9"/>
      <c r="V165" s="10"/>
    </row>
    <row r="166" spans="1:22" ht="18" hidden="1" customHeight="1">
      <c r="A166" s="9"/>
      <c r="V166" s="10"/>
    </row>
    <row r="167" spans="1:22" ht="18" hidden="1" customHeight="1">
      <c r="A167" s="9"/>
      <c r="V167" s="10"/>
    </row>
    <row r="168" spans="1:22" ht="18" hidden="1" customHeight="1">
      <c r="A168" s="9"/>
      <c r="V168" s="10"/>
    </row>
    <row r="169" spans="1:22" ht="18" hidden="1" customHeight="1">
      <c r="A169" s="9"/>
      <c r="V169" s="10"/>
    </row>
    <row r="170" spans="1:22" ht="18" hidden="1" customHeight="1">
      <c r="A170" s="9"/>
      <c r="V170" s="10"/>
    </row>
    <row r="171" spans="1:22" ht="18" hidden="1" customHeight="1">
      <c r="A171" s="395"/>
      <c r="B171" s="20"/>
      <c r="C171" s="20"/>
      <c r="D171" s="20"/>
      <c r="E171" s="20"/>
      <c r="F171" s="20"/>
      <c r="G171" s="20"/>
      <c r="H171" s="20"/>
      <c r="I171" s="20"/>
      <c r="J171" s="20"/>
      <c r="K171" s="20"/>
      <c r="L171" s="20"/>
      <c r="M171" s="20"/>
      <c r="N171" s="20"/>
      <c r="O171" s="20"/>
      <c r="P171" s="20"/>
      <c r="Q171" s="21"/>
      <c r="R171" s="22"/>
      <c r="S171" s="23"/>
      <c r="T171" s="20"/>
      <c r="U171" s="20"/>
      <c r="V171" s="140"/>
    </row>
    <row r="172" spans="1:22" ht="18" hidden="1" customHeight="1">
      <c r="A172" s="455"/>
      <c r="B172" s="397"/>
      <c r="C172" s="397"/>
      <c r="D172" s="397"/>
      <c r="E172" s="397"/>
      <c r="F172" s="397"/>
      <c r="G172" s="397"/>
      <c r="H172" s="397"/>
      <c r="I172" s="397"/>
      <c r="J172" s="397"/>
      <c r="K172" s="397"/>
      <c r="L172" s="397"/>
      <c r="M172" s="397"/>
      <c r="N172" s="397"/>
      <c r="O172" s="397"/>
      <c r="P172" s="397"/>
      <c r="Q172" s="397"/>
      <c r="R172" s="397"/>
      <c r="S172" s="397"/>
      <c r="T172" s="397"/>
      <c r="U172" s="397"/>
      <c r="V172" s="408"/>
    </row>
    <row r="173" spans="1:22" ht="18" hidden="1" customHeight="1">
      <c r="A173" s="9"/>
      <c r="B173" s="667" t="str">
        <f>B7</f>
        <v>T1</v>
      </c>
      <c r="C173" s="668"/>
      <c r="D173" s="1025" t="str">
        <f>D7</f>
        <v>Core1</v>
      </c>
      <c r="E173" s="681"/>
      <c r="F173" s="638">
        <f>F7</f>
        <v>0</v>
      </c>
      <c r="G173" s="638"/>
      <c r="H173" s="638" t="str">
        <f>H7</f>
        <v>(Diff. + Dist.)</v>
      </c>
      <c r="I173" s="638"/>
      <c r="J173" s="638"/>
      <c r="K173" s="638"/>
      <c r="L173" s="638"/>
      <c r="M173" s="638"/>
      <c r="P173" s="198"/>
      <c r="S173" s="199" t="s">
        <v>398</v>
      </c>
      <c r="T173" s="667" t="str">
        <f>T7</f>
        <v>RED670</v>
      </c>
      <c r="U173" s="668"/>
      <c r="V173" s="10"/>
    </row>
    <row r="174" spans="1:22" ht="18" hidden="1" customHeight="1">
      <c r="A174" s="9"/>
      <c r="B174" s="679">
        <f>B8</f>
        <v>0</v>
      </c>
      <c r="C174" s="679"/>
      <c r="D174" s="682"/>
      <c r="E174" s="683"/>
      <c r="T174" s="992">
        <f>T8</f>
        <v>0</v>
      </c>
      <c r="U174" s="993"/>
      <c r="V174" s="10"/>
    </row>
    <row r="175" spans="1:22" ht="18" hidden="1" customHeight="1">
      <c r="A175" s="9"/>
      <c r="H175" s="661" t="s">
        <v>401</v>
      </c>
      <c r="I175" s="661"/>
      <c r="J175" s="662" t="s">
        <v>402</v>
      </c>
      <c r="K175" s="662"/>
      <c r="L175" s="701" t="s">
        <v>403</v>
      </c>
      <c r="M175" s="701"/>
      <c r="T175" s="992">
        <f>T9</f>
        <v>0</v>
      </c>
      <c r="U175" s="993"/>
      <c r="V175" s="10"/>
    </row>
    <row r="176" spans="1:22" ht="18" hidden="1" customHeight="1">
      <c r="A176" s="9"/>
      <c r="B176" s="47" t="s">
        <v>404</v>
      </c>
      <c r="H176" s="667">
        <f>H10</f>
        <v>600</v>
      </c>
      <c r="I176" s="668"/>
      <c r="J176" s="1030" t="str">
        <f>J10</f>
        <v>-</v>
      </c>
      <c r="K176" s="1031"/>
      <c r="L176" s="667" t="str">
        <f>L10</f>
        <v>-</v>
      </c>
      <c r="M176" s="668"/>
      <c r="N176" s="203" t="s">
        <v>353</v>
      </c>
      <c r="O176" s="504">
        <f>O10</f>
        <v>1</v>
      </c>
      <c r="P176" s="27" t="s">
        <v>9</v>
      </c>
      <c r="V176" s="10"/>
    </row>
    <row r="177" spans="1:29" ht="18" hidden="1" customHeight="1">
      <c r="A177" s="9"/>
      <c r="B177" s="47" t="s">
        <v>405</v>
      </c>
      <c r="J177" s="667" t="str">
        <f>H11</f>
        <v>PX</v>
      </c>
      <c r="K177" s="668"/>
      <c r="V177" s="10"/>
    </row>
    <row r="178" spans="1:29" ht="18" hidden="1" customHeight="1">
      <c r="A178" s="9"/>
      <c r="B178" s="47" t="s">
        <v>407</v>
      </c>
      <c r="I178" s="120" t="s">
        <v>508</v>
      </c>
      <c r="J178" s="656">
        <v>3</v>
      </c>
      <c r="K178" s="657"/>
      <c r="L178" s="204" t="s">
        <v>344</v>
      </c>
      <c r="N178" s="7"/>
      <c r="O178" s="7"/>
      <c r="V178" s="10"/>
    </row>
    <row r="179" spans="1:29" ht="18" hidden="1" customHeight="1">
      <c r="A179" s="9"/>
      <c r="B179" s="47" t="s">
        <v>409</v>
      </c>
      <c r="I179" s="120" t="s">
        <v>509</v>
      </c>
      <c r="J179" s="656">
        <v>200</v>
      </c>
      <c r="K179" s="657"/>
      <c r="L179" s="14" t="s">
        <v>316</v>
      </c>
      <c r="O179" s="7"/>
      <c r="V179" s="10"/>
      <c r="W179" s="30" t="s">
        <v>411</v>
      </c>
      <c r="AB179" s="996" t="e">
        <f>Q286</f>
        <v>#VALUE!</v>
      </c>
      <c r="AC179" s="997"/>
    </row>
    <row r="180" spans="1:29" ht="18" hidden="1" customHeight="1">
      <c r="A180" s="9"/>
      <c r="B180" s="14" t="s">
        <v>412</v>
      </c>
      <c r="I180" s="120" t="s">
        <v>413</v>
      </c>
      <c r="J180" s="656">
        <v>100</v>
      </c>
      <c r="K180" s="657"/>
      <c r="L180" s="14" t="s">
        <v>414</v>
      </c>
      <c r="O180" s="7"/>
      <c r="V180" s="10"/>
    </row>
    <row r="181" spans="1:29" ht="18" hidden="1" customHeight="1">
      <c r="A181" s="9"/>
      <c r="V181" s="10"/>
    </row>
    <row r="182" spans="1:29" ht="18" hidden="1" customHeight="1">
      <c r="A182" s="116" t="s">
        <v>415</v>
      </c>
      <c r="V182" s="10"/>
    </row>
    <row r="183" spans="1:29" ht="18" hidden="1" customHeight="1">
      <c r="A183" s="9"/>
      <c r="V183" s="10"/>
    </row>
    <row r="184" spans="1:29" ht="18" hidden="1" customHeight="1">
      <c r="A184" s="9"/>
      <c r="B184" s="206" t="s">
        <v>416</v>
      </c>
      <c r="C184" s="207"/>
      <c r="D184" s="207" t="str">
        <f>T173</f>
        <v>RED670</v>
      </c>
      <c r="E184" s="436"/>
      <c r="F184" s="436"/>
      <c r="G184" s="436"/>
      <c r="H184" s="194" t="s">
        <v>417</v>
      </c>
      <c r="I184" s="195" t="s">
        <v>138</v>
      </c>
      <c r="J184" s="1028">
        <f>J18</f>
        <v>0.02</v>
      </c>
      <c r="K184" s="1029"/>
      <c r="L184" s="214" t="s">
        <v>168</v>
      </c>
      <c r="N184" s="209" t="s">
        <v>418</v>
      </c>
      <c r="V184" s="10"/>
    </row>
    <row r="185" spans="1:29" ht="18" hidden="1" customHeight="1">
      <c r="A185" s="9"/>
      <c r="B185" s="9" t="s">
        <v>416</v>
      </c>
      <c r="D185" s="437">
        <f>T174</f>
        <v>0</v>
      </c>
      <c r="I185" s="28" t="s">
        <v>138</v>
      </c>
      <c r="J185" s="1028">
        <f>J19</f>
        <v>0</v>
      </c>
      <c r="K185" s="1032"/>
      <c r="L185" s="309" t="s">
        <v>168</v>
      </c>
      <c r="V185" s="10"/>
    </row>
    <row r="186" spans="1:29" ht="18" hidden="1" customHeight="1">
      <c r="A186" s="9"/>
      <c r="B186" s="9" t="s">
        <v>416</v>
      </c>
      <c r="D186" s="437">
        <f>T175</f>
        <v>0</v>
      </c>
      <c r="E186" s="14"/>
      <c r="G186" s="211"/>
      <c r="H186" s="438"/>
      <c r="I186" s="101" t="s">
        <v>138</v>
      </c>
      <c r="J186" s="1033">
        <f>J20</f>
        <v>0</v>
      </c>
      <c r="K186" s="1034"/>
      <c r="L186" s="439" t="s">
        <v>168</v>
      </c>
      <c r="N186" s="27" t="s">
        <v>419</v>
      </c>
      <c r="O186" s="27" t="s">
        <v>138</v>
      </c>
      <c r="P186" s="27" t="s">
        <v>420</v>
      </c>
      <c r="Q186" s="203" t="s">
        <v>421</v>
      </c>
      <c r="R186" s="27" t="s">
        <v>422</v>
      </c>
      <c r="S186" s="27" t="s">
        <v>326</v>
      </c>
      <c r="T186" s="27" t="s">
        <v>422</v>
      </c>
      <c r="U186" s="30" t="s">
        <v>361</v>
      </c>
      <c r="V186" s="10"/>
    </row>
    <row r="187" spans="1:29" ht="18" hidden="1" customHeight="1">
      <c r="A187" s="9"/>
      <c r="B187" s="9" t="s">
        <v>423</v>
      </c>
      <c r="H187" s="438"/>
      <c r="I187" s="440" t="s">
        <v>138</v>
      </c>
      <c r="J187" s="1035">
        <f>J21</f>
        <v>1.44186744</v>
      </c>
      <c r="K187" s="1036"/>
      <c r="L187" s="439" t="s">
        <v>168</v>
      </c>
      <c r="N187" s="27"/>
      <c r="O187" s="27" t="s">
        <v>138</v>
      </c>
      <c r="P187" s="223">
        <f>J188</f>
        <v>1.46186744</v>
      </c>
      <c r="Q187" s="203" t="s">
        <v>421</v>
      </c>
      <c r="R187" s="27">
        <f>O176</f>
        <v>1</v>
      </c>
      <c r="S187" s="27" t="s">
        <v>326</v>
      </c>
      <c r="T187" s="27">
        <f>O176</f>
        <v>1</v>
      </c>
      <c r="U187" s="30" t="s">
        <v>361</v>
      </c>
      <c r="V187" s="10"/>
    </row>
    <row r="188" spans="1:29" ht="18" hidden="1" customHeight="1">
      <c r="A188" s="9"/>
      <c r="B188" s="217" t="s">
        <v>424</v>
      </c>
      <c r="C188" s="218"/>
      <c r="D188" s="218"/>
      <c r="E188" s="218"/>
      <c r="F188" s="359"/>
      <c r="G188" s="359"/>
      <c r="H188" s="202" t="s">
        <v>420</v>
      </c>
      <c r="I188" s="220" t="s">
        <v>138</v>
      </c>
      <c r="J188" s="897">
        <f>SUM(J184:K187)</f>
        <v>1.46186744</v>
      </c>
      <c r="K188" s="1001"/>
      <c r="L188" s="441" t="s">
        <v>168</v>
      </c>
      <c r="O188" s="27" t="s">
        <v>138</v>
      </c>
      <c r="P188" s="637">
        <f>P187/(R187*T187)</f>
        <v>1.46186744</v>
      </c>
      <c r="Q188" s="637"/>
      <c r="R188" s="204" t="s">
        <v>344</v>
      </c>
      <c r="V188" s="10"/>
    </row>
    <row r="189" spans="1:29" ht="18" hidden="1" customHeight="1">
      <c r="A189" s="9"/>
      <c r="V189" s="10"/>
    </row>
    <row r="190" spans="1:29" ht="18" hidden="1" customHeight="1">
      <c r="A190" s="116" t="s">
        <v>425</v>
      </c>
      <c r="V190" s="10"/>
    </row>
    <row r="191" spans="1:29" ht="18" hidden="1" customHeight="1">
      <c r="A191" s="1002" t="s">
        <v>426</v>
      </c>
      <c r="B191" s="1003"/>
      <c r="C191" s="1003"/>
      <c r="D191" s="1003"/>
      <c r="E191" s="1003"/>
      <c r="F191" s="1003"/>
      <c r="G191" s="1003"/>
      <c r="H191" s="1003"/>
      <c r="I191" s="1003"/>
      <c r="J191" s="1003"/>
      <c r="K191" s="1003"/>
      <c r="L191" s="1003"/>
      <c r="M191" s="1003"/>
      <c r="N191" s="1003"/>
      <c r="O191" s="1003"/>
      <c r="P191" s="1003"/>
      <c r="Q191" s="1003"/>
      <c r="R191" s="1003"/>
      <c r="S191" s="1003"/>
      <c r="T191" s="1003"/>
      <c r="U191" s="1003"/>
      <c r="V191" s="1004"/>
    </row>
    <row r="192" spans="1:29" ht="18" hidden="1" customHeight="1">
      <c r="A192" s="1002"/>
      <c r="B192" s="1003"/>
      <c r="C192" s="1003"/>
      <c r="D192" s="1003"/>
      <c r="E192" s="1003"/>
      <c r="F192" s="1003"/>
      <c r="G192" s="1003"/>
      <c r="H192" s="1003"/>
      <c r="I192" s="1003"/>
      <c r="J192" s="1003"/>
      <c r="K192" s="1003"/>
      <c r="L192" s="1003"/>
      <c r="M192" s="1003"/>
      <c r="N192" s="1003"/>
      <c r="O192" s="1003"/>
      <c r="P192" s="1003"/>
      <c r="Q192" s="1003"/>
      <c r="R192" s="1003"/>
      <c r="S192" s="1003"/>
      <c r="T192" s="1003"/>
      <c r="U192" s="1003"/>
      <c r="V192" s="1004"/>
    </row>
    <row r="193" spans="1:22" ht="18" hidden="1" customHeight="1">
      <c r="A193" s="205" t="s">
        <v>427</v>
      </c>
      <c r="V193" s="10"/>
    </row>
    <row r="194" spans="1:22" ht="18" hidden="1" customHeight="1">
      <c r="A194" s="1006" t="s">
        <v>428</v>
      </c>
      <c r="B194" s="956"/>
      <c r="C194" s="956"/>
      <c r="D194" s="14"/>
      <c r="E194" s="7"/>
      <c r="F194" s="1011" t="s">
        <v>429</v>
      </c>
      <c r="G194" s="1015"/>
      <c r="H194" s="861" t="s">
        <v>326</v>
      </c>
      <c r="I194" s="862" t="s">
        <v>422</v>
      </c>
      <c r="J194" s="1014"/>
      <c r="K194" s="861" t="s">
        <v>326</v>
      </c>
      <c r="L194" s="1011" t="s">
        <v>430</v>
      </c>
      <c r="M194" s="861" t="s">
        <v>431</v>
      </c>
      <c r="N194" s="1017" t="s">
        <v>358</v>
      </c>
      <c r="O194" s="861" t="s">
        <v>419</v>
      </c>
      <c r="P194" s="861" t="s">
        <v>358</v>
      </c>
      <c r="Q194" s="1037" t="s">
        <v>432</v>
      </c>
      <c r="R194" s="1010"/>
      <c r="S194" s="1010"/>
      <c r="T194" s="952" t="s">
        <v>361</v>
      </c>
      <c r="U194" s="242" t="s">
        <v>433</v>
      </c>
      <c r="V194" s="112"/>
    </row>
    <row r="195" spans="1:22" ht="18" hidden="1" customHeight="1">
      <c r="A195" s="1007"/>
      <c r="B195" s="956"/>
      <c r="C195" s="956"/>
      <c r="D195" s="14"/>
      <c r="E195" s="7"/>
      <c r="F195" s="1015"/>
      <c r="G195" s="1015"/>
      <c r="H195" s="861"/>
      <c r="I195" s="861" t="s">
        <v>434</v>
      </c>
      <c r="J195" s="1015"/>
      <c r="K195" s="861"/>
      <c r="L195" s="1011"/>
      <c r="M195" s="861"/>
      <c r="N195" s="1017"/>
      <c r="O195" s="861"/>
      <c r="P195" s="861"/>
      <c r="Q195" s="233" t="s">
        <v>157</v>
      </c>
      <c r="R195" s="233" t="s">
        <v>326</v>
      </c>
      <c r="S195" s="233" t="s">
        <v>157</v>
      </c>
      <c r="T195" s="952"/>
      <c r="U195" s="7"/>
      <c r="V195" s="112"/>
    </row>
    <row r="196" spans="1:22" ht="18" hidden="1" customHeight="1">
      <c r="A196" s="205" t="s">
        <v>435</v>
      </c>
      <c r="L196" s="442"/>
      <c r="M196" s="27"/>
      <c r="N196" s="27"/>
      <c r="O196" s="27"/>
      <c r="V196" s="10"/>
    </row>
    <row r="197" spans="1:22" ht="18" hidden="1" customHeight="1">
      <c r="A197" s="1006" t="s">
        <v>428</v>
      </c>
      <c r="B197" s="956"/>
      <c r="C197" s="956"/>
      <c r="D197" s="638">
        <v>2</v>
      </c>
      <c r="E197" s="638" t="s">
        <v>326</v>
      </c>
      <c r="F197" s="1011" t="s">
        <v>436</v>
      </c>
      <c r="G197" s="1015"/>
      <c r="H197" s="861" t="s">
        <v>326</v>
      </c>
      <c r="I197" s="862" t="s">
        <v>422</v>
      </c>
      <c r="J197" s="1014"/>
      <c r="K197" s="861" t="s">
        <v>326</v>
      </c>
      <c r="L197" s="1011" t="s">
        <v>430</v>
      </c>
      <c r="M197" s="861" t="s">
        <v>431</v>
      </c>
      <c r="N197" s="1017" t="s">
        <v>358</v>
      </c>
      <c r="O197" s="861" t="s">
        <v>419</v>
      </c>
      <c r="P197" s="861" t="s">
        <v>358</v>
      </c>
      <c r="Q197" s="1037" t="s">
        <v>432</v>
      </c>
      <c r="R197" s="1010"/>
      <c r="S197" s="1010"/>
      <c r="T197" s="952" t="s">
        <v>361</v>
      </c>
      <c r="U197" s="242" t="s">
        <v>437</v>
      </c>
      <c r="V197" s="112"/>
    </row>
    <row r="198" spans="1:22" ht="18" hidden="1" customHeight="1">
      <c r="A198" s="1007"/>
      <c r="B198" s="956"/>
      <c r="C198" s="956"/>
      <c r="D198" s="638"/>
      <c r="E198" s="638"/>
      <c r="F198" s="1015"/>
      <c r="G198" s="1015"/>
      <c r="H198" s="861"/>
      <c r="I198" s="861" t="s">
        <v>434</v>
      </c>
      <c r="J198" s="1015"/>
      <c r="K198" s="861"/>
      <c r="L198" s="1011"/>
      <c r="M198" s="861"/>
      <c r="N198" s="1017"/>
      <c r="O198" s="861"/>
      <c r="P198" s="861"/>
      <c r="Q198" s="233" t="s">
        <v>157</v>
      </c>
      <c r="R198" s="233" t="s">
        <v>326</v>
      </c>
      <c r="S198" s="233" t="s">
        <v>157</v>
      </c>
      <c r="T198" s="952"/>
      <c r="U198" s="7"/>
      <c r="V198" s="112"/>
    </row>
    <row r="199" spans="1:22" ht="18" hidden="1" customHeight="1">
      <c r="A199" s="9"/>
      <c r="V199" s="10"/>
    </row>
    <row r="200" spans="1:22" ht="18" hidden="1" customHeight="1">
      <c r="A200" s="9"/>
      <c r="B200" s="14" t="s">
        <v>438</v>
      </c>
      <c r="C200" s="14"/>
      <c r="D200" s="103"/>
      <c r="E200" s="103"/>
      <c r="F200" s="14"/>
      <c r="G200" s="14"/>
      <c r="H200" s="5"/>
      <c r="I200" s="5"/>
      <c r="J200" s="5"/>
      <c r="P200" s="120" t="s">
        <v>439</v>
      </c>
      <c r="V200" s="10"/>
    </row>
    <row r="201" spans="1:22" ht="18" hidden="1" customHeight="1">
      <c r="A201" s="9"/>
      <c r="B201" s="14" t="s">
        <v>440</v>
      </c>
      <c r="C201" s="14"/>
      <c r="D201" s="103"/>
      <c r="E201" s="103"/>
      <c r="F201" s="14"/>
      <c r="G201" s="14"/>
      <c r="H201" s="5"/>
      <c r="I201" s="5"/>
      <c r="J201" s="5"/>
      <c r="P201" s="120" t="s">
        <v>441</v>
      </c>
      <c r="Q201" s="246" t="s">
        <v>138</v>
      </c>
      <c r="R201" s="639" t="str">
        <f>J176</f>
        <v>-</v>
      </c>
      <c r="S201" s="639"/>
      <c r="T201" s="14" t="s">
        <v>9</v>
      </c>
      <c r="V201" s="10"/>
    </row>
    <row r="202" spans="1:22" ht="18" hidden="1" customHeight="1">
      <c r="A202" s="9"/>
      <c r="B202" s="14" t="s">
        <v>442</v>
      </c>
      <c r="C202" s="14"/>
      <c r="D202" s="14"/>
      <c r="E202" s="14"/>
      <c r="F202" s="14"/>
      <c r="G202" s="14"/>
      <c r="H202" s="14"/>
      <c r="I202" s="14"/>
      <c r="J202" s="14"/>
      <c r="P202" s="120" t="s">
        <v>429</v>
      </c>
      <c r="Q202" s="246" t="s">
        <v>138</v>
      </c>
      <c r="R202" s="639">
        <f>R36</f>
        <v>40000</v>
      </c>
      <c r="S202" s="639"/>
      <c r="T202" s="14" t="s">
        <v>9</v>
      </c>
      <c r="V202" s="10"/>
    </row>
    <row r="203" spans="1:22" ht="18" hidden="1" customHeight="1">
      <c r="A203" s="9"/>
      <c r="B203" s="14" t="s">
        <v>443</v>
      </c>
      <c r="C203" s="14"/>
      <c r="D203" s="14"/>
      <c r="E203" s="14"/>
      <c r="F203" s="14"/>
      <c r="G203" s="14"/>
      <c r="H203" s="14"/>
      <c r="I203" s="14"/>
      <c r="J203" s="14"/>
      <c r="P203" s="120" t="s">
        <v>436</v>
      </c>
      <c r="Q203" s="246" t="s">
        <v>138</v>
      </c>
      <c r="R203" s="873">
        <f>R37</f>
        <v>19625.768379858539</v>
      </c>
      <c r="S203" s="639"/>
      <c r="T203" s="14" t="s">
        <v>9</v>
      </c>
      <c r="U203" s="30" t="s">
        <v>444</v>
      </c>
      <c r="V203" s="10"/>
    </row>
    <row r="204" spans="1:22" ht="18" hidden="1" customHeight="1">
      <c r="A204" s="9"/>
      <c r="B204" s="14"/>
      <c r="C204" s="14"/>
      <c r="D204" s="14"/>
      <c r="E204" s="14"/>
      <c r="F204" s="14"/>
      <c r="G204" s="14"/>
      <c r="H204" s="14"/>
      <c r="I204" s="14"/>
      <c r="J204" s="14"/>
      <c r="P204" s="120"/>
      <c r="Q204" s="246" t="s">
        <v>138</v>
      </c>
      <c r="R204" s="873">
        <f>R38</f>
        <v>21361.580727736164</v>
      </c>
      <c r="S204" s="639"/>
      <c r="T204" s="14" t="s">
        <v>9</v>
      </c>
      <c r="U204" s="30" t="s">
        <v>445</v>
      </c>
      <c r="V204" s="10"/>
    </row>
    <row r="205" spans="1:22" ht="18" hidden="1" customHeight="1">
      <c r="A205" s="9"/>
      <c r="B205" s="14" t="s">
        <v>446</v>
      </c>
      <c r="C205" s="14"/>
      <c r="D205" s="103"/>
      <c r="E205" s="103"/>
      <c r="F205" s="14"/>
      <c r="G205" s="14"/>
      <c r="H205" s="5"/>
      <c r="I205" s="5"/>
      <c r="J205" s="5"/>
      <c r="P205" s="120" t="s">
        <v>447</v>
      </c>
      <c r="Q205" s="246" t="s">
        <v>138</v>
      </c>
      <c r="R205" s="639">
        <f>R39</f>
        <v>1</v>
      </c>
      <c r="S205" s="639"/>
      <c r="T205" s="14" t="s">
        <v>9</v>
      </c>
      <c r="V205" s="10"/>
    </row>
    <row r="206" spans="1:22" ht="18" hidden="1" customHeight="1">
      <c r="A206" s="9"/>
      <c r="B206" s="14" t="s">
        <v>448</v>
      </c>
      <c r="C206" s="14"/>
      <c r="D206" s="103"/>
      <c r="E206" s="103"/>
      <c r="F206" s="14"/>
      <c r="G206" s="14"/>
      <c r="H206" s="5"/>
      <c r="I206" s="5"/>
      <c r="J206" s="5"/>
      <c r="P206" s="120" t="s">
        <v>449</v>
      </c>
      <c r="Q206" s="246" t="s">
        <v>138</v>
      </c>
      <c r="R206" s="639">
        <f>R40</f>
        <v>1</v>
      </c>
      <c r="S206" s="639"/>
      <c r="T206" s="14" t="s">
        <v>9</v>
      </c>
      <c r="V206" s="10"/>
    </row>
    <row r="207" spans="1:22" ht="18" hidden="1" customHeight="1">
      <c r="A207" s="9"/>
      <c r="B207" s="14" t="s">
        <v>450</v>
      </c>
      <c r="C207" s="14"/>
      <c r="D207" s="103"/>
      <c r="E207" s="103"/>
      <c r="F207" s="14"/>
      <c r="G207" s="14"/>
      <c r="H207" s="5"/>
      <c r="I207" s="5"/>
      <c r="J207" s="5"/>
      <c r="P207" s="120" t="s">
        <v>451</v>
      </c>
      <c r="Q207" s="246" t="s">
        <v>138</v>
      </c>
      <c r="R207" s="639">
        <f>J178</f>
        <v>3</v>
      </c>
      <c r="S207" s="639"/>
      <c r="T207" s="204" t="s">
        <v>344</v>
      </c>
      <c r="V207" s="10"/>
    </row>
    <row r="208" spans="1:22" ht="18" hidden="1" customHeight="1">
      <c r="A208" s="9"/>
      <c r="B208" s="14" t="s">
        <v>164</v>
      </c>
      <c r="C208" s="14"/>
      <c r="D208" s="14"/>
      <c r="E208" s="14"/>
      <c r="F208" s="14"/>
      <c r="G208" s="14"/>
      <c r="H208" s="14"/>
      <c r="I208" s="14"/>
      <c r="J208" s="14"/>
      <c r="P208" s="249" t="s">
        <v>452</v>
      </c>
      <c r="Q208" s="246" t="s">
        <v>138</v>
      </c>
      <c r="R208" s="637">
        <f>R42</f>
        <v>1.46186744</v>
      </c>
      <c r="S208" s="639"/>
      <c r="T208" s="204" t="s">
        <v>344</v>
      </c>
      <c r="V208" s="10"/>
    </row>
    <row r="209" spans="1:22" ht="18" hidden="1" customHeight="1">
      <c r="A209" s="9"/>
      <c r="B209" s="40" t="s">
        <v>453</v>
      </c>
      <c r="C209" s="14"/>
      <c r="D209" s="14"/>
      <c r="E209" s="14"/>
      <c r="F209" s="14"/>
      <c r="G209" s="14"/>
      <c r="H209" s="5"/>
      <c r="I209" s="5"/>
      <c r="J209" s="5"/>
      <c r="P209" s="249" t="s">
        <v>454</v>
      </c>
      <c r="Q209" s="246" t="s">
        <v>138</v>
      </c>
      <c r="R209" s="637">
        <f>R43</f>
        <v>0.02</v>
      </c>
      <c r="S209" s="639"/>
      <c r="T209" s="14" t="s">
        <v>168</v>
      </c>
      <c r="V209" s="10"/>
    </row>
    <row r="210" spans="1:22" ht="18" hidden="1" customHeight="1">
      <c r="A210" s="9"/>
      <c r="B210" s="40"/>
      <c r="C210" s="14"/>
      <c r="D210" s="14"/>
      <c r="E210" s="14"/>
      <c r="F210" s="14"/>
      <c r="G210" s="14"/>
      <c r="H210" s="5"/>
      <c r="I210" s="5"/>
      <c r="J210" s="5"/>
      <c r="P210" s="249"/>
      <c r="Q210" s="246"/>
      <c r="R210" s="223"/>
      <c r="S210" s="27"/>
      <c r="T210" s="14"/>
      <c r="V210" s="10"/>
    </row>
    <row r="211" spans="1:22" s="7" customFormat="1" ht="18" hidden="1" customHeight="1">
      <c r="A211" s="395"/>
      <c r="B211" s="20"/>
      <c r="C211" s="20"/>
      <c r="D211" s="20"/>
      <c r="E211" s="20"/>
      <c r="F211" s="20"/>
      <c r="G211" s="20"/>
      <c r="H211" s="20"/>
      <c r="I211" s="20"/>
      <c r="J211" s="20"/>
      <c r="K211" s="20"/>
      <c r="L211" s="20"/>
      <c r="M211" s="20"/>
      <c r="N211" s="20"/>
      <c r="O211" s="20"/>
      <c r="P211" s="20"/>
      <c r="Q211" s="21"/>
      <c r="R211" s="22"/>
      <c r="S211" s="23"/>
      <c r="T211" s="20"/>
      <c r="U211" s="20"/>
      <c r="V211" s="140"/>
    </row>
    <row r="212" spans="1:22" ht="18" hidden="1" customHeight="1">
      <c r="A212" s="396" t="s">
        <v>427</v>
      </c>
      <c r="B212" s="397"/>
      <c r="C212" s="397"/>
      <c r="D212" s="397"/>
      <c r="E212" s="397"/>
      <c r="F212" s="397"/>
      <c r="G212" s="397"/>
      <c r="H212" s="397"/>
      <c r="I212" s="397"/>
      <c r="J212" s="397"/>
      <c r="K212" s="397"/>
      <c r="L212" s="397"/>
      <c r="M212" s="397"/>
      <c r="N212" s="397"/>
      <c r="O212" s="397"/>
      <c r="P212" s="397"/>
      <c r="Q212" s="397"/>
      <c r="R212" s="397"/>
      <c r="S212" s="397"/>
      <c r="T212" s="397"/>
      <c r="U212" s="397"/>
      <c r="V212" s="408"/>
    </row>
    <row r="213" spans="1:22" ht="18" hidden="1" customHeight="1">
      <c r="A213" s="1006" t="s">
        <v>428</v>
      </c>
      <c r="B213" s="956"/>
      <c r="C213" s="956"/>
      <c r="D213" s="14"/>
      <c r="E213" s="7"/>
      <c r="F213" s="1011">
        <f>R202</f>
        <v>40000</v>
      </c>
      <c r="G213" s="1015"/>
      <c r="H213" s="861" t="s">
        <v>326</v>
      </c>
      <c r="I213" s="1013">
        <f>R205</f>
        <v>1</v>
      </c>
      <c r="J213" s="1014"/>
      <c r="K213" s="861" t="s">
        <v>326</v>
      </c>
      <c r="L213" s="1011" t="s">
        <v>430</v>
      </c>
      <c r="M213" s="968">
        <f>R207</f>
        <v>3</v>
      </c>
      <c r="N213" s="1017" t="s">
        <v>358</v>
      </c>
      <c r="O213" s="1018">
        <f>R208</f>
        <v>1.46186744</v>
      </c>
      <c r="P213" s="861" t="s">
        <v>358</v>
      </c>
      <c r="Q213" s="1010">
        <f>R209</f>
        <v>0.02</v>
      </c>
      <c r="R213" s="1010"/>
      <c r="S213" s="1010"/>
      <c r="T213" s="952" t="s">
        <v>361</v>
      </c>
      <c r="U213" s="242" t="s">
        <v>433</v>
      </c>
      <c r="V213" s="112"/>
    </row>
    <row r="214" spans="1:22" ht="18" hidden="1" customHeight="1">
      <c r="A214" s="1007"/>
      <c r="B214" s="956"/>
      <c r="C214" s="956"/>
      <c r="D214" s="14"/>
      <c r="E214" s="7"/>
      <c r="F214" s="1015"/>
      <c r="G214" s="1015"/>
      <c r="H214" s="861"/>
      <c r="I214" s="861" t="str">
        <f>R201</f>
        <v>-</v>
      </c>
      <c r="J214" s="1015"/>
      <c r="K214" s="861"/>
      <c r="L214" s="1011"/>
      <c r="M214" s="968"/>
      <c r="N214" s="1017"/>
      <c r="O214" s="968"/>
      <c r="P214" s="861"/>
      <c r="Q214" s="233">
        <f>R206</f>
        <v>1</v>
      </c>
      <c r="R214" s="233" t="s">
        <v>326</v>
      </c>
      <c r="S214" s="233">
        <f>R206</f>
        <v>1</v>
      </c>
      <c r="T214" s="952"/>
      <c r="U214" s="7"/>
      <c r="V214" s="112"/>
    </row>
    <row r="215" spans="1:22" ht="18" hidden="1" customHeight="1">
      <c r="A215" s="9"/>
      <c r="L215" s="442"/>
      <c r="V215" s="10"/>
    </row>
    <row r="216" spans="1:22" ht="18" hidden="1" customHeight="1">
      <c r="A216" s="9"/>
      <c r="C216" s="27" t="s">
        <v>138</v>
      </c>
      <c r="D216" s="798" t="e">
        <f>F213*(I213/I214)*(M213+O213+(Q213/(Q214*S214)))</f>
        <v>#VALUE!</v>
      </c>
      <c r="E216" s="799"/>
      <c r="F216" s="27" t="s">
        <v>316</v>
      </c>
      <c r="L216" s="442"/>
      <c r="V216" s="10"/>
    </row>
    <row r="217" spans="1:22" ht="18" hidden="1" customHeight="1">
      <c r="A217" s="9"/>
      <c r="L217" s="442"/>
      <c r="V217" s="10"/>
    </row>
    <row r="218" spans="1:22" ht="18" hidden="1" customHeight="1">
      <c r="A218" s="205" t="s">
        <v>455</v>
      </c>
      <c r="L218" s="442"/>
      <c r="V218" s="10"/>
    </row>
    <row r="219" spans="1:22" ht="18" hidden="1" customHeight="1">
      <c r="A219" s="1006" t="s">
        <v>428</v>
      </c>
      <c r="B219" s="956"/>
      <c r="C219" s="956"/>
      <c r="D219" s="638">
        <v>2</v>
      </c>
      <c r="E219" s="638" t="s">
        <v>326</v>
      </c>
      <c r="F219" s="1016">
        <f>R203</f>
        <v>19625.768379858539</v>
      </c>
      <c r="G219" s="1015"/>
      <c r="H219" s="861" t="s">
        <v>326</v>
      </c>
      <c r="I219" s="1013">
        <f>R205</f>
        <v>1</v>
      </c>
      <c r="J219" s="1014"/>
      <c r="K219" s="861" t="s">
        <v>326</v>
      </c>
      <c r="L219" s="1011" t="s">
        <v>430</v>
      </c>
      <c r="M219" s="968">
        <f>R207</f>
        <v>3</v>
      </c>
      <c r="N219" s="1017" t="s">
        <v>358</v>
      </c>
      <c r="O219" s="1018">
        <f>R208</f>
        <v>1.46186744</v>
      </c>
      <c r="P219" s="861" t="s">
        <v>358</v>
      </c>
      <c r="Q219" s="1010">
        <f>Q213</f>
        <v>0.02</v>
      </c>
      <c r="R219" s="1010"/>
      <c r="S219" s="1010"/>
      <c r="T219" s="952" t="s">
        <v>361</v>
      </c>
      <c r="U219" s="242" t="s">
        <v>437</v>
      </c>
      <c r="V219" s="112"/>
    </row>
    <row r="220" spans="1:22" ht="18" hidden="1" customHeight="1">
      <c r="A220" s="1007"/>
      <c r="B220" s="956"/>
      <c r="C220" s="956"/>
      <c r="D220" s="638"/>
      <c r="E220" s="638"/>
      <c r="F220" s="1015"/>
      <c r="G220" s="1015"/>
      <c r="H220" s="861"/>
      <c r="I220" s="861" t="str">
        <f>R201</f>
        <v>-</v>
      </c>
      <c r="J220" s="1015"/>
      <c r="K220" s="861"/>
      <c r="L220" s="1011"/>
      <c r="M220" s="968"/>
      <c r="N220" s="1017"/>
      <c r="O220" s="968"/>
      <c r="P220" s="861"/>
      <c r="Q220" s="233">
        <f>R206</f>
        <v>1</v>
      </c>
      <c r="R220" s="233" t="s">
        <v>326</v>
      </c>
      <c r="S220" s="233">
        <f>R206</f>
        <v>1</v>
      </c>
      <c r="T220" s="952"/>
      <c r="U220" s="7"/>
      <c r="V220" s="112"/>
    </row>
    <row r="221" spans="1:22" ht="18" hidden="1" customHeight="1">
      <c r="A221" s="9"/>
      <c r="L221" s="442"/>
      <c r="V221" s="10"/>
    </row>
    <row r="222" spans="1:22" ht="18" hidden="1" customHeight="1">
      <c r="A222" s="9"/>
      <c r="C222" s="27" t="s">
        <v>138</v>
      </c>
      <c r="D222" s="798" t="e">
        <f>D219*F219*(I219/I220)*(M219+O219+(Q219/(Q220*S220)))</f>
        <v>#VALUE!</v>
      </c>
      <c r="E222" s="799"/>
      <c r="F222" s="27" t="s">
        <v>316</v>
      </c>
      <c r="L222" s="442"/>
      <c r="V222" s="10"/>
    </row>
    <row r="223" spans="1:22" ht="18" hidden="1" customHeight="1">
      <c r="A223" s="9"/>
      <c r="L223" s="442"/>
      <c r="V223" s="10"/>
    </row>
    <row r="224" spans="1:22" ht="18" hidden="1" customHeight="1">
      <c r="A224" s="205" t="s">
        <v>456</v>
      </c>
      <c r="L224" s="442"/>
      <c r="V224" s="10"/>
    </row>
    <row r="225" spans="1:22" ht="18" hidden="1" customHeight="1">
      <c r="A225" s="1006" t="s">
        <v>428</v>
      </c>
      <c r="B225" s="956"/>
      <c r="C225" s="956"/>
      <c r="D225" s="861">
        <v>2</v>
      </c>
      <c r="E225" s="861" t="s">
        <v>326</v>
      </c>
      <c r="F225" s="1016">
        <f>R204</f>
        <v>21361.580727736164</v>
      </c>
      <c r="G225" s="1015"/>
      <c r="H225" s="861" t="s">
        <v>326</v>
      </c>
      <c r="I225" s="1013">
        <f>R205</f>
        <v>1</v>
      </c>
      <c r="J225" s="1014"/>
      <c r="K225" s="861" t="s">
        <v>326</v>
      </c>
      <c r="L225" s="1011" t="s">
        <v>430</v>
      </c>
      <c r="M225" s="968">
        <f>R207</f>
        <v>3</v>
      </c>
      <c r="N225" s="1017" t="s">
        <v>358</v>
      </c>
      <c r="O225" s="1018">
        <f>R208</f>
        <v>1.46186744</v>
      </c>
      <c r="P225" s="861" t="s">
        <v>358</v>
      </c>
      <c r="Q225" s="1010">
        <f>R209</f>
        <v>0.02</v>
      </c>
      <c r="R225" s="1010"/>
      <c r="S225" s="1010"/>
      <c r="T225" s="952" t="s">
        <v>361</v>
      </c>
      <c r="U225" s="242" t="s">
        <v>437</v>
      </c>
      <c r="V225" s="112"/>
    </row>
    <row r="226" spans="1:22" ht="18" hidden="1" customHeight="1">
      <c r="A226" s="1007"/>
      <c r="B226" s="956"/>
      <c r="C226" s="956"/>
      <c r="D226" s="861"/>
      <c r="E226" s="861"/>
      <c r="F226" s="1015"/>
      <c r="G226" s="1015"/>
      <c r="H226" s="861"/>
      <c r="I226" s="861" t="str">
        <f>R201</f>
        <v>-</v>
      </c>
      <c r="J226" s="1015"/>
      <c r="K226" s="861"/>
      <c r="L226" s="1011"/>
      <c r="M226" s="968"/>
      <c r="N226" s="1017"/>
      <c r="O226" s="968"/>
      <c r="P226" s="861"/>
      <c r="Q226" s="233">
        <f>R206</f>
        <v>1</v>
      </c>
      <c r="R226" s="233" t="s">
        <v>326</v>
      </c>
      <c r="S226" s="233">
        <f>R206</f>
        <v>1</v>
      </c>
      <c r="T226" s="952"/>
      <c r="U226" s="7"/>
      <c r="V226" s="112"/>
    </row>
    <row r="227" spans="1:22" ht="18" hidden="1" customHeight="1">
      <c r="A227" s="9"/>
      <c r="V227" s="10"/>
    </row>
    <row r="228" spans="1:22" ht="18" hidden="1" customHeight="1">
      <c r="A228" s="9"/>
      <c r="C228" s="27" t="s">
        <v>138</v>
      </c>
      <c r="D228" s="798" t="e">
        <f>D225*F225*(I225/I226)*(M225+O225+(Q225/(Q226*S226)))</f>
        <v>#VALUE!</v>
      </c>
      <c r="E228" s="799"/>
      <c r="F228" s="27" t="s">
        <v>316</v>
      </c>
      <c r="V228" s="10"/>
    </row>
    <row r="229" spans="1:22" ht="18" hidden="1" customHeight="1">
      <c r="A229" s="9"/>
      <c r="V229" s="10"/>
    </row>
    <row r="230" spans="1:22" ht="18" hidden="1" customHeight="1">
      <c r="A230" s="116" t="s">
        <v>457</v>
      </c>
      <c r="V230" s="10"/>
    </row>
    <row r="231" spans="1:22" ht="18" hidden="1" customHeight="1">
      <c r="A231" s="1002" t="s">
        <v>510</v>
      </c>
      <c r="B231" s="1003"/>
      <c r="C231" s="1003"/>
      <c r="D231" s="1003"/>
      <c r="E231" s="1003"/>
      <c r="F231" s="1003"/>
      <c r="G231" s="1003"/>
      <c r="H231" s="1003"/>
      <c r="I231" s="1003"/>
      <c r="J231" s="1003"/>
      <c r="K231" s="1003"/>
      <c r="L231" s="1003"/>
      <c r="M231" s="1003"/>
      <c r="N231" s="1003"/>
      <c r="O231" s="1003"/>
      <c r="P231" s="1003"/>
      <c r="Q231" s="1003"/>
      <c r="R231" s="1003"/>
      <c r="S231" s="1003"/>
      <c r="T231" s="1003"/>
      <c r="U231" s="1003"/>
      <c r="V231" s="1004"/>
    </row>
    <row r="232" spans="1:22" ht="18" hidden="1" customHeight="1">
      <c r="A232" s="1002"/>
      <c r="B232" s="1003"/>
      <c r="C232" s="1003"/>
      <c r="D232" s="1003"/>
      <c r="E232" s="1003"/>
      <c r="F232" s="1003"/>
      <c r="G232" s="1003"/>
      <c r="H232" s="1003"/>
      <c r="I232" s="1003"/>
      <c r="J232" s="1003"/>
      <c r="K232" s="1003"/>
      <c r="L232" s="1003"/>
      <c r="M232" s="1003"/>
      <c r="N232" s="1003"/>
      <c r="O232" s="1003"/>
      <c r="P232" s="1003"/>
      <c r="Q232" s="1003"/>
      <c r="R232" s="1003"/>
      <c r="S232" s="1003"/>
      <c r="T232" s="1003"/>
      <c r="U232" s="1003"/>
      <c r="V232" s="1004"/>
    </row>
    <row r="233" spans="1:22" ht="18" hidden="1" customHeight="1">
      <c r="A233" s="460" t="s">
        <v>427</v>
      </c>
      <c r="V233" s="10"/>
    </row>
    <row r="234" spans="1:22" ht="18" hidden="1" customHeight="1">
      <c r="A234" s="1006" t="s">
        <v>428</v>
      </c>
      <c r="B234" s="956"/>
      <c r="C234" s="956"/>
      <c r="D234" s="1008" t="s">
        <v>429</v>
      </c>
      <c r="E234" s="887"/>
      <c r="F234" s="638" t="s">
        <v>326</v>
      </c>
      <c r="G234" s="661" t="s">
        <v>447</v>
      </c>
      <c r="H234" s="957"/>
      <c r="I234" s="638" t="s">
        <v>326</v>
      </c>
      <c r="J234" s="1038" t="s">
        <v>146</v>
      </c>
      <c r="K234" s="638" t="s">
        <v>326</v>
      </c>
      <c r="L234" s="1008" t="s">
        <v>430</v>
      </c>
      <c r="M234" s="920" t="s">
        <v>451</v>
      </c>
      <c r="N234" s="958" t="s">
        <v>358</v>
      </c>
      <c r="O234" s="920" t="s">
        <v>458</v>
      </c>
      <c r="P234" s="638" t="s">
        <v>358</v>
      </c>
      <c r="Q234" s="953" t="s">
        <v>459</v>
      </c>
      <c r="R234" s="1005"/>
      <c r="S234" s="1005"/>
      <c r="T234" s="952" t="s">
        <v>361</v>
      </c>
      <c r="U234" s="242" t="s">
        <v>433</v>
      </c>
      <c r="V234" s="112"/>
    </row>
    <row r="235" spans="1:22" ht="18" hidden="1" customHeight="1">
      <c r="A235" s="1007"/>
      <c r="B235" s="956"/>
      <c r="C235" s="956"/>
      <c r="D235" s="887"/>
      <c r="E235" s="887"/>
      <c r="F235" s="638"/>
      <c r="G235" s="638" t="s">
        <v>441</v>
      </c>
      <c r="H235" s="887"/>
      <c r="I235" s="638"/>
      <c r="J235" s="638"/>
      <c r="K235" s="638"/>
      <c r="L235" s="1008"/>
      <c r="M235" s="920"/>
      <c r="N235" s="958"/>
      <c r="O235" s="920"/>
      <c r="P235" s="638"/>
      <c r="Q235" s="28" t="s">
        <v>449</v>
      </c>
      <c r="R235" s="28" t="s">
        <v>326</v>
      </c>
      <c r="S235" s="28" t="s">
        <v>449</v>
      </c>
      <c r="T235" s="952"/>
      <c r="U235" s="7"/>
      <c r="V235" s="112"/>
    </row>
    <row r="236" spans="1:22" ht="18" hidden="1" customHeight="1">
      <c r="A236" s="460" t="s">
        <v>460</v>
      </c>
      <c r="L236" s="442"/>
      <c r="V236" s="10"/>
    </row>
    <row r="237" spans="1:22" ht="18" hidden="1" customHeight="1">
      <c r="A237" s="1006" t="s">
        <v>428</v>
      </c>
      <c r="B237" s="956"/>
      <c r="C237" s="956"/>
      <c r="D237" s="1008" t="s">
        <v>461</v>
      </c>
      <c r="E237" s="887"/>
      <c r="F237" s="638" t="s">
        <v>326</v>
      </c>
      <c r="G237" s="661" t="s">
        <v>447</v>
      </c>
      <c r="H237" s="957"/>
      <c r="I237" s="638" t="s">
        <v>326</v>
      </c>
      <c r="J237" s="1038" t="s">
        <v>462</v>
      </c>
      <c r="K237" s="638" t="s">
        <v>326</v>
      </c>
      <c r="L237" s="1008" t="s">
        <v>430</v>
      </c>
      <c r="M237" s="920" t="s">
        <v>451</v>
      </c>
      <c r="N237" s="958" t="s">
        <v>358</v>
      </c>
      <c r="O237" s="920" t="s">
        <v>458</v>
      </c>
      <c r="P237" s="638" t="s">
        <v>358</v>
      </c>
      <c r="Q237" s="953" t="s">
        <v>459</v>
      </c>
      <c r="R237" s="1005"/>
      <c r="S237" s="1005"/>
      <c r="T237" s="952" t="s">
        <v>361</v>
      </c>
      <c r="U237" s="242" t="s">
        <v>437</v>
      </c>
      <c r="V237" s="112"/>
    </row>
    <row r="238" spans="1:22" ht="18" hidden="1" customHeight="1">
      <c r="A238" s="1007"/>
      <c r="B238" s="956"/>
      <c r="C238" s="956"/>
      <c r="D238" s="887"/>
      <c r="E238" s="887"/>
      <c r="F238" s="638"/>
      <c r="G238" s="638" t="s">
        <v>441</v>
      </c>
      <c r="H238" s="887"/>
      <c r="I238" s="638"/>
      <c r="J238" s="638"/>
      <c r="K238" s="638"/>
      <c r="L238" s="1008"/>
      <c r="M238" s="920"/>
      <c r="N238" s="958"/>
      <c r="O238" s="920"/>
      <c r="P238" s="638"/>
      <c r="Q238" s="28" t="s">
        <v>449</v>
      </c>
      <c r="R238" s="28" t="s">
        <v>326</v>
      </c>
      <c r="S238" s="28" t="s">
        <v>449</v>
      </c>
      <c r="T238" s="952"/>
      <c r="U238" s="7"/>
      <c r="V238" s="112"/>
    </row>
    <row r="239" spans="1:22" ht="18" hidden="1" customHeight="1">
      <c r="A239" s="9"/>
      <c r="V239" s="10"/>
    </row>
    <row r="240" spans="1:22" ht="18" hidden="1" customHeight="1">
      <c r="A240" s="9"/>
      <c r="B240" s="14" t="s">
        <v>438</v>
      </c>
      <c r="P240" s="120" t="s">
        <v>439</v>
      </c>
      <c r="V240" s="10"/>
    </row>
    <row r="241" spans="1:22" ht="18" hidden="1" customHeight="1">
      <c r="A241" s="9"/>
      <c r="B241" s="14" t="s">
        <v>440</v>
      </c>
      <c r="P241" s="120" t="s">
        <v>441</v>
      </c>
      <c r="Q241" s="246" t="s">
        <v>138</v>
      </c>
      <c r="R241" s="639" t="str">
        <f>R201</f>
        <v>-</v>
      </c>
      <c r="S241" s="639"/>
      <c r="T241" s="14" t="s">
        <v>9</v>
      </c>
      <c r="V241" s="10"/>
    </row>
    <row r="242" spans="1:22" ht="18" hidden="1" customHeight="1">
      <c r="A242" s="9"/>
      <c r="B242" s="14" t="s">
        <v>442</v>
      </c>
      <c r="P242" s="120" t="s">
        <v>429</v>
      </c>
      <c r="Q242" s="246" t="s">
        <v>138</v>
      </c>
      <c r="R242" s="639">
        <f>R202</f>
        <v>40000</v>
      </c>
      <c r="S242" s="639"/>
      <c r="T242" s="14" t="s">
        <v>9</v>
      </c>
      <c r="V242" s="10"/>
    </row>
    <row r="243" spans="1:22" ht="18" hidden="1" customHeight="1">
      <c r="A243" s="9"/>
      <c r="B243" s="14" t="s">
        <v>463</v>
      </c>
      <c r="P243" s="120" t="s">
        <v>461</v>
      </c>
      <c r="Q243" s="246" t="s">
        <v>138</v>
      </c>
      <c r="R243" s="873">
        <f>R77</f>
        <v>22086.904410813047</v>
      </c>
      <c r="S243" s="639"/>
      <c r="T243" s="14" t="s">
        <v>9</v>
      </c>
      <c r="U243" s="30" t="s">
        <v>444</v>
      </c>
      <c r="V243" s="10"/>
    </row>
    <row r="244" spans="1:22" ht="18" hidden="1" customHeight="1">
      <c r="A244" s="9"/>
      <c r="B244" s="14"/>
      <c r="P244" s="120"/>
      <c r="Q244" s="246" t="s">
        <v>138</v>
      </c>
      <c r="R244" s="873">
        <f>R78</f>
        <v>23819.814378888525</v>
      </c>
      <c r="S244" s="639"/>
      <c r="T244" s="14" t="s">
        <v>9</v>
      </c>
      <c r="U244" s="30" t="s">
        <v>445</v>
      </c>
      <c r="V244" s="10"/>
    </row>
    <row r="245" spans="1:22" ht="18" hidden="1" customHeight="1">
      <c r="A245" s="9"/>
      <c r="B245" s="14" t="s">
        <v>464</v>
      </c>
      <c r="P245" s="120" t="s">
        <v>447</v>
      </c>
      <c r="Q245" s="246" t="s">
        <v>138</v>
      </c>
      <c r="R245" s="639">
        <f>R205</f>
        <v>1</v>
      </c>
      <c r="S245" s="639"/>
      <c r="T245" s="14" t="s">
        <v>9</v>
      </c>
      <c r="V245" s="10"/>
    </row>
    <row r="246" spans="1:22" ht="18" hidden="1" customHeight="1">
      <c r="A246" s="9"/>
      <c r="B246" s="14" t="s">
        <v>448</v>
      </c>
      <c r="P246" s="120" t="s">
        <v>449</v>
      </c>
      <c r="Q246" s="246" t="s">
        <v>138</v>
      </c>
      <c r="R246" s="639">
        <f>R206</f>
        <v>1</v>
      </c>
      <c r="S246" s="639"/>
      <c r="T246" s="14" t="s">
        <v>9</v>
      </c>
      <c r="V246" s="10"/>
    </row>
    <row r="247" spans="1:22" ht="18" hidden="1" customHeight="1">
      <c r="A247" s="9"/>
      <c r="B247" s="14" t="s">
        <v>450</v>
      </c>
      <c r="P247" s="120" t="s">
        <v>451</v>
      </c>
      <c r="Q247" s="246" t="s">
        <v>138</v>
      </c>
      <c r="R247" s="639">
        <f>R207</f>
        <v>3</v>
      </c>
      <c r="S247" s="639"/>
      <c r="T247" s="204" t="s">
        <v>344</v>
      </c>
      <c r="V247" s="10"/>
    </row>
    <row r="248" spans="1:22" ht="18" hidden="1" customHeight="1">
      <c r="A248" s="9"/>
      <c r="B248" s="14" t="s">
        <v>465</v>
      </c>
      <c r="P248" s="249" t="s">
        <v>452</v>
      </c>
      <c r="Q248" s="246" t="s">
        <v>138</v>
      </c>
      <c r="R248" s="637">
        <f>R208</f>
        <v>1.46186744</v>
      </c>
      <c r="S248" s="639"/>
      <c r="T248" s="204" t="s">
        <v>344</v>
      </c>
      <c r="V248" s="10"/>
    </row>
    <row r="249" spans="1:22" ht="18" hidden="1" customHeight="1">
      <c r="A249" s="9"/>
      <c r="B249" s="40" t="s">
        <v>453</v>
      </c>
      <c r="P249" s="249" t="s">
        <v>454</v>
      </c>
      <c r="Q249" s="246" t="s">
        <v>138</v>
      </c>
      <c r="R249" s="637">
        <f>R209</f>
        <v>0.02</v>
      </c>
      <c r="S249" s="639"/>
      <c r="T249" s="14" t="s">
        <v>168</v>
      </c>
      <c r="V249" s="10"/>
    </row>
    <row r="250" spans="1:22" ht="18" hidden="1" customHeight="1">
      <c r="A250" s="9"/>
      <c r="B250" s="40"/>
      <c r="P250" s="249"/>
      <c r="Q250" s="246"/>
      <c r="R250" s="223"/>
      <c r="S250" s="27"/>
      <c r="T250" s="14"/>
      <c r="V250" s="10"/>
    </row>
    <row r="251" spans="1:22" s="7" customFormat="1" ht="18" hidden="1" customHeight="1">
      <c r="A251" s="395"/>
      <c r="B251" s="20"/>
      <c r="C251" s="20"/>
      <c r="D251" s="20"/>
      <c r="E251" s="20"/>
      <c r="F251" s="20"/>
      <c r="G251" s="20"/>
      <c r="H251" s="20"/>
      <c r="I251" s="20"/>
      <c r="J251" s="20"/>
      <c r="K251" s="20"/>
      <c r="L251" s="20"/>
      <c r="M251" s="20"/>
      <c r="N251" s="20"/>
      <c r="O251" s="20"/>
      <c r="P251" s="20"/>
      <c r="Q251" s="21"/>
      <c r="R251" s="22"/>
      <c r="S251" s="23"/>
      <c r="T251" s="20"/>
      <c r="U251" s="20"/>
      <c r="V251" s="140"/>
    </row>
    <row r="252" spans="1:22" ht="18" hidden="1" customHeight="1">
      <c r="A252" s="444" t="s">
        <v>466</v>
      </c>
      <c r="B252" s="445"/>
      <c r="C252" s="446"/>
      <c r="D252" s="447"/>
      <c r="E252" s="446"/>
      <c r="F252" s="447"/>
      <c r="G252" s="447"/>
      <c r="H252" s="445"/>
      <c r="I252" s="445"/>
      <c r="J252" s="445"/>
      <c r="K252" s="448"/>
      <c r="L252" s="448"/>
      <c r="M252" s="111"/>
      <c r="N252" s="447"/>
      <c r="O252" s="447"/>
      <c r="P252" s="448"/>
      <c r="Q252" s="449"/>
      <c r="R252" s="111"/>
      <c r="S252" s="111"/>
      <c r="T252" s="111"/>
      <c r="U252" s="111"/>
      <c r="V252" s="147"/>
    </row>
    <row r="253" spans="1:22" ht="18" hidden="1" customHeight="1">
      <c r="A253" s="96" t="s">
        <v>467</v>
      </c>
      <c r="B253" s="164"/>
      <c r="C253" s="450"/>
      <c r="D253" s="389"/>
      <c r="E253" s="450"/>
      <c r="F253" s="389"/>
      <c r="G253" s="389"/>
      <c r="H253" s="164"/>
      <c r="I253" s="164"/>
      <c r="J253" s="164"/>
      <c r="K253" s="165"/>
      <c r="L253" s="165"/>
      <c r="M253" s="7"/>
      <c r="N253" s="389"/>
      <c r="O253" s="389"/>
      <c r="P253" s="165"/>
      <c r="Q253" s="451"/>
      <c r="R253" s="7"/>
      <c r="S253" s="7"/>
      <c r="T253" s="7"/>
      <c r="U253" s="7"/>
      <c r="V253" s="112"/>
    </row>
    <row r="254" spans="1:22" ht="18" hidden="1" customHeight="1">
      <c r="A254" s="409"/>
      <c r="B254" s="164"/>
      <c r="C254" s="450"/>
      <c r="D254" s="7"/>
      <c r="E254" s="7"/>
      <c r="F254" s="7"/>
      <c r="G254" s="389"/>
      <c r="H254" s="452" t="s">
        <v>468</v>
      </c>
      <c r="I254" s="14" t="s">
        <v>469</v>
      </c>
      <c r="J254" s="7"/>
      <c r="K254" s="28" t="s">
        <v>470</v>
      </c>
      <c r="L254" s="28" t="s">
        <v>146</v>
      </c>
      <c r="M254" s="453"/>
      <c r="N254" s="389"/>
      <c r="O254" s="389"/>
      <c r="P254" s="102" t="s">
        <v>138</v>
      </c>
      <c r="Q254" s="28">
        <v>1</v>
      </c>
      <c r="R254" s="7"/>
      <c r="S254" s="7"/>
      <c r="T254" s="7"/>
      <c r="U254" s="7"/>
      <c r="V254" s="112"/>
    </row>
    <row r="255" spans="1:22" ht="18" hidden="1" customHeight="1">
      <c r="A255" s="409"/>
      <c r="B255" s="164"/>
      <c r="C255" s="450"/>
      <c r="D255" s="7"/>
      <c r="E255" s="7"/>
      <c r="F255" s="7"/>
      <c r="G255" s="389"/>
      <c r="H255" s="452"/>
      <c r="I255" s="14"/>
      <c r="J255" s="7"/>
      <c r="K255" s="28"/>
      <c r="L255" s="28"/>
      <c r="M255" s="453"/>
      <c r="N255" s="389"/>
      <c r="O255" s="389"/>
      <c r="P255" s="102"/>
      <c r="Q255" s="28"/>
      <c r="R255" s="7"/>
      <c r="S255" s="7"/>
      <c r="T255" s="7"/>
      <c r="U255" s="7"/>
      <c r="V255" s="112"/>
    </row>
    <row r="256" spans="1:22" ht="18" hidden="1" customHeight="1">
      <c r="A256" s="96" t="s">
        <v>471</v>
      </c>
      <c r="B256" s="164"/>
      <c r="C256" s="450"/>
      <c r="D256" s="389"/>
      <c r="E256" s="450"/>
      <c r="F256" s="389"/>
      <c r="G256" s="389"/>
      <c r="H256" s="164"/>
      <c r="I256" s="7"/>
      <c r="J256" s="7"/>
      <c r="K256" s="121"/>
      <c r="L256" s="121"/>
      <c r="M256" s="7"/>
      <c r="N256" s="389"/>
      <c r="O256" s="389"/>
      <c r="P256" s="165"/>
      <c r="Q256" s="451"/>
      <c r="V256" s="10"/>
    </row>
    <row r="257" spans="1:22" ht="18" hidden="1" customHeight="1">
      <c r="A257" s="96" t="s">
        <v>472</v>
      </c>
      <c r="B257" s="164"/>
      <c r="C257" s="450"/>
      <c r="D257" s="389"/>
      <c r="E257" s="450"/>
      <c r="F257" s="389"/>
      <c r="G257" s="389"/>
      <c r="H257" s="164"/>
      <c r="I257" s="7"/>
      <c r="J257" s="7"/>
      <c r="K257" s="121"/>
      <c r="L257" s="121"/>
      <c r="M257" s="7"/>
      <c r="N257" s="389"/>
      <c r="O257" s="389"/>
      <c r="P257" s="165"/>
      <c r="Q257" s="451"/>
      <c r="V257" s="10"/>
    </row>
    <row r="258" spans="1:22" ht="18" hidden="1" customHeight="1">
      <c r="A258" s="409"/>
      <c r="B258" s="164"/>
      <c r="C258" s="450"/>
      <c r="D258" s="7"/>
      <c r="E258" s="7"/>
      <c r="F258" s="7"/>
      <c r="G258" s="389"/>
      <c r="H258" s="452" t="s">
        <v>468</v>
      </c>
      <c r="I258" s="14" t="s">
        <v>473</v>
      </c>
      <c r="J258" s="7"/>
      <c r="K258" s="28" t="s">
        <v>470</v>
      </c>
      <c r="L258" s="28" t="s">
        <v>462</v>
      </c>
      <c r="M258" s="453"/>
      <c r="N258" s="389"/>
      <c r="O258" s="389"/>
      <c r="P258" s="102" t="s">
        <v>138</v>
      </c>
      <c r="Q258" s="28">
        <v>3</v>
      </c>
      <c r="V258" s="10"/>
    </row>
    <row r="259" spans="1:22" ht="18" hidden="1" customHeight="1">
      <c r="A259" s="409"/>
      <c r="B259" s="164"/>
      <c r="C259" s="450"/>
      <c r="D259" s="7"/>
      <c r="E259" s="7"/>
      <c r="F259" s="7"/>
      <c r="G259" s="389"/>
      <c r="H259" s="452"/>
      <c r="I259" s="14"/>
      <c r="J259" s="7"/>
      <c r="K259" s="28"/>
      <c r="L259" s="28"/>
      <c r="M259" s="453"/>
      <c r="N259" s="389"/>
      <c r="O259" s="389"/>
      <c r="P259" s="102"/>
      <c r="Q259" s="28"/>
      <c r="V259" s="10"/>
    </row>
    <row r="260" spans="1:22" ht="18" hidden="1" customHeight="1">
      <c r="A260" s="205" t="s">
        <v>427</v>
      </c>
      <c r="V260" s="10"/>
    </row>
    <row r="261" spans="1:22" ht="18" hidden="1" customHeight="1">
      <c r="A261" s="114"/>
      <c r="B261" s="7"/>
      <c r="C261" s="7"/>
      <c r="D261" s="7"/>
      <c r="E261" s="7"/>
      <c r="F261" s="7"/>
      <c r="G261" s="14" t="s">
        <v>474</v>
      </c>
      <c r="H261" s="7"/>
      <c r="I261" s="7"/>
      <c r="J261" s="7"/>
      <c r="K261" s="28" t="s">
        <v>138</v>
      </c>
      <c r="L261" s="641">
        <f>L95</f>
        <v>159.09090909090909</v>
      </c>
      <c r="M261" s="638"/>
      <c r="N261" s="28" t="s">
        <v>475</v>
      </c>
      <c r="O261" s="28" t="s">
        <v>146</v>
      </c>
      <c r="P261" s="28" t="s">
        <v>138</v>
      </c>
      <c r="Q261" s="28">
        <f>IF(L261&lt;=400,Q254,Q255)</f>
        <v>1</v>
      </c>
      <c r="R261" s="7"/>
      <c r="S261" s="7"/>
      <c r="T261" s="7"/>
      <c r="V261" s="10"/>
    </row>
    <row r="262" spans="1:22" ht="18" hidden="1" customHeight="1">
      <c r="A262" s="1006" t="s">
        <v>428</v>
      </c>
      <c r="B262" s="956"/>
      <c r="C262" s="956"/>
      <c r="D262" s="1011">
        <f>R242</f>
        <v>40000</v>
      </c>
      <c r="E262" s="1019"/>
      <c r="F262" s="861" t="s">
        <v>326</v>
      </c>
      <c r="G262" s="1013">
        <f>R245</f>
        <v>1</v>
      </c>
      <c r="H262" s="1020"/>
      <c r="I262" s="861" t="s">
        <v>326</v>
      </c>
      <c r="J262" s="862">
        <f>Q261</f>
        <v>1</v>
      </c>
      <c r="K262" s="861" t="s">
        <v>326</v>
      </c>
      <c r="L262" s="1011" t="s">
        <v>430</v>
      </c>
      <c r="M262" s="968">
        <f>R247</f>
        <v>3</v>
      </c>
      <c r="N262" s="1017" t="s">
        <v>358</v>
      </c>
      <c r="O262" s="1018">
        <f>R248</f>
        <v>1.46186744</v>
      </c>
      <c r="P262" s="861" t="s">
        <v>358</v>
      </c>
      <c r="Q262" s="1010">
        <f>R249</f>
        <v>0.02</v>
      </c>
      <c r="R262" s="1010"/>
      <c r="S262" s="1010"/>
      <c r="T262" s="952" t="s">
        <v>361</v>
      </c>
      <c r="U262" s="242" t="s">
        <v>433</v>
      </c>
      <c r="V262" s="112"/>
    </row>
    <row r="263" spans="1:22" ht="18" hidden="1" customHeight="1">
      <c r="A263" s="1007"/>
      <c r="B263" s="956"/>
      <c r="C263" s="956"/>
      <c r="D263" s="1019"/>
      <c r="E263" s="1019"/>
      <c r="F263" s="861"/>
      <c r="G263" s="861" t="str">
        <f>R241</f>
        <v>-</v>
      </c>
      <c r="H263" s="1019"/>
      <c r="I263" s="861"/>
      <c r="J263" s="861"/>
      <c r="K263" s="861"/>
      <c r="L263" s="1011"/>
      <c r="M263" s="968"/>
      <c r="N263" s="1017"/>
      <c r="O263" s="968"/>
      <c r="P263" s="861"/>
      <c r="Q263" s="233">
        <f>R246</f>
        <v>1</v>
      </c>
      <c r="R263" s="233" t="s">
        <v>326</v>
      </c>
      <c r="S263" s="233">
        <f>R246</f>
        <v>1</v>
      </c>
      <c r="T263" s="952"/>
      <c r="U263" s="7"/>
      <c r="V263" s="112"/>
    </row>
    <row r="264" spans="1:22" ht="18" hidden="1" customHeight="1">
      <c r="A264" s="9"/>
      <c r="V264" s="10"/>
    </row>
    <row r="265" spans="1:22" ht="18" hidden="1" customHeight="1">
      <c r="A265" s="9"/>
      <c r="C265" s="27" t="s">
        <v>138</v>
      </c>
      <c r="D265" s="797" t="e">
        <f>D262*(G262/G263)*J262*(M262+O262+(Q262/(Q263*S263)))</f>
        <v>#VALUE!</v>
      </c>
      <c r="E265" s="645"/>
      <c r="F265" s="27" t="s">
        <v>316</v>
      </c>
      <c r="V265" s="10"/>
    </row>
    <row r="266" spans="1:22" ht="18" hidden="1" customHeight="1">
      <c r="A266" s="9"/>
      <c r="V266" s="10"/>
    </row>
    <row r="267" spans="1:22" ht="18" hidden="1" customHeight="1">
      <c r="A267" s="205" t="s">
        <v>476</v>
      </c>
      <c r="V267" s="10"/>
    </row>
    <row r="268" spans="1:22" ht="18" hidden="1" customHeight="1">
      <c r="A268" s="9"/>
      <c r="E268" s="30" t="s">
        <v>477</v>
      </c>
      <c r="K268" s="27" t="s">
        <v>138</v>
      </c>
      <c r="L268" s="637">
        <f>L102</f>
        <v>6.7473490103646627</v>
      </c>
      <c r="M268" s="639"/>
      <c r="N268" s="27" t="s">
        <v>475</v>
      </c>
      <c r="O268" s="28" t="s">
        <v>462</v>
      </c>
      <c r="P268" s="27" t="s">
        <v>138</v>
      </c>
      <c r="Q268" s="27">
        <f>IF(L268&lt;=200,Q258,Q259)</f>
        <v>3</v>
      </c>
      <c r="V268" s="10"/>
    </row>
    <row r="269" spans="1:22" ht="18" hidden="1" customHeight="1">
      <c r="A269" s="1006" t="s">
        <v>428</v>
      </c>
      <c r="B269" s="956"/>
      <c r="C269" s="956"/>
      <c r="D269" s="1016">
        <f>R243</f>
        <v>22086.904410813047</v>
      </c>
      <c r="E269" s="1015"/>
      <c r="F269" s="861" t="s">
        <v>326</v>
      </c>
      <c r="G269" s="1013">
        <f>R245</f>
        <v>1</v>
      </c>
      <c r="H269" s="1014"/>
      <c r="I269" s="861" t="s">
        <v>326</v>
      </c>
      <c r="J269" s="1039">
        <f>Q268</f>
        <v>3</v>
      </c>
      <c r="K269" s="861" t="s">
        <v>326</v>
      </c>
      <c r="L269" s="1011" t="s">
        <v>430</v>
      </c>
      <c r="M269" s="968">
        <f>R247</f>
        <v>3</v>
      </c>
      <c r="N269" s="1017" t="s">
        <v>358</v>
      </c>
      <c r="O269" s="1018">
        <f>R248</f>
        <v>1.46186744</v>
      </c>
      <c r="P269" s="861" t="s">
        <v>358</v>
      </c>
      <c r="Q269" s="1010">
        <f>R249</f>
        <v>0.02</v>
      </c>
      <c r="R269" s="1010"/>
      <c r="S269" s="1010"/>
      <c r="T269" s="952" t="s">
        <v>361</v>
      </c>
      <c r="U269" s="242" t="s">
        <v>437</v>
      </c>
      <c r="V269" s="112"/>
    </row>
    <row r="270" spans="1:22" ht="18" hidden="1" customHeight="1">
      <c r="A270" s="1007"/>
      <c r="B270" s="956"/>
      <c r="C270" s="956"/>
      <c r="D270" s="1015"/>
      <c r="E270" s="1015"/>
      <c r="F270" s="861"/>
      <c r="G270" s="861" t="str">
        <f>R241</f>
        <v>-</v>
      </c>
      <c r="H270" s="1015"/>
      <c r="I270" s="861"/>
      <c r="J270" s="861"/>
      <c r="K270" s="861"/>
      <c r="L270" s="1011"/>
      <c r="M270" s="968"/>
      <c r="N270" s="1017"/>
      <c r="O270" s="968"/>
      <c r="P270" s="861"/>
      <c r="Q270" s="233">
        <f>R246</f>
        <v>1</v>
      </c>
      <c r="R270" s="233" t="s">
        <v>326</v>
      </c>
      <c r="S270" s="233">
        <f>R246</f>
        <v>1</v>
      </c>
      <c r="T270" s="952"/>
      <c r="U270" s="7"/>
      <c r="V270" s="112"/>
    </row>
    <row r="271" spans="1:22" ht="18" hidden="1" customHeight="1">
      <c r="A271" s="9"/>
      <c r="V271" s="10"/>
    </row>
    <row r="272" spans="1:22" ht="18" hidden="1" customHeight="1">
      <c r="A272" s="9"/>
      <c r="C272" s="27" t="s">
        <v>138</v>
      </c>
      <c r="D272" s="797" t="e">
        <f>D269*(G269/G270)*J269*(M269+O269+(Q269/(Q270*S270)))</f>
        <v>#VALUE!</v>
      </c>
      <c r="E272" s="645"/>
      <c r="F272" s="27" t="s">
        <v>316</v>
      </c>
      <c r="V272" s="10"/>
    </row>
    <row r="273" spans="1:22" ht="18" hidden="1" customHeight="1">
      <c r="A273" s="9"/>
      <c r="V273" s="10"/>
    </row>
    <row r="274" spans="1:22" ht="18" hidden="1" customHeight="1">
      <c r="A274" s="205" t="s">
        <v>478</v>
      </c>
      <c r="V274" s="10"/>
    </row>
    <row r="275" spans="1:22" ht="18" hidden="1" customHeight="1">
      <c r="A275" s="9"/>
      <c r="E275" s="30" t="s">
        <v>479</v>
      </c>
      <c r="K275" s="27" t="s">
        <v>138</v>
      </c>
      <c r="L275" s="637">
        <f>L109</f>
        <v>6.9289372966517959</v>
      </c>
      <c r="M275" s="639"/>
      <c r="N275" s="27" t="s">
        <v>475</v>
      </c>
      <c r="O275" s="28" t="s">
        <v>462</v>
      </c>
      <c r="P275" s="27" t="s">
        <v>138</v>
      </c>
      <c r="Q275" s="27">
        <f>IF(L275&lt;=200,Q258,Q259)</f>
        <v>3</v>
      </c>
      <c r="V275" s="10"/>
    </row>
    <row r="276" spans="1:22" ht="18" hidden="1" customHeight="1">
      <c r="A276" s="1006" t="s">
        <v>428</v>
      </c>
      <c r="B276" s="956"/>
      <c r="C276" s="956"/>
      <c r="D276" s="1016">
        <f>R244</f>
        <v>23819.814378888525</v>
      </c>
      <c r="E276" s="1015"/>
      <c r="F276" s="861" t="s">
        <v>326</v>
      </c>
      <c r="G276" s="1013">
        <f>R245</f>
        <v>1</v>
      </c>
      <c r="H276" s="1014"/>
      <c r="I276" s="861" t="s">
        <v>326</v>
      </c>
      <c r="J276" s="1039">
        <f>Q275</f>
        <v>3</v>
      </c>
      <c r="K276" s="861" t="s">
        <v>326</v>
      </c>
      <c r="L276" s="1011" t="s">
        <v>430</v>
      </c>
      <c r="M276" s="968">
        <f>R247</f>
        <v>3</v>
      </c>
      <c r="N276" s="1017" t="s">
        <v>358</v>
      </c>
      <c r="O276" s="1018">
        <f>R248</f>
        <v>1.46186744</v>
      </c>
      <c r="P276" s="861" t="s">
        <v>358</v>
      </c>
      <c r="Q276" s="1010">
        <f>R249</f>
        <v>0.02</v>
      </c>
      <c r="R276" s="1010"/>
      <c r="S276" s="1010"/>
      <c r="T276" s="952" t="s">
        <v>361</v>
      </c>
      <c r="U276" s="242" t="s">
        <v>437</v>
      </c>
      <c r="V276" s="112"/>
    </row>
    <row r="277" spans="1:22" ht="18" hidden="1" customHeight="1">
      <c r="A277" s="1007"/>
      <c r="B277" s="956"/>
      <c r="C277" s="956"/>
      <c r="D277" s="1015"/>
      <c r="E277" s="1015"/>
      <c r="F277" s="861"/>
      <c r="G277" s="861" t="str">
        <f>R241</f>
        <v>-</v>
      </c>
      <c r="H277" s="1015"/>
      <c r="I277" s="861"/>
      <c r="J277" s="861"/>
      <c r="K277" s="861"/>
      <c r="L277" s="1011"/>
      <c r="M277" s="968"/>
      <c r="N277" s="1017"/>
      <c r="O277" s="968"/>
      <c r="P277" s="861"/>
      <c r="Q277" s="233">
        <f>R246</f>
        <v>1</v>
      </c>
      <c r="R277" s="233" t="s">
        <v>326</v>
      </c>
      <c r="S277" s="233">
        <f>R246</f>
        <v>1</v>
      </c>
      <c r="T277" s="952"/>
      <c r="U277" s="7"/>
      <c r="V277" s="112"/>
    </row>
    <row r="278" spans="1:22" ht="18" hidden="1" customHeight="1">
      <c r="A278" s="9"/>
      <c r="V278" s="10"/>
    </row>
    <row r="279" spans="1:22" ht="18" hidden="1" customHeight="1">
      <c r="A279" s="9"/>
      <c r="C279" s="27" t="s">
        <v>138</v>
      </c>
      <c r="D279" s="797" t="e">
        <f>D276*(G276/G277)*J276*(M276+O276+(Q276/(Q277*S277)))</f>
        <v>#VALUE!</v>
      </c>
      <c r="E279" s="645"/>
      <c r="F279" s="27" t="s">
        <v>316</v>
      </c>
      <c r="V279" s="10"/>
    </row>
    <row r="280" spans="1:22" ht="18" hidden="1" customHeight="1">
      <c r="A280" s="9"/>
      <c r="V280" s="10"/>
    </row>
    <row r="281" spans="1:22" ht="18" hidden="1" customHeight="1">
      <c r="A281" s="196" t="s">
        <v>480</v>
      </c>
      <c r="M281" s="1023" t="str">
        <f>J176</f>
        <v>-</v>
      </c>
      <c r="N281" s="1024"/>
      <c r="O281" s="30" t="s">
        <v>481</v>
      </c>
      <c r="Q281" s="798" t="e">
        <f>MAX(D216,D222,D228,D265,D272,D279)</f>
        <v>#VALUE!</v>
      </c>
      <c r="R281" s="645"/>
      <c r="S281" s="30" t="s">
        <v>316</v>
      </c>
      <c r="V281" s="10"/>
    </row>
    <row r="282" spans="1:22" ht="18" hidden="1" customHeight="1">
      <c r="A282" s="364" t="s">
        <v>482</v>
      </c>
      <c r="B282" s="7"/>
      <c r="C282" s="7"/>
      <c r="D282" s="454"/>
      <c r="E282" s="7"/>
      <c r="F282" s="7"/>
      <c r="G282" s="385"/>
      <c r="H282" s="7"/>
      <c r="J282" s="7"/>
      <c r="K282" s="7"/>
      <c r="L282" s="7"/>
      <c r="M282" s="7"/>
      <c r="N282" s="7"/>
      <c r="O282" s="7"/>
      <c r="P282" s="262"/>
      <c r="Q282" s="263"/>
      <c r="R282" s="385"/>
      <c r="S282" s="7"/>
      <c r="V282" s="10"/>
    </row>
    <row r="283" spans="1:22" ht="18" hidden="1" customHeight="1">
      <c r="A283" s="96" t="s">
        <v>483</v>
      </c>
      <c r="V283" s="10"/>
    </row>
    <row r="284" spans="1:22" ht="18" hidden="1" customHeight="1">
      <c r="A284" s="9"/>
      <c r="N284" s="7"/>
      <c r="O284" s="28" t="s">
        <v>484</v>
      </c>
      <c r="P284" s="102" t="s">
        <v>138</v>
      </c>
      <c r="Q284" s="906" t="s">
        <v>485</v>
      </c>
      <c r="R284" s="906"/>
      <c r="S284" s="28" t="s">
        <v>326</v>
      </c>
      <c r="T284" s="28">
        <v>0.8</v>
      </c>
      <c r="V284" s="10"/>
    </row>
    <row r="285" spans="1:22" ht="18" hidden="1" customHeight="1">
      <c r="A285" s="9"/>
      <c r="N285" s="264"/>
      <c r="O285" s="28"/>
      <c r="P285" s="102" t="s">
        <v>138</v>
      </c>
      <c r="Q285" s="1026" t="e">
        <f>+Q281</f>
        <v>#VALUE!</v>
      </c>
      <c r="R285" s="661"/>
      <c r="S285" s="234" t="s">
        <v>326</v>
      </c>
      <c r="T285" s="265">
        <f>+T284</f>
        <v>0.8</v>
      </c>
      <c r="V285" s="10"/>
    </row>
    <row r="286" spans="1:22" ht="18" hidden="1" customHeight="1">
      <c r="A286" s="9"/>
      <c r="O286" s="28"/>
      <c r="P286" s="28" t="s">
        <v>138</v>
      </c>
      <c r="Q286" s="1027" t="e">
        <f>Q285*T285</f>
        <v>#VALUE!</v>
      </c>
      <c r="R286" s="707"/>
      <c r="S286" s="28" t="s">
        <v>316</v>
      </c>
      <c r="T286" s="28"/>
      <c r="V286" s="10"/>
    </row>
    <row r="287" spans="1:22" ht="18" hidden="1" customHeight="1">
      <c r="A287" s="9"/>
      <c r="D287" s="30" t="s">
        <v>486</v>
      </c>
      <c r="G287" s="27" t="e">
        <f>IF(E288&gt;H288,"&gt;","&lt;")</f>
        <v>#VALUE!</v>
      </c>
      <c r="H287" s="308" t="s">
        <v>488</v>
      </c>
      <c r="I287" s="27"/>
      <c r="O287" s="7"/>
      <c r="P287" s="7"/>
      <c r="Q287" s="7"/>
      <c r="R287" s="7"/>
      <c r="S287" s="7"/>
      <c r="T287" s="7"/>
      <c r="V287" s="10"/>
    </row>
    <row r="288" spans="1:22" ht="18" hidden="1" customHeight="1">
      <c r="A288" s="9"/>
      <c r="E288" s="639">
        <f>J179</f>
        <v>200</v>
      </c>
      <c r="F288" s="639"/>
      <c r="G288" s="27" t="e">
        <f>G287</f>
        <v>#VALUE!</v>
      </c>
      <c r="H288" s="637" t="e">
        <f>Q286</f>
        <v>#VALUE!</v>
      </c>
      <c r="I288" s="639"/>
      <c r="V288" s="10"/>
    </row>
    <row r="289" spans="1:29" ht="18" hidden="1" customHeight="1">
      <c r="A289" s="9"/>
      <c r="F289" s="256" t="s">
        <v>489</v>
      </c>
      <c r="H289" s="18" t="e">
        <f>IF(G287="&gt;","Suitably Dimensioned","Under Dimensioned")</f>
        <v>#VALUE!</v>
      </c>
      <c r="V289" s="10"/>
    </row>
    <row r="290" spans="1:29" ht="18" hidden="1" customHeight="1">
      <c r="A290" s="9"/>
      <c r="F290" s="256"/>
      <c r="H290" s="18"/>
      <c r="V290" s="10"/>
    </row>
    <row r="291" spans="1:29" s="7" customFormat="1" ht="18" hidden="1" customHeight="1">
      <c r="A291" s="395"/>
      <c r="B291" s="20"/>
      <c r="C291" s="20"/>
      <c r="D291" s="20"/>
      <c r="E291" s="20"/>
      <c r="F291" s="20"/>
      <c r="G291" s="20"/>
      <c r="H291" s="20"/>
      <c r="I291" s="20"/>
      <c r="J291" s="20"/>
      <c r="K291" s="20"/>
      <c r="L291" s="20"/>
      <c r="M291" s="20"/>
      <c r="N291" s="20"/>
      <c r="O291" s="20"/>
      <c r="P291" s="20"/>
      <c r="Q291" s="21"/>
      <c r="R291" s="22"/>
      <c r="S291" s="23"/>
      <c r="T291" s="20"/>
      <c r="U291" s="20"/>
      <c r="V291" s="140"/>
    </row>
    <row r="292" spans="1:29" ht="18" hidden="1" customHeight="1">
      <c r="A292" s="455"/>
      <c r="B292" s="397"/>
      <c r="C292" s="397"/>
      <c r="D292" s="397"/>
      <c r="E292" s="397"/>
      <c r="F292" s="397"/>
      <c r="G292" s="397"/>
      <c r="H292" s="397"/>
      <c r="I292" s="397"/>
      <c r="J292" s="397"/>
      <c r="K292" s="397"/>
      <c r="L292" s="397"/>
      <c r="M292" s="397"/>
      <c r="N292" s="397"/>
      <c r="O292" s="397"/>
      <c r="P292" s="397"/>
      <c r="Q292" s="397"/>
      <c r="R292" s="397"/>
      <c r="S292" s="397"/>
      <c r="T292" s="397"/>
      <c r="U292" s="397"/>
      <c r="V292" s="408"/>
    </row>
    <row r="293" spans="1:29" ht="18" hidden="1" customHeight="1">
      <c r="A293" s="9"/>
      <c r="B293" s="650" t="str">
        <f>B173</f>
        <v>T1</v>
      </c>
      <c r="C293" s="651"/>
      <c r="D293" s="663" t="str">
        <f>D173</f>
        <v>Core1</v>
      </c>
      <c r="E293" s="664"/>
      <c r="F293" s="638">
        <f>F173</f>
        <v>0</v>
      </c>
      <c r="G293" s="638"/>
      <c r="H293" s="638" t="str">
        <f>H173</f>
        <v>(Diff. + Dist.)</v>
      </c>
      <c r="I293" s="638"/>
      <c r="J293" s="638"/>
      <c r="K293" s="638"/>
      <c r="L293" s="638"/>
      <c r="M293" s="638"/>
      <c r="P293" s="198"/>
      <c r="S293" s="199" t="s">
        <v>398</v>
      </c>
      <c r="T293" s="650" t="str">
        <f>T173</f>
        <v>RED670</v>
      </c>
      <c r="U293" s="651"/>
      <c r="V293" s="10"/>
    </row>
    <row r="294" spans="1:29" ht="18" hidden="1" customHeight="1">
      <c r="A294" s="9"/>
      <c r="B294" s="660">
        <f>B174</f>
        <v>0</v>
      </c>
      <c r="C294" s="660"/>
      <c r="D294" s="665"/>
      <c r="E294" s="666"/>
      <c r="F294" s="461"/>
      <c r="T294" s="650">
        <f>T174</f>
        <v>0</v>
      </c>
      <c r="U294" s="651"/>
      <c r="V294" s="10"/>
    </row>
    <row r="295" spans="1:29" ht="18" hidden="1" customHeight="1">
      <c r="A295" s="9"/>
      <c r="H295" s="661" t="s">
        <v>401</v>
      </c>
      <c r="I295" s="661"/>
      <c r="J295" s="701" t="s">
        <v>402</v>
      </c>
      <c r="K295" s="701"/>
      <c r="L295" s="662" t="s">
        <v>403</v>
      </c>
      <c r="M295" s="662"/>
      <c r="T295" s="650">
        <f>T175</f>
        <v>0</v>
      </c>
      <c r="U295" s="651"/>
      <c r="V295" s="10"/>
    </row>
    <row r="296" spans="1:29" ht="18" hidden="1" customHeight="1">
      <c r="A296" s="9"/>
      <c r="B296" s="47" t="s">
        <v>404</v>
      </c>
      <c r="H296" s="650">
        <f>H176</f>
        <v>600</v>
      </c>
      <c r="I296" s="651"/>
      <c r="J296" s="650" t="str">
        <f>J176</f>
        <v>-</v>
      </c>
      <c r="K296" s="651"/>
      <c r="L296" s="652" t="str">
        <f>L176</f>
        <v>-</v>
      </c>
      <c r="M296" s="653"/>
      <c r="N296" s="123" t="s">
        <v>353</v>
      </c>
      <c r="O296" s="268">
        <f>O176</f>
        <v>1</v>
      </c>
      <c r="P296" s="438" t="s">
        <v>9</v>
      </c>
      <c r="V296" s="10"/>
    </row>
    <row r="297" spans="1:29" ht="18" hidden="1" customHeight="1">
      <c r="A297" s="9"/>
      <c r="B297" s="47" t="s">
        <v>405</v>
      </c>
      <c r="L297" s="650" t="str">
        <f>J177</f>
        <v>PX</v>
      </c>
      <c r="M297" s="651"/>
      <c r="V297" s="10"/>
    </row>
    <row r="298" spans="1:29" ht="18" hidden="1" customHeight="1">
      <c r="A298" s="9"/>
      <c r="B298" s="47" t="s">
        <v>407</v>
      </c>
      <c r="K298" s="120" t="s">
        <v>508</v>
      </c>
      <c r="L298" s="656" t="s">
        <v>7</v>
      </c>
      <c r="M298" s="657"/>
      <c r="N298" s="204" t="s">
        <v>344</v>
      </c>
      <c r="V298" s="10"/>
    </row>
    <row r="299" spans="1:29" ht="18" hidden="1" customHeight="1">
      <c r="A299" s="9"/>
      <c r="B299" s="47" t="s">
        <v>409</v>
      </c>
      <c r="K299" s="120" t="s">
        <v>509</v>
      </c>
      <c r="L299" s="656" t="s">
        <v>7</v>
      </c>
      <c r="M299" s="657"/>
      <c r="N299" s="14" t="s">
        <v>316</v>
      </c>
      <c r="V299" s="10"/>
      <c r="W299" s="30" t="s">
        <v>411</v>
      </c>
      <c r="AB299" s="996" t="e">
        <f>Q415</f>
        <v>#VALUE!</v>
      </c>
      <c r="AC299" s="997"/>
    </row>
    <row r="300" spans="1:29" ht="18" hidden="1" customHeight="1">
      <c r="A300" s="9"/>
      <c r="B300" s="14" t="s">
        <v>412</v>
      </c>
      <c r="K300" s="120" t="s">
        <v>413</v>
      </c>
      <c r="L300" s="656" t="s">
        <v>7</v>
      </c>
      <c r="M300" s="657"/>
      <c r="N300" s="14" t="s">
        <v>414</v>
      </c>
      <c r="V300" s="10"/>
    </row>
    <row r="301" spans="1:29" ht="18" hidden="1" customHeight="1">
      <c r="A301" s="9"/>
      <c r="V301" s="10"/>
    </row>
    <row r="302" spans="1:29" ht="18" hidden="1" customHeight="1">
      <c r="A302" s="116" t="s">
        <v>415</v>
      </c>
      <c r="V302" s="10"/>
    </row>
    <row r="303" spans="1:29" ht="18" hidden="1" customHeight="1">
      <c r="A303" s="9"/>
      <c r="V303" s="10"/>
    </row>
    <row r="304" spans="1:29" ht="18" hidden="1" customHeight="1">
      <c r="A304" s="9"/>
      <c r="B304" s="206" t="s">
        <v>416</v>
      </c>
      <c r="C304" s="207"/>
      <c r="D304" s="207" t="str">
        <f>T293</f>
        <v>RED670</v>
      </c>
      <c r="E304" s="436"/>
      <c r="F304" s="436"/>
      <c r="G304" s="436"/>
      <c r="H304" s="194" t="s">
        <v>417</v>
      </c>
      <c r="I304" s="195" t="s">
        <v>138</v>
      </c>
      <c r="J304" s="897">
        <f>J184</f>
        <v>0.02</v>
      </c>
      <c r="K304" s="1040"/>
      <c r="L304" s="214" t="s">
        <v>168</v>
      </c>
      <c r="N304" s="209" t="s">
        <v>418</v>
      </c>
      <c r="V304" s="10"/>
    </row>
    <row r="305" spans="1:22" ht="18" hidden="1" customHeight="1">
      <c r="A305" s="9"/>
      <c r="B305" s="196" t="s">
        <v>416</v>
      </c>
      <c r="D305" s="437">
        <f>T294</f>
        <v>0</v>
      </c>
      <c r="I305" s="28" t="s">
        <v>138</v>
      </c>
      <c r="J305" s="897">
        <f>J185</f>
        <v>0</v>
      </c>
      <c r="K305" s="1001"/>
      <c r="L305" s="309" t="s">
        <v>168</v>
      </c>
      <c r="V305" s="10"/>
    </row>
    <row r="306" spans="1:22" ht="18" hidden="1" customHeight="1">
      <c r="A306" s="9"/>
      <c r="B306" s="196" t="s">
        <v>416</v>
      </c>
      <c r="D306" s="437">
        <f>T295</f>
        <v>0</v>
      </c>
      <c r="E306" s="14"/>
      <c r="G306" s="211"/>
      <c r="H306" s="438"/>
      <c r="I306" s="101" t="s">
        <v>138</v>
      </c>
      <c r="J306" s="644">
        <f>J186</f>
        <v>0</v>
      </c>
      <c r="K306" s="1041"/>
      <c r="L306" s="439" t="s">
        <v>168</v>
      </c>
      <c r="N306" s="27" t="s">
        <v>419</v>
      </c>
      <c r="O306" s="27" t="s">
        <v>138</v>
      </c>
      <c r="P306" s="27" t="s">
        <v>420</v>
      </c>
      <c r="Q306" s="203" t="s">
        <v>421</v>
      </c>
      <c r="R306" s="27" t="s">
        <v>422</v>
      </c>
      <c r="S306" s="27" t="s">
        <v>326</v>
      </c>
      <c r="T306" s="27" t="s">
        <v>422</v>
      </c>
      <c r="U306" s="30" t="s">
        <v>361</v>
      </c>
      <c r="V306" s="10"/>
    </row>
    <row r="307" spans="1:22" ht="18" hidden="1" customHeight="1">
      <c r="A307" s="9"/>
      <c r="B307" s="196" t="s">
        <v>423</v>
      </c>
      <c r="H307" s="438"/>
      <c r="I307" s="440" t="s">
        <v>138</v>
      </c>
      <c r="J307" s="1042">
        <f>J187</f>
        <v>1.44186744</v>
      </c>
      <c r="K307" s="1043"/>
      <c r="L307" s="439" t="s">
        <v>168</v>
      </c>
      <c r="O307" s="27" t="s">
        <v>138</v>
      </c>
      <c r="P307" s="223">
        <f>J308</f>
        <v>1.44186744</v>
      </c>
      <c r="Q307" s="203" t="s">
        <v>421</v>
      </c>
      <c r="R307" s="27">
        <f>O296</f>
        <v>1</v>
      </c>
      <c r="S307" s="27" t="s">
        <v>326</v>
      </c>
      <c r="T307" s="27">
        <f>O296</f>
        <v>1</v>
      </c>
      <c r="U307" s="30" t="s">
        <v>361</v>
      </c>
      <c r="V307" s="10"/>
    </row>
    <row r="308" spans="1:22" ht="18" hidden="1" customHeight="1">
      <c r="A308" s="9"/>
      <c r="B308" s="217" t="s">
        <v>424</v>
      </c>
      <c r="C308" s="218"/>
      <c r="D308" s="218"/>
      <c r="E308" s="218"/>
      <c r="F308" s="359"/>
      <c r="G308" s="359"/>
      <c r="H308" s="202" t="s">
        <v>420</v>
      </c>
      <c r="I308" s="220" t="s">
        <v>138</v>
      </c>
      <c r="J308" s="897">
        <f>SUM(J305:K307)</f>
        <v>1.44186744</v>
      </c>
      <c r="K308" s="1001"/>
      <c r="L308" s="441" t="s">
        <v>168</v>
      </c>
      <c r="O308" s="27" t="s">
        <v>138</v>
      </c>
      <c r="P308" s="637">
        <f>P307/(R307*T307)</f>
        <v>1.44186744</v>
      </c>
      <c r="Q308" s="637"/>
      <c r="R308" s="204" t="s">
        <v>344</v>
      </c>
      <c r="V308" s="10"/>
    </row>
    <row r="309" spans="1:22" ht="18" hidden="1" customHeight="1">
      <c r="A309" s="9"/>
      <c r="V309" s="10"/>
    </row>
    <row r="310" spans="1:22" ht="18" hidden="1" customHeight="1">
      <c r="A310" s="116" t="s">
        <v>425</v>
      </c>
      <c r="V310" s="10"/>
    </row>
    <row r="311" spans="1:22" ht="18" hidden="1" customHeight="1">
      <c r="A311" s="1002" t="s">
        <v>510</v>
      </c>
      <c r="B311" s="1003"/>
      <c r="C311" s="1003"/>
      <c r="D311" s="1003"/>
      <c r="E311" s="1003"/>
      <c r="F311" s="1003"/>
      <c r="G311" s="1003"/>
      <c r="H311" s="1003"/>
      <c r="I311" s="1003"/>
      <c r="J311" s="1003"/>
      <c r="K311" s="1003"/>
      <c r="L311" s="1003"/>
      <c r="M311" s="1003"/>
      <c r="N311" s="1003"/>
      <c r="O311" s="1003"/>
      <c r="P311" s="1003"/>
      <c r="Q311" s="1003"/>
      <c r="R311" s="1003"/>
      <c r="S311" s="1003"/>
      <c r="T311" s="1003"/>
      <c r="U311" s="1003"/>
      <c r="V311" s="1004"/>
    </row>
    <row r="312" spans="1:22" ht="18" hidden="1" customHeight="1">
      <c r="A312" s="1002"/>
      <c r="B312" s="1003"/>
      <c r="C312" s="1003"/>
      <c r="D312" s="1003"/>
      <c r="E312" s="1003"/>
      <c r="F312" s="1003"/>
      <c r="G312" s="1003"/>
      <c r="H312" s="1003"/>
      <c r="I312" s="1003"/>
      <c r="J312" s="1003"/>
      <c r="K312" s="1003"/>
      <c r="L312" s="1003"/>
      <c r="M312" s="1003"/>
      <c r="N312" s="1003"/>
      <c r="O312" s="1003"/>
      <c r="P312" s="1003"/>
      <c r="Q312" s="1003"/>
      <c r="R312" s="1003"/>
      <c r="S312" s="1003"/>
      <c r="T312" s="1003"/>
      <c r="U312" s="1003"/>
      <c r="V312" s="1004"/>
    </row>
    <row r="313" spans="1:22" ht="18" hidden="1" customHeight="1">
      <c r="A313" s="205" t="s">
        <v>427</v>
      </c>
      <c r="V313" s="10"/>
    </row>
    <row r="314" spans="1:22" ht="18" hidden="1" customHeight="1">
      <c r="A314" s="1006" t="s">
        <v>428</v>
      </c>
      <c r="B314" s="956"/>
      <c r="C314" s="956"/>
      <c r="D314" s="14"/>
      <c r="E314" s="7"/>
      <c r="F314" s="1008" t="s">
        <v>429</v>
      </c>
      <c r="G314" s="887"/>
      <c r="H314" s="638" t="s">
        <v>326</v>
      </c>
      <c r="I314" s="661" t="s">
        <v>422</v>
      </c>
      <c r="J314" s="957"/>
      <c r="K314" s="638" t="s">
        <v>326</v>
      </c>
      <c r="L314" s="1008" t="s">
        <v>430</v>
      </c>
      <c r="M314" s="638" t="s">
        <v>431</v>
      </c>
      <c r="N314" s="958" t="s">
        <v>358</v>
      </c>
      <c r="O314" s="638" t="s">
        <v>419</v>
      </c>
      <c r="P314" s="638" t="s">
        <v>358</v>
      </c>
      <c r="Q314" s="953" t="s">
        <v>432</v>
      </c>
      <c r="R314" s="1005"/>
      <c r="S314" s="1005"/>
      <c r="T314" s="952" t="s">
        <v>361</v>
      </c>
      <c r="U314" s="242" t="s">
        <v>433</v>
      </c>
      <c r="V314" s="112"/>
    </row>
    <row r="315" spans="1:22" ht="18" hidden="1" customHeight="1">
      <c r="A315" s="1007"/>
      <c r="B315" s="956"/>
      <c r="C315" s="956"/>
      <c r="D315" s="14"/>
      <c r="E315" s="7"/>
      <c r="F315" s="887"/>
      <c r="G315" s="887"/>
      <c r="H315" s="638"/>
      <c r="I315" s="638" t="s">
        <v>434</v>
      </c>
      <c r="J315" s="887"/>
      <c r="K315" s="638"/>
      <c r="L315" s="1008"/>
      <c r="M315" s="638"/>
      <c r="N315" s="958"/>
      <c r="O315" s="638"/>
      <c r="P315" s="638"/>
      <c r="Q315" s="28" t="s">
        <v>157</v>
      </c>
      <c r="R315" s="28" t="s">
        <v>326</v>
      </c>
      <c r="S315" s="28" t="s">
        <v>157</v>
      </c>
      <c r="T315" s="952"/>
      <c r="U315" s="7"/>
      <c r="V315" s="112"/>
    </row>
    <row r="316" spans="1:22" ht="18" hidden="1" customHeight="1">
      <c r="A316" s="205" t="s">
        <v>435</v>
      </c>
      <c r="L316" s="442"/>
      <c r="M316" s="438"/>
      <c r="N316" s="438"/>
      <c r="O316" s="438"/>
      <c r="V316" s="10"/>
    </row>
    <row r="317" spans="1:22" ht="18" hidden="1" customHeight="1">
      <c r="A317" s="1006" t="s">
        <v>428</v>
      </c>
      <c r="B317" s="956"/>
      <c r="C317" s="956"/>
      <c r="D317" s="638">
        <v>2</v>
      </c>
      <c r="E317" s="638" t="s">
        <v>326</v>
      </c>
      <c r="F317" s="1008" t="s">
        <v>436</v>
      </c>
      <c r="G317" s="887"/>
      <c r="H317" s="638" t="s">
        <v>326</v>
      </c>
      <c r="I317" s="661" t="s">
        <v>422</v>
      </c>
      <c r="J317" s="957"/>
      <c r="K317" s="638" t="s">
        <v>326</v>
      </c>
      <c r="L317" s="1008" t="s">
        <v>430</v>
      </c>
      <c r="M317" s="638" t="s">
        <v>431</v>
      </c>
      <c r="N317" s="958" t="s">
        <v>358</v>
      </c>
      <c r="O317" s="638" t="s">
        <v>419</v>
      </c>
      <c r="P317" s="638" t="s">
        <v>358</v>
      </c>
      <c r="Q317" s="953" t="s">
        <v>432</v>
      </c>
      <c r="R317" s="1005"/>
      <c r="S317" s="1005"/>
      <c r="T317" s="952" t="s">
        <v>361</v>
      </c>
      <c r="U317" s="242" t="s">
        <v>437</v>
      </c>
      <c r="V317" s="112"/>
    </row>
    <row r="318" spans="1:22" ht="18" hidden="1" customHeight="1">
      <c r="A318" s="1007"/>
      <c r="B318" s="956"/>
      <c r="C318" s="956"/>
      <c r="D318" s="638"/>
      <c r="E318" s="638"/>
      <c r="F318" s="887"/>
      <c r="G318" s="887"/>
      <c r="H318" s="638"/>
      <c r="I318" s="638" t="s">
        <v>434</v>
      </c>
      <c r="J318" s="887"/>
      <c r="K318" s="638"/>
      <c r="L318" s="1008"/>
      <c r="M318" s="638"/>
      <c r="N318" s="958"/>
      <c r="O318" s="638"/>
      <c r="P318" s="638"/>
      <c r="Q318" s="28" t="s">
        <v>157</v>
      </c>
      <c r="R318" s="28" t="s">
        <v>326</v>
      </c>
      <c r="S318" s="28" t="s">
        <v>157</v>
      </c>
      <c r="T318" s="952"/>
      <c r="U318" s="7"/>
      <c r="V318" s="112"/>
    </row>
    <row r="319" spans="1:22" ht="18" hidden="1" customHeight="1">
      <c r="A319" s="9"/>
      <c r="V319" s="10"/>
    </row>
    <row r="320" spans="1:22" ht="18" hidden="1" customHeight="1">
      <c r="A320" s="9"/>
      <c r="B320" s="14" t="s">
        <v>438</v>
      </c>
      <c r="C320" s="14"/>
      <c r="D320" s="103"/>
      <c r="E320" s="103"/>
      <c r="F320" s="14"/>
      <c r="G320" s="14"/>
      <c r="H320" s="5"/>
      <c r="I320" s="5"/>
      <c r="J320" s="5"/>
      <c r="P320" s="120" t="s">
        <v>439</v>
      </c>
      <c r="V320" s="10"/>
    </row>
    <row r="321" spans="1:22" ht="18" hidden="1" customHeight="1">
      <c r="A321" s="9"/>
      <c r="B321" s="14" t="s">
        <v>440</v>
      </c>
      <c r="C321" s="14"/>
      <c r="D321" s="103"/>
      <c r="E321" s="103"/>
      <c r="F321" s="14"/>
      <c r="G321" s="14"/>
      <c r="H321" s="5"/>
      <c r="I321" s="5"/>
      <c r="J321" s="5"/>
      <c r="P321" s="120" t="s">
        <v>441</v>
      </c>
      <c r="Q321" s="246" t="s">
        <v>138</v>
      </c>
      <c r="R321" s="639" t="str">
        <f>L296</f>
        <v>-</v>
      </c>
      <c r="S321" s="639"/>
      <c r="T321" s="14" t="s">
        <v>9</v>
      </c>
      <c r="V321" s="10"/>
    </row>
    <row r="322" spans="1:22" ht="18" hidden="1" customHeight="1">
      <c r="A322" s="9"/>
      <c r="B322" s="14" t="s">
        <v>442</v>
      </c>
      <c r="C322" s="14"/>
      <c r="D322" s="14"/>
      <c r="E322" s="14"/>
      <c r="F322" s="14"/>
      <c r="G322" s="14"/>
      <c r="H322" s="14"/>
      <c r="I322" s="14"/>
      <c r="J322" s="14"/>
      <c r="P322" s="120" t="s">
        <v>429</v>
      </c>
      <c r="Q322" s="246" t="s">
        <v>138</v>
      </c>
      <c r="R322" s="639">
        <f>R202</f>
        <v>40000</v>
      </c>
      <c r="S322" s="639"/>
      <c r="T322" s="14" t="s">
        <v>9</v>
      </c>
      <c r="V322" s="10"/>
    </row>
    <row r="323" spans="1:22" ht="18" hidden="1" customHeight="1">
      <c r="A323" s="9"/>
      <c r="B323" s="14" t="s">
        <v>443</v>
      </c>
      <c r="C323" s="14"/>
      <c r="D323" s="14"/>
      <c r="E323" s="14"/>
      <c r="F323" s="14"/>
      <c r="G323" s="14"/>
      <c r="H323" s="14"/>
      <c r="I323" s="14"/>
      <c r="J323" s="14"/>
      <c r="P323" s="120" t="s">
        <v>436</v>
      </c>
      <c r="Q323" s="246" t="s">
        <v>138</v>
      </c>
      <c r="R323" s="873">
        <f>R203</f>
        <v>19625.768379858539</v>
      </c>
      <c r="S323" s="639"/>
      <c r="T323" s="14" t="s">
        <v>9</v>
      </c>
      <c r="U323" s="30" t="s">
        <v>444</v>
      </c>
      <c r="V323" s="10"/>
    </row>
    <row r="324" spans="1:22" ht="18" hidden="1" customHeight="1">
      <c r="A324" s="9"/>
      <c r="B324" s="14"/>
      <c r="C324" s="14"/>
      <c r="D324" s="14"/>
      <c r="E324" s="14"/>
      <c r="F324" s="14"/>
      <c r="G324" s="14"/>
      <c r="H324" s="14"/>
      <c r="I324" s="14"/>
      <c r="J324" s="14"/>
      <c r="P324" s="120"/>
      <c r="Q324" s="246" t="s">
        <v>138</v>
      </c>
      <c r="R324" s="873">
        <f>R204</f>
        <v>21361.580727736164</v>
      </c>
      <c r="S324" s="639"/>
      <c r="T324" s="14" t="s">
        <v>9</v>
      </c>
      <c r="U324" s="30" t="s">
        <v>445</v>
      </c>
      <c r="V324" s="10"/>
    </row>
    <row r="325" spans="1:22" ht="18" hidden="1" customHeight="1">
      <c r="A325" s="9"/>
      <c r="B325" s="14" t="s">
        <v>446</v>
      </c>
      <c r="C325" s="14"/>
      <c r="D325" s="103"/>
      <c r="E325" s="103"/>
      <c r="F325" s="14"/>
      <c r="G325" s="14"/>
      <c r="H325" s="5"/>
      <c r="I325" s="5"/>
      <c r="J325" s="5"/>
      <c r="P325" s="120" t="s">
        <v>447</v>
      </c>
      <c r="Q325" s="246" t="s">
        <v>138</v>
      </c>
      <c r="R325" s="639">
        <f>R205</f>
        <v>1</v>
      </c>
      <c r="S325" s="639"/>
      <c r="T325" s="14" t="s">
        <v>9</v>
      </c>
      <c r="V325" s="10"/>
    </row>
    <row r="326" spans="1:22" ht="18" hidden="1" customHeight="1">
      <c r="A326" s="9"/>
      <c r="B326" s="14" t="s">
        <v>448</v>
      </c>
      <c r="C326" s="14"/>
      <c r="D326" s="103"/>
      <c r="E326" s="103"/>
      <c r="F326" s="14"/>
      <c r="G326" s="14"/>
      <c r="H326" s="5"/>
      <c r="I326" s="5"/>
      <c r="J326" s="5"/>
      <c r="P326" s="120" t="s">
        <v>449</v>
      </c>
      <c r="Q326" s="246" t="s">
        <v>138</v>
      </c>
      <c r="R326" s="639">
        <f>R206</f>
        <v>1</v>
      </c>
      <c r="S326" s="639"/>
      <c r="T326" s="14" t="s">
        <v>9</v>
      </c>
      <c r="V326" s="10"/>
    </row>
    <row r="327" spans="1:22" ht="18" hidden="1" customHeight="1">
      <c r="A327" s="9"/>
      <c r="B327" s="14" t="s">
        <v>450</v>
      </c>
      <c r="C327" s="14"/>
      <c r="D327" s="103"/>
      <c r="E327" s="103"/>
      <c r="F327" s="14"/>
      <c r="G327" s="14"/>
      <c r="H327" s="5"/>
      <c r="I327" s="5"/>
      <c r="J327" s="5"/>
      <c r="P327" s="120" t="s">
        <v>451</v>
      </c>
      <c r="Q327" s="246" t="s">
        <v>138</v>
      </c>
      <c r="R327" s="639" t="str">
        <f>L298</f>
        <v>-</v>
      </c>
      <c r="S327" s="639"/>
      <c r="T327" s="204" t="s">
        <v>344</v>
      </c>
      <c r="V327" s="10"/>
    </row>
    <row r="328" spans="1:22" ht="18" hidden="1" customHeight="1">
      <c r="A328" s="9"/>
      <c r="B328" s="14" t="s">
        <v>164</v>
      </c>
      <c r="C328" s="14"/>
      <c r="D328" s="14"/>
      <c r="E328" s="14"/>
      <c r="F328" s="14"/>
      <c r="G328" s="14"/>
      <c r="H328" s="14"/>
      <c r="I328" s="14"/>
      <c r="J328" s="14"/>
      <c r="P328" s="249" t="s">
        <v>452</v>
      </c>
      <c r="Q328" s="246" t="s">
        <v>138</v>
      </c>
      <c r="R328" s="637">
        <f>R208</f>
        <v>1.46186744</v>
      </c>
      <c r="S328" s="639"/>
      <c r="T328" s="204" t="s">
        <v>344</v>
      </c>
      <c r="V328" s="10"/>
    </row>
    <row r="329" spans="1:22" ht="18" hidden="1" customHeight="1">
      <c r="A329" s="9"/>
      <c r="B329" s="40" t="s">
        <v>453</v>
      </c>
      <c r="C329" s="14"/>
      <c r="D329" s="14"/>
      <c r="E329" s="14"/>
      <c r="F329" s="14"/>
      <c r="G329" s="14"/>
      <c r="H329" s="5"/>
      <c r="I329" s="5"/>
      <c r="J329" s="5"/>
      <c r="P329" s="249" t="s">
        <v>454</v>
      </c>
      <c r="Q329" s="246" t="s">
        <v>138</v>
      </c>
      <c r="R329" s="637">
        <f>R209</f>
        <v>0.02</v>
      </c>
      <c r="S329" s="639"/>
      <c r="T329" s="14" t="s">
        <v>168</v>
      </c>
      <c r="V329" s="10"/>
    </row>
    <row r="330" spans="1:22" ht="18" hidden="1" customHeight="1">
      <c r="A330" s="9"/>
      <c r="B330" s="40"/>
      <c r="C330" s="14"/>
      <c r="D330" s="14"/>
      <c r="E330" s="14"/>
      <c r="F330" s="14"/>
      <c r="G330" s="14"/>
      <c r="H330" s="5"/>
      <c r="I330" s="5"/>
      <c r="J330" s="5"/>
      <c r="P330" s="249"/>
      <c r="Q330" s="246"/>
      <c r="R330" s="223"/>
      <c r="S330" s="27"/>
      <c r="T330" s="14"/>
      <c r="V330" s="10"/>
    </row>
    <row r="331" spans="1:22" ht="18" hidden="1" customHeight="1">
      <c r="A331" s="9"/>
      <c r="B331" s="40"/>
      <c r="C331" s="14"/>
      <c r="D331" s="14"/>
      <c r="E331" s="14"/>
      <c r="F331" s="14"/>
      <c r="G331" s="14"/>
      <c r="H331" s="5"/>
      <c r="I331" s="5"/>
      <c r="J331" s="5"/>
      <c r="P331" s="249"/>
      <c r="Q331" s="246"/>
      <c r="R331" s="223"/>
      <c r="S331" s="27"/>
      <c r="T331" s="14"/>
      <c r="V331" s="10"/>
    </row>
    <row r="332" spans="1:22" ht="18" hidden="1" customHeight="1">
      <c r="A332" s="9"/>
      <c r="B332" s="40"/>
      <c r="C332" s="14"/>
      <c r="D332" s="14"/>
      <c r="E332" s="14"/>
      <c r="F332" s="14"/>
      <c r="G332" s="14"/>
      <c r="H332" s="5"/>
      <c r="I332" s="5"/>
      <c r="J332" s="5"/>
      <c r="P332" s="249"/>
      <c r="Q332" s="246"/>
      <c r="R332" s="223"/>
      <c r="S332" s="27"/>
      <c r="T332" s="14"/>
      <c r="V332" s="10"/>
    </row>
    <row r="333" spans="1:22" ht="18" hidden="1" customHeight="1">
      <c r="A333" s="9"/>
      <c r="B333" s="40"/>
      <c r="C333" s="14"/>
      <c r="D333" s="14"/>
      <c r="E333" s="14"/>
      <c r="F333" s="14"/>
      <c r="G333" s="14"/>
      <c r="H333" s="5"/>
      <c r="I333" s="5"/>
      <c r="J333" s="5"/>
      <c r="P333" s="249"/>
      <c r="Q333" s="246"/>
      <c r="R333" s="223"/>
      <c r="S333" s="27"/>
      <c r="T333" s="14"/>
      <c r="V333" s="10"/>
    </row>
    <row r="334" spans="1:22" ht="18" hidden="1" customHeight="1">
      <c r="A334" s="9"/>
      <c r="B334" s="40"/>
      <c r="C334" s="14"/>
      <c r="D334" s="14"/>
      <c r="E334" s="14"/>
      <c r="F334" s="14"/>
      <c r="G334" s="14"/>
      <c r="H334" s="5"/>
      <c r="I334" s="5"/>
      <c r="J334" s="5"/>
      <c r="P334" s="249"/>
      <c r="Q334" s="246"/>
      <c r="R334" s="223"/>
      <c r="S334" s="27"/>
      <c r="T334" s="14"/>
      <c r="V334" s="10"/>
    </row>
    <row r="335" spans="1:22" s="7" customFormat="1" ht="18" hidden="1" customHeight="1">
      <c r="A335" s="395"/>
      <c r="B335" s="20"/>
      <c r="C335" s="20"/>
      <c r="D335" s="20"/>
      <c r="E335" s="20"/>
      <c r="F335" s="20"/>
      <c r="G335" s="20"/>
      <c r="H335" s="20"/>
      <c r="I335" s="20"/>
      <c r="J335" s="20"/>
      <c r="K335" s="20"/>
      <c r="L335" s="20"/>
      <c r="M335" s="20"/>
      <c r="N335" s="20"/>
      <c r="O335" s="20"/>
      <c r="P335" s="20"/>
      <c r="Q335" s="21"/>
      <c r="R335" s="22"/>
      <c r="S335" s="23"/>
      <c r="T335" s="20"/>
      <c r="U335" s="20"/>
      <c r="V335" s="140"/>
    </row>
    <row r="336" spans="1:22" ht="18" hidden="1" customHeight="1">
      <c r="A336" s="396" t="s">
        <v>427</v>
      </c>
      <c r="B336" s="397"/>
      <c r="C336" s="397"/>
      <c r="D336" s="397"/>
      <c r="E336" s="397"/>
      <c r="F336" s="397"/>
      <c r="G336" s="397"/>
      <c r="H336" s="397"/>
      <c r="I336" s="397"/>
      <c r="J336" s="397"/>
      <c r="K336" s="397"/>
      <c r="L336" s="397"/>
      <c r="M336" s="397"/>
      <c r="N336" s="397"/>
      <c r="O336" s="397"/>
      <c r="P336" s="397"/>
      <c r="Q336" s="397"/>
      <c r="R336" s="397"/>
      <c r="S336" s="397"/>
      <c r="T336" s="397"/>
      <c r="U336" s="397"/>
      <c r="V336" s="408"/>
    </row>
    <row r="337" spans="1:22" ht="18" hidden="1" customHeight="1">
      <c r="A337" s="1006" t="s">
        <v>428</v>
      </c>
      <c r="B337" s="956"/>
      <c r="C337" s="956"/>
      <c r="D337" s="14"/>
      <c r="E337" s="7"/>
      <c r="F337" s="1011">
        <f>R322</f>
        <v>40000</v>
      </c>
      <c r="G337" s="1015"/>
      <c r="H337" s="861" t="s">
        <v>326</v>
      </c>
      <c r="I337" s="1013">
        <f>R325</f>
        <v>1</v>
      </c>
      <c r="J337" s="1014"/>
      <c r="K337" s="861" t="s">
        <v>326</v>
      </c>
      <c r="L337" s="1011" t="s">
        <v>430</v>
      </c>
      <c r="M337" s="968" t="str">
        <f>R327</f>
        <v>-</v>
      </c>
      <c r="N337" s="1017" t="s">
        <v>358</v>
      </c>
      <c r="O337" s="1018">
        <f>R328</f>
        <v>1.46186744</v>
      </c>
      <c r="P337" s="861" t="s">
        <v>358</v>
      </c>
      <c r="Q337" s="1010">
        <f>R329</f>
        <v>0.02</v>
      </c>
      <c r="R337" s="1010"/>
      <c r="S337" s="1010"/>
      <c r="T337" s="952" t="s">
        <v>361</v>
      </c>
      <c r="U337" s="242" t="s">
        <v>433</v>
      </c>
      <c r="V337" s="112"/>
    </row>
    <row r="338" spans="1:22" ht="18" hidden="1" customHeight="1">
      <c r="A338" s="1007"/>
      <c r="B338" s="956"/>
      <c r="C338" s="956"/>
      <c r="D338" s="14"/>
      <c r="E338" s="7"/>
      <c r="F338" s="1015"/>
      <c r="G338" s="1015"/>
      <c r="H338" s="861"/>
      <c r="I338" s="861" t="str">
        <f>R321</f>
        <v>-</v>
      </c>
      <c r="J338" s="1015"/>
      <c r="K338" s="861"/>
      <c r="L338" s="1011"/>
      <c r="M338" s="968"/>
      <c r="N338" s="1017"/>
      <c r="O338" s="968"/>
      <c r="P338" s="861"/>
      <c r="Q338" s="233">
        <f>R326</f>
        <v>1</v>
      </c>
      <c r="R338" s="233" t="s">
        <v>326</v>
      </c>
      <c r="S338" s="233">
        <f>R326</f>
        <v>1</v>
      </c>
      <c r="T338" s="952"/>
      <c r="U338" s="7"/>
      <c r="V338" s="112"/>
    </row>
    <row r="339" spans="1:22" ht="18" hidden="1" customHeight="1">
      <c r="A339" s="9"/>
      <c r="L339" s="442"/>
      <c r="V339" s="10"/>
    </row>
    <row r="340" spans="1:22" ht="18" hidden="1" customHeight="1">
      <c r="A340" s="9"/>
      <c r="C340" s="27" t="s">
        <v>138</v>
      </c>
      <c r="D340" s="798" t="e">
        <f>F337*(I337/I338)*(M337+O337+(Q337/(Q338*S338)))</f>
        <v>#VALUE!</v>
      </c>
      <c r="E340" s="799"/>
      <c r="F340" s="27" t="s">
        <v>316</v>
      </c>
      <c r="L340" s="442"/>
      <c r="V340" s="10"/>
    </row>
    <row r="341" spans="1:22" ht="18" hidden="1" customHeight="1">
      <c r="A341" s="9"/>
      <c r="L341" s="442"/>
      <c r="V341" s="10"/>
    </row>
    <row r="342" spans="1:22" ht="18" hidden="1" customHeight="1">
      <c r="A342" s="205" t="s">
        <v>455</v>
      </c>
      <c r="L342" s="442"/>
      <c r="V342" s="10"/>
    </row>
    <row r="343" spans="1:22" ht="18" hidden="1" customHeight="1">
      <c r="A343" s="1006" t="s">
        <v>428</v>
      </c>
      <c r="B343" s="956"/>
      <c r="C343" s="956"/>
      <c r="D343" s="861">
        <v>2</v>
      </c>
      <c r="E343" s="861" t="s">
        <v>326</v>
      </c>
      <c r="F343" s="1016">
        <f>R323</f>
        <v>19625.768379858539</v>
      </c>
      <c r="G343" s="1015"/>
      <c r="H343" s="861" t="s">
        <v>326</v>
      </c>
      <c r="I343" s="1013">
        <f>R325</f>
        <v>1</v>
      </c>
      <c r="J343" s="1014"/>
      <c r="K343" s="861" t="s">
        <v>326</v>
      </c>
      <c r="L343" s="1011" t="s">
        <v>430</v>
      </c>
      <c r="M343" s="968" t="str">
        <f>R327</f>
        <v>-</v>
      </c>
      <c r="N343" s="1017" t="s">
        <v>358</v>
      </c>
      <c r="O343" s="1018">
        <f>R328</f>
        <v>1.46186744</v>
      </c>
      <c r="P343" s="861" t="s">
        <v>358</v>
      </c>
      <c r="Q343" s="1010">
        <f>Q337</f>
        <v>0.02</v>
      </c>
      <c r="R343" s="1010"/>
      <c r="S343" s="1010"/>
      <c r="T343" s="952" t="s">
        <v>361</v>
      </c>
      <c r="U343" s="242" t="s">
        <v>437</v>
      </c>
      <c r="V343" s="112"/>
    </row>
    <row r="344" spans="1:22" ht="18" hidden="1" customHeight="1">
      <c r="A344" s="1007"/>
      <c r="B344" s="956"/>
      <c r="C344" s="956"/>
      <c r="D344" s="861"/>
      <c r="E344" s="861"/>
      <c r="F344" s="1015"/>
      <c r="G344" s="1015"/>
      <c r="H344" s="861"/>
      <c r="I344" s="861" t="str">
        <f>R321</f>
        <v>-</v>
      </c>
      <c r="J344" s="1015"/>
      <c r="K344" s="861"/>
      <c r="L344" s="1011"/>
      <c r="M344" s="968"/>
      <c r="N344" s="1017"/>
      <c r="O344" s="968"/>
      <c r="P344" s="861"/>
      <c r="Q344" s="233">
        <f>R326</f>
        <v>1</v>
      </c>
      <c r="R344" s="233" t="s">
        <v>326</v>
      </c>
      <c r="S344" s="233">
        <f>R326</f>
        <v>1</v>
      </c>
      <c r="T344" s="952"/>
      <c r="U344" s="7"/>
      <c r="V344" s="112"/>
    </row>
    <row r="345" spans="1:22" ht="18" hidden="1" customHeight="1">
      <c r="A345" s="9"/>
      <c r="L345" s="442"/>
      <c r="V345" s="10"/>
    </row>
    <row r="346" spans="1:22" ht="18" hidden="1" customHeight="1">
      <c r="A346" s="9"/>
      <c r="C346" s="27" t="s">
        <v>138</v>
      </c>
      <c r="D346" s="798" t="e">
        <f>D343*F343*(I343/I344)*(M343+O343+(Q343/(Q344*S344)))</f>
        <v>#VALUE!</v>
      </c>
      <c r="E346" s="799"/>
      <c r="F346" s="27" t="s">
        <v>316</v>
      </c>
      <c r="L346" s="442"/>
      <c r="V346" s="10"/>
    </row>
    <row r="347" spans="1:22" ht="18" hidden="1" customHeight="1">
      <c r="A347" s="9"/>
      <c r="L347" s="442"/>
      <c r="V347" s="10"/>
    </row>
    <row r="348" spans="1:22" ht="18" hidden="1" customHeight="1">
      <c r="A348" s="205" t="s">
        <v>456</v>
      </c>
      <c r="L348" s="442"/>
      <c r="V348" s="10"/>
    </row>
    <row r="349" spans="1:22" ht="18" hidden="1" customHeight="1">
      <c r="A349" s="1006" t="s">
        <v>428</v>
      </c>
      <c r="B349" s="956"/>
      <c r="C349" s="956"/>
      <c r="D349" s="861">
        <v>2</v>
      </c>
      <c r="E349" s="861" t="s">
        <v>326</v>
      </c>
      <c r="F349" s="1016">
        <f>R324</f>
        <v>21361.580727736164</v>
      </c>
      <c r="G349" s="1015"/>
      <c r="H349" s="861" t="s">
        <v>326</v>
      </c>
      <c r="I349" s="1013">
        <f>R325</f>
        <v>1</v>
      </c>
      <c r="J349" s="1014"/>
      <c r="K349" s="861" t="s">
        <v>326</v>
      </c>
      <c r="L349" s="1011" t="s">
        <v>430</v>
      </c>
      <c r="M349" s="968" t="str">
        <f>R327</f>
        <v>-</v>
      </c>
      <c r="N349" s="1017" t="s">
        <v>358</v>
      </c>
      <c r="O349" s="1018">
        <f>R328</f>
        <v>1.46186744</v>
      </c>
      <c r="P349" s="861" t="s">
        <v>358</v>
      </c>
      <c r="Q349" s="1010">
        <f>R329</f>
        <v>0.02</v>
      </c>
      <c r="R349" s="1010"/>
      <c r="S349" s="1010"/>
      <c r="T349" s="952" t="s">
        <v>361</v>
      </c>
      <c r="U349" s="242" t="s">
        <v>437</v>
      </c>
      <c r="V349" s="112"/>
    </row>
    <row r="350" spans="1:22" ht="18" hidden="1" customHeight="1">
      <c r="A350" s="1007"/>
      <c r="B350" s="956"/>
      <c r="C350" s="956"/>
      <c r="D350" s="861"/>
      <c r="E350" s="861"/>
      <c r="F350" s="1015"/>
      <c r="G350" s="1015"/>
      <c r="H350" s="861"/>
      <c r="I350" s="861" t="str">
        <f>R321</f>
        <v>-</v>
      </c>
      <c r="J350" s="1015"/>
      <c r="K350" s="861"/>
      <c r="L350" s="1011"/>
      <c r="M350" s="968"/>
      <c r="N350" s="1017"/>
      <c r="O350" s="968"/>
      <c r="P350" s="861"/>
      <c r="Q350" s="233">
        <f>R326</f>
        <v>1</v>
      </c>
      <c r="R350" s="233" t="s">
        <v>326</v>
      </c>
      <c r="S350" s="233">
        <f>R326</f>
        <v>1</v>
      </c>
      <c r="T350" s="952"/>
      <c r="U350" s="7"/>
      <c r="V350" s="112"/>
    </row>
    <row r="351" spans="1:22" ht="18" hidden="1" customHeight="1">
      <c r="A351" s="9"/>
      <c r="V351" s="10"/>
    </row>
    <row r="352" spans="1:22" ht="18" hidden="1" customHeight="1">
      <c r="A352" s="9"/>
      <c r="C352" s="27" t="s">
        <v>138</v>
      </c>
      <c r="D352" s="798" t="e">
        <f>D349*F349*(I349/I350)*(M349+O349+(Q349/(Q350*S350)))</f>
        <v>#VALUE!</v>
      </c>
      <c r="E352" s="799"/>
      <c r="F352" s="27" t="s">
        <v>316</v>
      </c>
      <c r="V352" s="10"/>
    </row>
    <row r="353" spans="1:22" ht="18" hidden="1" customHeight="1">
      <c r="A353" s="9"/>
      <c r="V353" s="10"/>
    </row>
    <row r="354" spans="1:22" ht="18" hidden="1" customHeight="1">
      <c r="A354" s="116" t="s">
        <v>457</v>
      </c>
      <c r="V354" s="10"/>
    </row>
    <row r="355" spans="1:22" ht="18" hidden="1" customHeight="1">
      <c r="A355" s="1002" t="s">
        <v>510</v>
      </c>
      <c r="B355" s="1003"/>
      <c r="C355" s="1003"/>
      <c r="D355" s="1003"/>
      <c r="E355" s="1003"/>
      <c r="F355" s="1003"/>
      <c r="G355" s="1003"/>
      <c r="H355" s="1003"/>
      <c r="I355" s="1003"/>
      <c r="J355" s="1003"/>
      <c r="K355" s="1003"/>
      <c r="L355" s="1003"/>
      <c r="M355" s="1003"/>
      <c r="N355" s="1003"/>
      <c r="O355" s="1003"/>
      <c r="P355" s="1003"/>
      <c r="Q355" s="1003"/>
      <c r="R355" s="1003"/>
      <c r="S355" s="1003"/>
      <c r="T355" s="1003"/>
      <c r="U355" s="1003"/>
      <c r="V355" s="1004"/>
    </row>
    <row r="356" spans="1:22" ht="18" hidden="1" customHeight="1">
      <c r="A356" s="1002"/>
      <c r="B356" s="1003"/>
      <c r="C356" s="1003"/>
      <c r="D356" s="1003"/>
      <c r="E356" s="1003"/>
      <c r="F356" s="1003"/>
      <c r="G356" s="1003"/>
      <c r="H356" s="1003"/>
      <c r="I356" s="1003"/>
      <c r="J356" s="1003"/>
      <c r="K356" s="1003"/>
      <c r="L356" s="1003"/>
      <c r="M356" s="1003"/>
      <c r="N356" s="1003"/>
      <c r="O356" s="1003"/>
      <c r="P356" s="1003"/>
      <c r="Q356" s="1003"/>
      <c r="R356" s="1003"/>
      <c r="S356" s="1003"/>
      <c r="T356" s="1003"/>
      <c r="U356" s="1003"/>
      <c r="V356" s="1004"/>
    </row>
    <row r="357" spans="1:22" ht="18" hidden="1" customHeight="1">
      <c r="A357" s="205" t="s">
        <v>427</v>
      </c>
      <c r="V357" s="10"/>
    </row>
    <row r="358" spans="1:22" ht="18" hidden="1" customHeight="1">
      <c r="A358" s="1006" t="s">
        <v>428</v>
      </c>
      <c r="B358" s="956"/>
      <c r="C358" s="956"/>
      <c r="D358" s="1008" t="s">
        <v>429</v>
      </c>
      <c r="E358" s="887"/>
      <c r="F358" s="638" t="s">
        <v>326</v>
      </c>
      <c r="G358" s="661" t="s">
        <v>447</v>
      </c>
      <c r="H358" s="957"/>
      <c r="I358" s="638" t="s">
        <v>326</v>
      </c>
      <c r="J358" s="1038" t="s">
        <v>146</v>
      </c>
      <c r="K358" s="638" t="s">
        <v>326</v>
      </c>
      <c r="L358" s="1008" t="s">
        <v>430</v>
      </c>
      <c r="M358" s="638" t="s">
        <v>451</v>
      </c>
      <c r="N358" s="958" t="s">
        <v>358</v>
      </c>
      <c r="O358" s="638" t="s">
        <v>458</v>
      </c>
      <c r="P358" s="638" t="s">
        <v>358</v>
      </c>
      <c r="Q358" s="953" t="s">
        <v>459</v>
      </c>
      <c r="R358" s="1005"/>
      <c r="S358" s="1005"/>
      <c r="T358" s="952" t="s">
        <v>361</v>
      </c>
      <c r="U358" s="242" t="s">
        <v>433</v>
      </c>
      <c r="V358" s="112"/>
    </row>
    <row r="359" spans="1:22" ht="18" hidden="1" customHeight="1">
      <c r="A359" s="1007"/>
      <c r="B359" s="956"/>
      <c r="C359" s="956"/>
      <c r="D359" s="887"/>
      <c r="E359" s="887"/>
      <c r="F359" s="638"/>
      <c r="G359" s="638" t="s">
        <v>441</v>
      </c>
      <c r="H359" s="887"/>
      <c r="I359" s="638"/>
      <c r="J359" s="638"/>
      <c r="K359" s="638"/>
      <c r="L359" s="1008"/>
      <c r="M359" s="638"/>
      <c r="N359" s="958"/>
      <c r="O359" s="638"/>
      <c r="P359" s="638"/>
      <c r="Q359" s="28" t="s">
        <v>449</v>
      </c>
      <c r="R359" s="28" t="s">
        <v>326</v>
      </c>
      <c r="S359" s="28" t="s">
        <v>449</v>
      </c>
      <c r="T359" s="952"/>
      <c r="U359" s="7"/>
      <c r="V359" s="112"/>
    </row>
    <row r="360" spans="1:22" ht="18" hidden="1" customHeight="1">
      <c r="A360" s="205" t="s">
        <v>460</v>
      </c>
      <c r="L360" s="442"/>
      <c r="M360" s="438"/>
      <c r="N360" s="438"/>
      <c r="O360" s="438"/>
      <c r="V360" s="10"/>
    </row>
    <row r="361" spans="1:22" ht="18" hidden="1" customHeight="1">
      <c r="A361" s="1006" t="s">
        <v>428</v>
      </c>
      <c r="B361" s="956"/>
      <c r="C361" s="956"/>
      <c r="D361" s="1008" t="s">
        <v>461</v>
      </c>
      <c r="E361" s="887"/>
      <c r="F361" s="638" t="s">
        <v>326</v>
      </c>
      <c r="G361" s="661" t="s">
        <v>447</v>
      </c>
      <c r="H361" s="957"/>
      <c r="I361" s="638" t="s">
        <v>326</v>
      </c>
      <c r="J361" s="1038" t="s">
        <v>462</v>
      </c>
      <c r="K361" s="638" t="s">
        <v>326</v>
      </c>
      <c r="L361" s="1008" t="s">
        <v>430</v>
      </c>
      <c r="M361" s="638" t="s">
        <v>451</v>
      </c>
      <c r="N361" s="958" t="s">
        <v>358</v>
      </c>
      <c r="O361" s="638" t="s">
        <v>458</v>
      </c>
      <c r="P361" s="638" t="s">
        <v>358</v>
      </c>
      <c r="Q361" s="953" t="s">
        <v>459</v>
      </c>
      <c r="R361" s="1005"/>
      <c r="S361" s="1005"/>
      <c r="T361" s="952" t="s">
        <v>361</v>
      </c>
      <c r="U361" s="242" t="s">
        <v>437</v>
      </c>
      <c r="V361" s="112"/>
    </row>
    <row r="362" spans="1:22" ht="18" hidden="1" customHeight="1">
      <c r="A362" s="1007"/>
      <c r="B362" s="956"/>
      <c r="C362" s="956"/>
      <c r="D362" s="887"/>
      <c r="E362" s="887"/>
      <c r="F362" s="638"/>
      <c r="G362" s="638" t="s">
        <v>441</v>
      </c>
      <c r="H362" s="887"/>
      <c r="I362" s="638"/>
      <c r="J362" s="638"/>
      <c r="K362" s="638"/>
      <c r="L362" s="1008"/>
      <c r="M362" s="638"/>
      <c r="N362" s="958"/>
      <c r="O362" s="638"/>
      <c r="P362" s="638"/>
      <c r="Q362" s="28" t="s">
        <v>449</v>
      </c>
      <c r="R362" s="28" t="s">
        <v>326</v>
      </c>
      <c r="S362" s="28" t="s">
        <v>449</v>
      </c>
      <c r="T362" s="952"/>
      <c r="U362" s="7"/>
      <c r="V362" s="112"/>
    </row>
    <row r="363" spans="1:22" ht="18" hidden="1" customHeight="1">
      <c r="A363" s="9"/>
      <c r="V363" s="10"/>
    </row>
    <row r="364" spans="1:22" ht="18" hidden="1" customHeight="1">
      <c r="A364" s="9"/>
      <c r="B364" s="14" t="s">
        <v>438</v>
      </c>
      <c r="P364" s="120" t="s">
        <v>439</v>
      </c>
      <c r="V364" s="10"/>
    </row>
    <row r="365" spans="1:22" ht="18" hidden="1" customHeight="1">
      <c r="A365" s="9"/>
      <c r="B365" s="14" t="s">
        <v>440</v>
      </c>
      <c r="P365" s="120" t="s">
        <v>441</v>
      </c>
      <c r="Q365" s="246" t="s">
        <v>138</v>
      </c>
      <c r="R365" s="639" t="str">
        <f>R321</f>
        <v>-</v>
      </c>
      <c r="S365" s="639"/>
      <c r="T365" s="14" t="s">
        <v>9</v>
      </c>
      <c r="V365" s="10"/>
    </row>
    <row r="366" spans="1:22" ht="18" hidden="1" customHeight="1">
      <c r="A366" s="9"/>
      <c r="B366" s="14" t="s">
        <v>442</v>
      </c>
      <c r="P366" s="120" t="s">
        <v>429</v>
      </c>
      <c r="Q366" s="246" t="s">
        <v>138</v>
      </c>
      <c r="R366" s="639">
        <f>R322</f>
        <v>40000</v>
      </c>
      <c r="S366" s="639"/>
      <c r="T366" s="14" t="s">
        <v>9</v>
      </c>
      <c r="V366" s="10"/>
    </row>
    <row r="367" spans="1:22" ht="18" hidden="1" customHeight="1">
      <c r="A367" s="9"/>
      <c r="B367" s="14" t="s">
        <v>463</v>
      </c>
      <c r="P367" s="120" t="s">
        <v>461</v>
      </c>
      <c r="Q367" s="246" t="s">
        <v>138</v>
      </c>
      <c r="R367" s="873">
        <f>R243</f>
        <v>22086.904410813047</v>
      </c>
      <c r="S367" s="639"/>
      <c r="T367" s="14" t="s">
        <v>9</v>
      </c>
      <c r="U367" s="30" t="s">
        <v>444</v>
      </c>
      <c r="V367" s="10"/>
    </row>
    <row r="368" spans="1:22" ht="18" hidden="1" customHeight="1">
      <c r="A368" s="9"/>
      <c r="B368" s="14"/>
      <c r="P368" s="120"/>
      <c r="Q368" s="246" t="s">
        <v>138</v>
      </c>
      <c r="R368" s="873">
        <f>R244</f>
        <v>23819.814378888525</v>
      </c>
      <c r="S368" s="639"/>
      <c r="T368" s="14" t="s">
        <v>9</v>
      </c>
      <c r="U368" s="30" t="s">
        <v>445</v>
      </c>
      <c r="V368" s="10"/>
    </row>
    <row r="369" spans="1:22" ht="18" hidden="1" customHeight="1">
      <c r="A369" s="9"/>
      <c r="B369" s="14" t="s">
        <v>464</v>
      </c>
      <c r="P369" s="120" t="s">
        <v>447</v>
      </c>
      <c r="Q369" s="246" t="s">
        <v>138</v>
      </c>
      <c r="R369" s="639">
        <f>R325</f>
        <v>1</v>
      </c>
      <c r="S369" s="639"/>
      <c r="T369" s="14" t="s">
        <v>9</v>
      </c>
      <c r="V369" s="10"/>
    </row>
    <row r="370" spans="1:22" ht="18" hidden="1" customHeight="1">
      <c r="A370" s="9"/>
      <c r="B370" s="14" t="s">
        <v>448</v>
      </c>
      <c r="P370" s="120" t="s">
        <v>449</v>
      </c>
      <c r="Q370" s="246" t="s">
        <v>138</v>
      </c>
      <c r="R370" s="639">
        <f>R326</f>
        <v>1</v>
      </c>
      <c r="S370" s="639"/>
      <c r="T370" s="14" t="s">
        <v>9</v>
      </c>
      <c r="V370" s="10"/>
    </row>
    <row r="371" spans="1:22" ht="18" hidden="1" customHeight="1">
      <c r="A371" s="9"/>
      <c r="B371" s="14" t="s">
        <v>450</v>
      </c>
      <c r="P371" s="120" t="s">
        <v>451</v>
      </c>
      <c r="Q371" s="246" t="s">
        <v>138</v>
      </c>
      <c r="R371" s="639" t="str">
        <f>L298</f>
        <v>-</v>
      </c>
      <c r="S371" s="639"/>
      <c r="T371" s="204" t="s">
        <v>344</v>
      </c>
      <c r="V371" s="10"/>
    </row>
    <row r="372" spans="1:22" ht="18" hidden="1" customHeight="1">
      <c r="A372" s="9"/>
      <c r="B372" s="14" t="s">
        <v>465</v>
      </c>
      <c r="P372" s="249" t="s">
        <v>452</v>
      </c>
      <c r="Q372" s="246" t="s">
        <v>138</v>
      </c>
      <c r="R372" s="637">
        <f>R328</f>
        <v>1.46186744</v>
      </c>
      <c r="S372" s="639"/>
      <c r="T372" s="204" t="s">
        <v>344</v>
      </c>
      <c r="V372" s="10"/>
    </row>
    <row r="373" spans="1:22" ht="18" hidden="1" customHeight="1">
      <c r="A373" s="9"/>
      <c r="B373" s="40" t="s">
        <v>453</v>
      </c>
      <c r="P373" s="249" t="s">
        <v>454</v>
      </c>
      <c r="Q373" s="246" t="s">
        <v>138</v>
      </c>
      <c r="R373" s="637">
        <f>R329</f>
        <v>0.02</v>
      </c>
      <c r="S373" s="639"/>
      <c r="T373" s="14" t="s">
        <v>168</v>
      </c>
      <c r="V373" s="10"/>
    </row>
    <row r="374" spans="1:22" ht="18" hidden="1" customHeight="1">
      <c r="A374" s="9"/>
      <c r="B374" s="40"/>
      <c r="P374" s="249"/>
      <c r="Q374" s="246"/>
      <c r="R374" s="223"/>
      <c r="S374" s="27"/>
      <c r="T374" s="14"/>
      <c r="V374" s="10"/>
    </row>
    <row r="375" spans="1:22" ht="18" hidden="1" customHeight="1">
      <c r="A375" s="9"/>
      <c r="B375" s="40"/>
      <c r="P375" s="249"/>
      <c r="Q375" s="246"/>
      <c r="R375" s="223"/>
      <c r="S375" s="27"/>
      <c r="T375" s="14"/>
      <c r="V375" s="10"/>
    </row>
    <row r="376" spans="1:22" ht="18" hidden="1" customHeight="1">
      <c r="A376" s="9"/>
      <c r="B376" s="40"/>
      <c r="P376" s="249"/>
      <c r="Q376" s="246"/>
      <c r="R376" s="223"/>
      <c r="S376" s="27"/>
      <c r="T376" s="14"/>
      <c r="V376" s="10"/>
    </row>
    <row r="377" spans="1:22" ht="18" hidden="1" customHeight="1">
      <c r="A377" s="9"/>
      <c r="B377" s="40"/>
      <c r="P377" s="249"/>
      <c r="Q377" s="246"/>
      <c r="R377" s="223"/>
      <c r="S377" s="27"/>
      <c r="T377" s="14"/>
      <c r="V377" s="10"/>
    </row>
    <row r="378" spans="1:22" ht="18" hidden="1" customHeight="1">
      <c r="A378" s="9"/>
      <c r="B378" s="40"/>
      <c r="P378" s="249"/>
      <c r="Q378" s="246"/>
      <c r="R378" s="223"/>
      <c r="S378" s="27"/>
      <c r="T378" s="14"/>
      <c r="V378" s="10"/>
    </row>
    <row r="379" spans="1:22" s="7" customFormat="1" ht="18" hidden="1" customHeight="1">
      <c r="A379" s="395"/>
      <c r="B379" s="20"/>
      <c r="C379" s="20"/>
      <c r="D379" s="20"/>
      <c r="E379" s="20"/>
      <c r="F379" s="20"/>
      <c r="G379" s="20"/>
      <c r="H379" s="20"/>
      <c r="I379" s="20"/>
      <c r="J379" s="20"/>
      <c r="K379" s="20"/>
      <c r="L379" s="20"/>
      <c r="M379" s="20"/>
      <c r="N379" s="20"/>
      <c r="O379" s="20"/>
      <c r="P379" s="20"/>
      <c r="Q379" s="21"/>
      <c r="R379" s="22"/>
      <c r="S379" s="23"/>
      <c r="T379" s="20"/>
      <c r="U379" s="20"/>
      <c r="V379" s="140"/>
    </row>
    <row r="380" spans="1:22" ht="18" hidden="1" customHeight="1">
      <c r="A380" s="444" t="s">
        <v>466</v>
      </c>
      <c r="B380" s="445"/>
      <c r="C380" s="446"/>
      <c r="D380" s="447"/>
      <c r="E380" s="446"/>
      <c r="F380" s="447"/>
      <c r="G380" s="447"/>
      <c r="H380" s="445"/>
      <c r="I380" s="445"/>
      <c r="J380" s="445"/>
      <c r="K380" s="448"/>
      <c r="L380" s="448"/>
      <c r="M380" s="111"/>
      <c r="N380" s="447"/>
      <c r="O380" s="447"/>
      <c r="P380" s="448"/>
      <c r="Q380" s="449"/>
      <c r="R380" s="111"/>
      <c r="S380" s="111"/>
      <c r="T380" s="111"/>
      <c r="U380" s="111"/>
      <c r="V380" s="147"/>
    </row>
    <row r="381" spans="1:22" ht="18" hidden="1" customHeight="1">
      <c r="A381" s="96" t="s">
        <v>467</v>
      </c>
      <c r="B381" s="164"/>
      <c r="C381" s="450"/>
      <c r="D381" s="389"/>
      <c r="E381" s="450"/>
      <c r="F381" s="389"/>
      <c r="G381" s="389"/>
      <c r="H381" s="164"/>
      <c r="I381" s="164"/>
      <c r="J381" s="164"/>
      <c r="K381" s="165"/>
      <c r="L381" s="165"/>
      <c r="M381" s="7"/>
      <c r="N381" s="389"/>
      <c r="O381" s="389"/>
      <c r="P381" s="165"/>
      <c r="Q381" s="451"/>
      <c r="R381" s="7"/>
      <c r="S381" s="7"/>
      <c r="T381" s="7"/>
      <c r="U381" s="7"/>
      <c r="V381" s="112"/>
    </row>
    <row r="382" spans="1:22" ht="18" hidden="1" customHeight="1">
      <c r="A382" s="409"/>
      <c r="B382" s="164"/>
      <c r="C382" s="450"/>
      <c r="D382" s="7"/>
      <c r="E382" s="7"/>
      <c r="F382" s="7"/>
      <c r="G382" s="389"/>
      <c r="H382" s="452" t="s">
        <v>468</v>
      </c>
      <c r="I382" s="14" t="s">
        <v>469</v>
      </c>
      <c r="J382" s="7"/>
      <c r="K382" s="28" t="s">
        <v>470</v>
      </c>
      <c r="L382" s="28" t="s">
        <v>146</v>
      </c>
      <c r="M382" s="453"/>
      <c r="N382" s="389"/>
      <c r="O382" s="389"/>
      <c r="P382" s="102" t="s">
        <v>138</v>
      </c>
      <c r="Q382" s="28">
        <v>1</v>
      </c>
      <c r="R382" s="7"/>
      <c r="S382" s="7"/>
      <c r="T382" s="7"/>
      <c r="U382" s="7"/>
      <c r="V382" s="112"/>
    </row>
    <row r="383" spans="1:22" ht="18" hidden="1" customHeight="1">
      <c r="A383" s="409"/>
      <c r="B383" s="164"/>
      <c r="C383" s="450"/>
      <c r="D383" s="7"/>
      <c r="E383" s="7"/>
      <c r="F383" s="7"/>
      <c r="G383" s="389"/>
      <c r="H383" s="452"/>
      <c r="I383" s="14"/>
      <c r="J383" s="7"/>
      <c r="K383" s="28"/>
      <c r="L383" s="28"/>
      <c r="M383" s="453"/>
      <c r="N383" s="389"/>
      <c r="O383" s="389"/>
      <c r="P383" s="102"/>
      <c r="Q383" s="28"/>
      <c r="R383" s="7"/>
      <c r="S383" s="7"/>
      <c r="T383" s="7"/>
      <c r="U383" s="7"/>
      <c r="V383" s="112"/>
    </row>
    <row r="384" spans="1:22" ht="18" hidden="1" customHeight="1">
      <c r="A384" s="96" t="s">
        <v>471</v>
      </c>
      <c r="B384" s="164"/>
      <c r="C384" s="450"/>
      <c r="D384" s="389"/>
      <c r="E384" s="450"/>
      <c r="F384" s="389"/>
      <c r="G384" s="389"/>
      <c r="H384" s="164"/>
      <c r="I384" s="7"/>
      <c r="J384" s="7"/>
      <c r="K384" s="121"/>
      <c r="L384" s="121"/>
      <c r="M384" s="7"/>
      <c r="N384" s="389"/>
      <c r="O384" s="389"/>
      <c r="P384" s="165"/>
      <c r="Q384" s="451"/>
      <c r="V384" s="10"/>
    </row>
    <row r="385" spans="1:22" ht="18" hidden="1" customHeight="1">
      <c r="A385" s="96" t="s">
        <v>472</v>
      </c>
      <c r="B385" s="164"/>
      <c r="C385" s="450"/>
      <c r="D385" s="389"/>
      <c r="E385" s="450"/>
      <c r="F385" s="389"/>
      <c r="G385" s="389"/>
      <c r="H385" s="164"/>
      <c r="I385" s="7"/>
      <c r="J385" s="7"/>
      <c r="K385" s="121"/>
      <c r="L385" s="121"/>
      <c r="M385" s="7"/>
      <c r="N385" s="389"/>
      <c r="O385" s="389"/>
      <c r="P385" s="165"/>
      <c r="Q385" s="451"/>
      <c r="V385" s="10"/>
    </row>
    <row r="386" spans="1:22" ht="18" hidden="1" customHeight="1">
      <c r="A386" s="409"/>
      <c r="B386" s="164"/>
      <c r="C386" s="450"/>
      <c r="D386" s="7"/>
      <c r="E386" s="7"/>
      <c r="F386" s="7"/>
      <c r="G386" s="389"/>
      <c r="H386" s="452" t="s">
        <v>468</v>
      </c>
      <c r="I386" s="14" t="s">
        <v>473</v>
      </c>
      <c r="J386" s="7"/>
      <c r="K386" s="28" t="s">
        <v>470</v>
      </c>
      <c r="L386" s="28" t="s">
        <v>462</v>
      </c>
      <c r="M386" s="453"/>
      <c r="N386" s="389"/>
      <c r="O386" s="389"/>
      <c r="P386" s="102" t="s">
        <v>138</v>
      </c>
      <c r="Q386" s="28">
        <v>3</v>
      </c>
      <c r="V386" s="10"/>
    </row>
    <row r="387" spans="1:22" ht="18" hidden="1" customHeight="1">
      <c r="A387" s="409"/>
      <c r="B387" s="164"/>
      <c r="C387" s="450"/>
      <c r="D387" s="7"/>
      <c r="E387" s="7"/>
      <c r="F387" s="7"/>
      <c r="G387" s="389"/>
      <c r="H387" s="452"/>
      <c r="I387" s="14"/>
      <c r="J387" s="7"/>
      <c r="K387" s="28"/>
      <c r="L387" s="28"/>
      <c r="M387" s="453"/>
      <c r="N387" s="389"/>
      <c r="O387" s="389"/>
      <c r="P387" s="102"/>
      <c r="Q387" s="28"/>
      <c r="V387" s="10"/>
    </row>
    <row r="388" spans="1:22" ht="18" hidden="1" customHeight="1">
      <c r="A388" s="9"/>
      <c r="V388" s="10"/>
    </row>
    <row r="389" spans="1:22" ht="18" hidden="1" customHeight="1">
      <c r="A389" s="205" t="s">
        <v>427</v>
      </c>
      <c r="V389" s="10"/>
    </row>
    <row r="390" spans="1:22" ht="18" hidden="1" customHeight="1">
      <c r="A390" s="114"/>
      <c r="B390" s="7"/>
      <c r="C390" s="7"/>
      <c r="D390" s="7"/>
      <c r="E390" s="7"/>
      <c r="F390" s="7"/>
      <c r="G390" s="14" t="s">
        <v>474</v>
      </c>
      <c r="H390" s="7"/>
      <c r="I390" s="7"/>
      <c r="J390" s="7"/>
      <c r="K390" s="28" t="s">
        <v>138</v>
      </c>
      <c r="L390" s="641">
        <f>L261</f>
        <v>159.09090909090909</v>
      </c>
      <c r="M390" s="638"/>
      <c r="N390" s="28" t="s">
        <v>475</v>
      </c>
      <c r="O390" s="28" t="s">
        <v>146</v>
      </c>
      <c r="P390" s="28" t="s">
        <v>138</v>
      </c>
      <c r="Q390" s="28">
        <f>IF(L390&lt;=400,Q382,Q383)</f>
        <v>1</v>
      </c>
      <c r="R390" s="7"/>
      <c r="S390" s="7"/>
      <c r="T390" s="7"/>
      <c r="V390" s="10"/>
    </row>
    <row r="391" spans="1:22" ht="18" hidden="1" customHeight="1">
      <c r="A391" s="1006" t="s">
        <v>428</v>
      </c>
      <c r="B391" s="956"/>
      <c r="C391" s="956"/>
      <c r="D391" s="1011">
        <f>R366</f>
        <v>40000</v>
      </c>
      <c r="E391" s="1019"/>
      <c r="F391" s="861" t="s">
        <v>326</v>
      </c>
      <c r="G391" s="1013">
        <f>R369</f>
        <v>1</v>
      </c>
      <c r="H391" s="1020"/>
      <c r="I391" s="861" t="s">
        <v>326</v>
      </c>
      <c r="J391" s="862">
        <f>Q390</f>
        <v>1</v>
      </c>
      <c r="K391" s="861" t="s">
        <v>326</v>
      </c>
      <c r="L391" s="1011" t="s">
        <v>430</v>
      </c>
      <c r="M391" s="968" t="str">
        <f>R371</f>
        <v>-</v>
      </c>
      <c r="N391" s="1017" t="s">
        <v>358</v>
      </c>
      <c r="O391" s="1018">
        <f>R372</f>
        <v>1.46186744</v>
      </c>
      <c r="P391" s="861" t="s">
        <v>358</v>
      </c>
      <c r="Q391" s="1010">
        <f>R373</f>
        <v>0.02</v>
      </c>
      <c r="R391" s="1010"/>
      <c r="S391" s="1010"/>
      <c r="T391" s="952" t="s">
        <v>361</v>
      </c>
      <c r="U391" s="242" t="s">
        <v>433</v>
      </c>
      <c r="V391" s="112"/>
    </row>
    <row r="392" spans="1:22" ht="18" hidden="1" customHeight="1">
      <c r="A392" s="1007"/>
      <c r="B392" s="956"/>
      <c r="C392" s="956"/>
      <c r="D392" s="1019"/>
      <c r="E392" s="1019"/>
      <c r="F392" s="861"/>
      <c r="G392" s="861" t="str">
        <f>R365</f>
        <v>-</v>
      </c>
      <c r="H392" s="1019"/>
      <c r="I392" s="861"/>
      <c r="J392" s="861"/>
      <c r="K392" s="861"/>
      <c r="L392" s="1011"/>
      <c r="M392" s="968"/>
      <c r="N392" s="1017"/>
      <c r="O392" s="968"/>
      <c r="P392" s="861"/>
      <c r="Q392" s="233">
        <f>R370</f>
        <v>1</v>
      </c>
      <c r="R392" s="233" t="s">
        <v>326</v>
      </c>
      <c r="S392" s="233">
        <f>R370</f>
        <v>1</v>
      </c>
      <c r="T392" s="952"/>
      <c r="U392" s="7"/>
      <c r="V392" s="112"/>
    </row>
    <row r="393" spans="1:22" ht="18" hidden="1" customHeight="1">
      <c r="A393" s="9"/>
      <c r="V393" s="10"/>
    </row>
    <row r="394" spans="1:22" ht="18" hidden="1" customHeight="1">
      <c r="A394" s="9"/>
      <c r="C394" s="27" t="s">
        <v>138</v>
      </c>
      <c r="D394" s="797" t="e">
        <f>D391*(G391/G392)*J391*(M391+O391+(Q391/(Q392*S392)))</f>
        <v>#VALUE!</v>
      </c>
      <c r="E394" s="645"/>
      <c r="F394" s="27" t="s">
        <v>316</v>
      </c>
      <c r="V394" s="10"/>
    </row>
    <row r="395" spans="1:22" ht="18" hidden="1" customHeight="1">
      <c r="A395" s="9"/>
      <c r="V395" s="10"/>
    </row>
    <row r="396" spans="1:22" ht="18" hidden="1" customHeight="1">
      <c r="A396" s="205" t="s">
        <v>476</v>
      </c>
      <c r="V396" s="10"/>
    </row>
    <row r="397" spans="1:22" ht="18" hidden="1" customHeight="1">
      <c r="A397" s="9"/>
      <c r="E397" s="30" t="s">
        <v>477</v>
      </c>
      <c r="K397" s="27" t="s">
        <v>138</v>
      </c>
      <c r="L397" s="637">
        <f>L268</f>
        <v>6.7473490103646627</v>
      </c>
      <c r="M397" s="639"/>
      <c r="N397" s="27" t="s">
        <v>475</v>
      </c>
      <c r="O397" s="28" t="s">
        <v>462</v>
      </c>
      <c r="P397" s="27" t="s">
        <v>138</v>
      </c>
      <c r="Q397" s="27">
        <f>IF(L397&lt;=200,Q386,Q387)</f>
        <v>3</v>
      </c>
      <c r="V397" s="10"/>
    </row>
    <row r="398" spans="1:22" ht="18" hidden="1" customHeight="1">
      <c r="A398" s="1006" t="s">
        <v>428</v>
      </c>
      <c r="B398" s="956"/>
      <c r="C398" s="956"/>
      <c r="D398" s="1016">
        <f>R367</f>
        <v>22086.904410813047</v>
      </c>
      <c r="E398" s="1015"/>
      <c r="F398" s="861" t="s">
        <v>326</v>
      </c>
      <c r="G398" s="1013">
        <f>R369</f>
        <v>1</v>
      </c>
      <c r="H398" s="1014"/>
      <c r="I398" s="861" t="s">
        <v>326</v>
      </c>
      <c r="J398" s="1039">
        <f>Q397</f>
        <v>3</v>
      </c>
      <c r="K398" s="861" t="s">
        <v>326</v>
      </c>
      <c r="L398" s="1011" t="s">
        <v>430</v>
      </c>
      <c r="M398" s="968" t="str">
        <f>R371</f>
        <v>-</v>
      </c>
      <c r="N398" s="1017" t="s">
        <v>358</v>
      </c>
      <c r="O398" s="1018">
        <f>R372</f>
        <v>1.46186744</v>
      </c>
      <c r="P398" s="861" t="s">
        <v>358</v>
      </c>
      <c r="Q398" s="1010">
        <f>R373</f>
        <v>0.02</v>
      </c>
      <c r="R398" s="1010"/>
      <c r="S398" s="1010"/>
      <c r="T398" s="952" t="s">
        <v>361</v>
      </c>
      <c r="U398" s="242" t="s">
        <v>437</v>
      </c>
      <c r="V398" s="112"/>
    </row>
    <row r="399" spans="1:22" ht="18" hidden="1" customHeight="1">
      <c r="A399" s="1007"/>
      <c r="B399" s="956"/>
      <c r="C399" s="956"/>
      <c r="D399" s="1015"/>
      <c r="E399" s="1015"/>
      <c r="F399" s="861"/>
      <c r="G399" s="861" t="str">
        <f>R365</f>
        <v>-</v>
      </c>
      <c r="H399" s="1015"/>
      <c r="I399" s="861"/>
      <c r="J399" s="861"/>
      <c r="K399" s="861"/>
      <c r="L399" s="1011"/>
      <c r="M399" s="968"/>
      <c r="N399" s="1017"/>
      <c r="O399" s="968"/>
      <c r="P399" s="861"/>
      <c r="Q399" s="233">
        <f>R370</f>
        <v>1</v>
      </c>
      <c r="R399" s="233" t="s">
        <v>326</v>
      </c>
      <c r="S399" s="233">
        <f>R370</f>
        <v>1</v>
      </c>
      <c r="T399" s="952"/>
      <c r="U399" s="7"/>
      <c r="V399" s="112"/>
    </row>
    <row r="400" spans="1:22" ht="18" hidden="1" customHeight="1">
      <c r="A400" s="9"/>
      <c r="V400" s="10"/>
    </row>
    <row r="401" spans="1:22" ht="18" hidden="1" customHeight="1">
      <c r="A401" s="9"/>
      <c r="C401" s="27" t="s">
        <v>138</v>
      </c>
      <c r="D401" s="797" t="e">
        <f>D398*(G398/G399)*J398*(M398+O398+(Q398/(Q399*S399)))</f>
        <v>#VALUE!</v>
      </c>
      <c r="E401" s="645"/>
      <c r="F401" s="27" t="s">
        <v>316</v>
      </c>
      <c r="V401" s="10"/>
    </row>
    <row r="402" spans="1:22" ht="18" hidden="1" customHeight="1">
      <c r="A402" s="9"/>
      <c r="V402" s="10"/>
    </row>
    <row r="403" spans="1:22" ht="18" hidden="1" customHeight="1">
      <c r="A403" s="205" t="s">
        <v>478</v>
      </c>
      <c r="V403" s="10"/>
    </row>
    <row r="404" spans="1:22" ht="18" hidden="1" customHeight="1">
      <c r="A404" s="9"/>
      <c r="E404" s="30" t="s">
        <v>479</v>
      </c>
      <c r="K404" s="27" t="s">
        <v>138</v>
      </c>
      <c r="L404" s="637">
        <f>L275</f>
        <v>6.9289372966517959</v>
      </c>
      <c r="M404" s="639"/>
      <c r="N404" s="27" t="s">
        <v>475</v>
      </c>
      <c r="O404" s="28" t="s">
        <v>462</v>
      </c>
      <c r="P404" s="27" t="s">
        <v>138</v>
      </c>
      <c r="Q404" s="27">
        <f>IF(L404&lt;=30,Q386,Q387)</f>
        <v>3</v>
      </c>
      <c r="V404" s="10"/>
    </row>
    <row r="405" spans="1:22" ht="18" hidden="1" customHeight="1">
      <c r="A405" s="1006" t="s">
        <v>428</v>
      </c>
      <c r="B405" s="956"/>
      <c r="C405" s="956"/>
      <c r="D405" s="1016">
        <f>R368</f>
        <v>23819.814378888525</v>
      </c>
      <c r="E405" s="1015"/>
      <c r="F405" s="861" t="s">
        <v>326</v>
      </c>
      <c r="G405" s="1013">
        <f>R369</f>
        <v>1</v>
      </c>
      <c r="H405" s="1014"/>
      <c r="I405" s="861" t="s">
        <v>326</v>
      </c>
      <c r="J405" s="1039">
        <f>Q404</f>
        <v>3</v>
      </c>
      <c r="K405" s="861" t="s">
        <v>326</v>
      </c>
      <c r="L405" s="1011" t="s">
        <v>430</v>
      </c>
      <c r="M405" s="968" t="str">
        <f>R371</f>
        <v>-</v>
      </c>
      <c r="N405" s="1017" t="s">
        <v>358</v>
      </c>
      <c r="O405" s="1018">
        <f>R372</f>
        <v>1.46186744</v>
      </c>
      <c r="P405" s="861" t="s">
        <v>358</v>
      </c>
      <c r="Q405" s="1010">
        <f>R373</f>
        <v>0.02</v>
      </c>
      <c r="R405" s="1010"/>
      <c r="S405" s="1010"/>
      <c r="T405" s="952" t="s">
        <v>361</v>
      </c>
      <c r="U405" s="242" t="s">
        <v>437</v>
      </c>
      <c r="V405" s="112"/>
    </row>
    <row r="406" spans="1:22" ht="18" hidden="1" customHeight="1">
      <c r="A406" s="1007"/>
      <c r="B406" s="956"/>
      <c r="C406" s="956"/>
      <c r="D406" s="1015"/>
      <c r="E406" s="1015"/>
      <c r="F406" s="861"/>
      <c r="G406" s="861" t="str">
        <f>R365</f>
        <v>-</v>
      </c>
      <c r="H406" s="1015"/>
      <c r="I406" s="861"/>
      <c r="J406" s="861"/>
      <c r="K406" s="861"/>
      <c r="L406" s="1011"/>
      <c r="M406" s="968"/>
      <c r="N406" s="1017"/>
      <c r="O406" s="968"/>
      <c r="P406" s="861"/>
      <c r="Q406" s="233">
        <f>R370</f>
        <v>1</v>
      </c>
      <c r="R406" s="233" t="s">
        <v>326</v>
      </c>
      <c r="S406" s="233">
        <f>R370</f>
        <v>1</v>
      </c>
      <c r="T406" s="952"/>
      <c r="U406" s="7"/>
      <c r="V406" s="112"/>
    </row>
    <row r="407" spans="1:22" ht="18" hidden="1" customHeight="1">
      <c r="A407" s="9"/>
      <c r="D407" s="443"/>
      <c r="E407" s="443"/>
      <c r="F407" s="443"/>
      <c r="G407" s="443"/>
      <c r="H407" s="443"/>
      <c r="I407" s="443"/>
      <c r="J407" s="443"/>
      <c r="K407" s="443"/>
      <c r="L407" s="443"/>
      <c r="M407" s="443"/>
      <c r="N407" s="443"/>
      <c r="O407" s="443"/>
      <c r="P407" s="443"/>
      <c r="Q407" s="443"/>
      <c r="R407" s="443"/>
      <c r="S407" s="443"/>
      <c r="V407" s="10"/>
    </row>
    <row r="408" spans="1:22" ht="18" hidden="1" customHeight="1">
      <c r="A408" s="9"/>
      <c r="C408" s="27" t="s">
        <v>138</v>
      </c>
      <c r="D408" s="797" t="e">
        <f>D405*(G405/G406)*J405*(M405+O405+(Q405/(Q406*S406)))</f>
        <v>#VALUE!</v>
      </c>
      <c r="E408" s="645"/>
      <c r="F408" s="27" t="s">
        <v>316</v>
      </c>
      <c r="V408" s="10"/>
    </row>
    <row r="409" spans="1:22" ht="18" hidden="1" customHeight="1">
      <c r="A409" s="9"/>
      <c r="V409" s="10"/>
    </row>
    <row r="410" spans="1:22" ht="18" hidden="1" customHeight="1">
      <c r="A410" s="196" t="s">
        <v>480</v>
      </c>
      <c r="M410" s="1044" t="str">
        <f>L296</f>
        <v>-</v>
      </c>
      <c r="N410" s="1045"/>
      <c r="O410" s="30" t="s">
        <v>481</v>
      </c>
      <c r="P410" s="30"/>
      <c r="Q410" s="1046" t="e">
        <f>MAX(D340,D346,D352,D394,D401,D408)</f>
        <v>#VALUE!</v>
      </c>
      <c r="R410" s="1022"/>
      <c r="S410" s="30" t="s">
        <v>316</v>
      </c>
      <c r="V410" s="10"/>
    </row>
    <row r="411" spans="1:22" ht="18" hidden="1" customHeight="1">
      <c r="A411" s="364" t="s">
        <v>482</v>
      </c>
      <c r="B411" s="7"/>
      <c r="C411" s="7"/>
      <c r="D411" s="454"/>
      <c r="E411" s="7"/>
      <c r="F411" s="7"/>
      <c r="G411" s="385"/>
      <c r="H411" s="7"/>
      <c r="J411" s="7"/>
      <c r="K411" s="7"/>
      <c r="L411" s="7"/>
      <c r="M411" s="7"/>
      <c r="N411" s="7"/>
      <c r="O411" s="7"/>
      <c r="P411" s="262"/>
      <c r="Q411" s="263"/>
      <c r="R411" s="385"/>
      <c r="S411" s="7"/>
      <c r="V411" s="10"/>
    </row>
    <row r="412" spans="1:22" ht="18" hidden="1" customHeight="1">
      <c r="A412" s="96" t="s">
        <v>511</v>
      </c>
      <c r="V412" s="10"/>
    </row>
    <row r="413" spans="1:22" ht="18" hidden="1" customHeight="1">
      <c r="A413" s="9"/>
      <c r="N413" s="7"/>
      <c r="O413" s="28" t="s">
        <v>484</v>
      </c>
      <c r="P413" s="102" t="s">
        <v>138</v>
      </c>
      <c r="Q413" s="906" t="s">
        <v>485</v>
      </c>
      <c r="R413" s="906"/>
      <c r="S413" s="28" t="s">
        <v>326</v>
      </c>
      <c r="T413" s="28">
        <v>0.8</v>
      </c>
      <c r="V413" s="10"/>
    </row>
    <row r="414" spans="1:22" ht="18" hidden="1" customHeight="1">
      <c r="A414" s="9"/>
      <c r="N414" s="264"/>
      <c r="O414" s="28"/>
      <c r="P414" s="102" t="s">
        <v>138</v>
      </c>
      <c r="Q414" s="1026" t="e">
        <f>+Q410</f>
        <v>#VALUE!</v>
      </c>
      <c r="R414" s="661"/>
      <c r="S414" s="234" t="s">
        <v>326</v>
      </c>
      <c r="T414" s="265">
        <f>+T413</f>
        <v>0.8</v>
      </c>
      <c r="V414" s="10"/>
    </row>
    <row r="415" spans="1:22" ht="18" hidden="1" customHeight="1">
      <c r="A415" s="9"/>
      <c r="O415" s="28"/>
      <c r="P415" s="28" t="s">
        <v>138</v>
      </c>
      <c r="Q415" s="1027" t="e">
        <f>Q414*T414</f>
        <v>#VALUE!</v>
      </c>
      <c r="R415" s="707"/>
      <c r="S415" s="28" t="s">
        <v>316</v>
      </c>
      <c r="T415" s="28"/>
      <c r="V415" s="10"/>
    </row>
    <row r="416" spans="1:22" ht="18" hidden="1" customHeight="1">
      <c r="A416" s="9"/>
      <c r="D416" s="30" t="s">
        <v>486</v>
      </c>
      <c r="G416" s="27" t="e">
        <f>IF(E417&gt;H417,"&gt;","&lt;")</f>
        <v>#VALUE!</v>
      </c>
      <c r="H416" s="30" t="s">
        <v>488</v>
      </c>
      <c r="V416" s="10"/>
    </row>
    <row r="417" spans="1:22" ht="18" hidden="1" customHeight="1">
      <c r="A417" s="9"/>
      <c r="E417" s="639" t="str">
        <f>L299</f>
        <v>-</v>
      </c>
      <c r="F417" s="639"/>
      <c r="G417" s="27" t="e">
        <f>G416</f>
        <v>#VALUE!</v>
      </c>
      <c r="H417" s="637" t="e">
        <f>Q415</f>
        <v>#VALUE!</v>
      </c>
      <c r="I417" s="639"/>
      <c r="V417" s="10"/>
    </row>
    <row r="418" spans="1:22" ht="18" hidden="1" customHeight="1">
      <c r="A418" s="9"/>
      <c r="F418" s="256" t="s">
        <v>489</v>
      </c>
      <c r="H418" s="18" t="e">
        <f>IF(G416="&gt;","Suitably Dimensioned","Under Dimensioned")</f>
        <v>#VALUE!</v>
      </c>
      <c r="V418" s="10"/>
    </row>
    <row r="419" spans="1:22" ht="18" hidden="1" customHeight="1">
      <c r="A419" s="9"/>
      <c r="F419" s="256"/>
      <c r="H419" s="18"/>
      <c r="V419" s="10"/>
    </row>
    <row r="420" spans="1:22" ht="18" hidden="1" customHeight="1">
      <c r="A420" s="9"/>
      <c r="F420" s="256"/>
      <c r="H420" s="18"/>
      <c r="V420" s="10"/>
    </row>
    <row r="421" spans="1:22" ht="18" hidden="1" customHeight="1">
      <c r="A421" s="9"/>
      <c r="F421" s="256"/>
      <c r="H421" s="18"/>
      <c r="V421" s="10"/>
    </row>
    <row r="422" spans="1:22" ht="18" hidden="1" customHeight="1">
      <c r="A422" s="9"/>
      <c r="F422" s="256"/>
      <c r="H422" s="18"/>
      <c r="V422" s="10"/>
    </row>
    <row r="423" spans="1:22" ht="18" hidden="1" customHeight="1">
      <c r="A423" s="9"/>
      <c r="F423" s="256"/>
      <c r="H423" s="18"/>
      <c r="V423" s="10"/>
    </row>
    <row r="424" spans="1:22" s="7" customFormat="1" ht="18" hidden="1" customHeight="1">
      <c r="A424" s="395"/>
      <c r="B424" s="20"/>
      <c r="C424" s="20"/>
      <c r="D424" s="20"/>
      <c r="E424" s="20"/>
      <c r="F424" s="20"/>
      <c r="G424" s="20"/>
      <c r="H424" s="20"/>
      <c r="I424" s="20"/>
      <c r="J424" s="20"/>
      <c r="K424" s="20"/>
      <c r="L424" s="20"/>
      <c r="M424" s="20"/>
      <c r="N424" s="20"/>
      <c r="O424" s="20"/>
      <c r="P424" s="20"/>
      <c r="Q424" s="21"/>
      <c r="R424" s="22"/>
      <c r="S424" s="23"/>
      <c r="T424" s="20"/>
      <c r="U424" s="20"/>
      <c r="V424" s="140"/>
    </row>
    <row r="425" spans="1:22" ht="18" customHeight="1">
      <c r="A425" s="455"/>
      <c r="B425" s="397"/>
      <c r="C425" s="397"/>
      <c r="D425" s="397"/>
      <c r="E425" s="397"/>
      <c r="F425" s="397"/>
      <c r="G425" s="397"/>
      <c r="H425" s="397"/>
      <c r="I425" s="397"/>
      <c r="J425" s="397"/>
      <c r="K425" s="397"/>
      <c r="L425" s="397"/>
      <c r="M425" s="397"/>
      <c r="N425" s="397"/>
      <c r="O425" s="397"/>
      <c r="P425" s="397"/>
      <c r="Q425" s="397"/>
      <c r="R425" s="397"/>
      <c r="S425" s="397"/>
      <c r="T425" s="397"/>
      <c r="U425" s="397"/>
      <c r="V425" s="408"/>
    </row>
    <row r="426" spans="1:22" ht="18" customHeight="1">
      <c r="A426" s="274" t="s">
        <v>512</v>
      </c>
      <c r="B426" s="7"/>
      <c r="C426" s="7"/>
      <c r="D426" s="124"/>
      <c r="E426" s="124"/>
      <c r="F426" s="115"/>
      <c r="G426" s="115"/>
      <c r="H426" s="7"/>
      <c r="I426" s="7"/>
      <c r="J426" s="7"/>
      <c r="K426" s="7"/>
      <c r="L426" s="7"/>
      <c r="M426" s="7"/>
      <c r="N426" s="7"/>
      <c r="O426" s="7"/>
      <c r="P426" s="121"/>
      <c r="Q426" s="124"/>
      <c r="R426" s="385"/>
      <c r="S426" s="462"/>
      <c r="T426" s="463"/>
      <c r="U426" s="7"/>
      <c r="V426" s="112"/>
    </row>
    <row r="427" spans="1:22" ht="18" customHeight="1">
      <c r="A427" s="782" t="s">
        <v>97</v>
      </c>
      <c r="B427" s="782"/>
      <c r="C427" s="612"/>
      <c r="D427" s="782" t="s">
        <v>98</v>
      </c>
      <c r="E427" s="782"/>
      <c r="F427" s="782"/>
      <c r="G427" s="782" t="s">
        <v>99</v>
      </c>
      <c r="H427" s="782"/>
      <c r="I427" s="782" t="s">
        <v>100</v>
      </c>
      <c r="J427" s="782"/>
      <c r="K427" s="782" t="s">
        <v>513</v>
      </c>
      <c r="L427" s="782"/>
      <c r="M427" s="782" t="s">
        <v>514</v>
      </c>
      <c r="N427" s="782"/>
      <c r="O427" s="782" t="s">
        <v>515</v>
      </c>
      <c r="P427" s="782"/>
      <c r="Q427" s="782" t="s">
        <v>516</v>
      </c>
      <c r="R427" s="782"/>
      <c r="S427" s="782" t="s">
        <v>105</v>
      </c>
      <c r="T427" s="782"/>
      <c r="U427" s="782"/>
      <c r="V427" s="782"/>
    </row>
    <row r="428" spans="1:22" ht="18" customHeight="1">
      <c r="A428" s="782"/>
      <c r="B428" s="782"/>
      <c r="C428" s="612"/>
      <c r="D428" s="782"/>
      <c r="E428" s="782"/>
      <c r="F428" s="782"/>
      <c r="G428" s="782"/>
      <c r="H428" s="782"/>
      <c r="I428" s="782"/>
      <c r="J428" s="782"/>
      <c r="K428" s="782"/>
      <c r="L428" s="782"/>
      <c r="M428" s="782"/>
      <c r="N428" s="782"/>
      <c r="O428" s="782"/>
      <c r="P428" s="782"/>
      <c r="Q428" s="782"/>
      <c r="R428" s="782"/>
      <c r="S428" s="782"/>
      <c r="T428" s="782"/>
      <c r="U428" s="782"/>
      <c r="V428" s="782"/>
    </row>
    <row r="429" spans="1:22" ht="18" customHeight="1">
      <c r="A429" s="782"/>
      <c r="B429" s="782"/>
      <c r="C429" s="612"/>
      <c r="D429" s="782"/>
      <c r="E429" s="782"/>
      <c r="F429" s="782"/>
      <c r="G429" s="782"/>
      <c r="H429" s="782"/>
      <c r="I429" s="782"/>
      <c r="J429" s="782"/>
      <c r="K429" s="782"/>
      <c r="L429" s="782"/>
      <c r="M429" s="782"/>
      <c r="N429" s="782"/>
      <c r="O429" s="782"/>
      <c r="P429" s="782"/>
      <c r="Q429" s="782"/>
      <c r="R429" s="782"/>
      <c r="S429" s="782"/>
      <c r="T429" s="782"/>
      <c r="U429" s="782"/>
      <c r="V429" s="782"/>
    </row>
    <row r="430" spans="1:22" ht="18" customHeight="1">
      <c r="A430" s="782"/>
      <c r="B430" s="782"/>
      <c r="C430" s="612"/>
      <c r="D430" s="782"/>
      <c r="E430" s="782"/>
      <c r="F430" s="782"/>
      <c r="G430" s="782"/>
      <c r="H430" s="782"/>
      <c r="I430" s="782"/>
      <c r="J430" s="782"/>
      <c r="K430" s="782"/>
      <c r="L430" s="782"/>
      <c r="M430" s="782"/>
      <c r="N430" s="782"/>
      <c r="O430" s="782"/>
      <c r="P430" s="782"/>
      <c r="Q430" s="782"/>
      <c r="R430" s="782"/>
      <c r="S430" s="782"/>
      <c r="T430" s="782"/>
      <c r="U430" s="782"/>
      <c r="V430" s="782"/>
    </row>
    <row r="431" spans="1:22" ht="18" customHeight="1">
      <c r="A431" s="623" t="str">
        <f>B7</f>
        <v>T1</v>
      </c>
      <c r="B431" s="623" t="str">
        <f>D7</f>
        <v>Core1</v>
      </c>
      <c r="C431" s="623"/>
      <c r="D431" s="613">
        <f>H10</f>
        <v>600</v>
      </c>
      <c r="E431" s="613"/>
      <c r="F431" s="624">
        <f>O10</f>
        <v>1</v>
      </c>
      <c r="G431" s="613">
        <f>'CT-VT Burdens'!S19</f>
        <v>80</v>
      </c>
      <c r="H431" s="783">
        <f>'CT-VT Burdens'!S10</f>
        <v>2.5</v>
      </c>
      <c r="I431" s="783" t="str">
        <f>H11</f>
        <v>PX</v>
      </c>
      <c r="J431" s="783"/>
      <c r="K431" s="612">
        <f>H12</f>
        <v>4</v>
      </c>
      <c r="L431" s="612"/>
      <c r="M431" s="612">
        <f>H13</f>
        <v>800</v>
      </c>
      <c r="N431" s="612"/>
      <c r="O431" s="613">
        <f>H14</f>
        <v>50</v>
      </c>
      <c r="P431" s="613"/>
      <c r="Q431" s="629" t="str">
        <f>IF(T8="",T7,IF(T9="",T7&amp;"+"&amp;T8,T7&amp;"+"&amp;T8&amp;"+"&amp;T9))</f>
        <v>RED670</v>
      </c>
      <c r="R431" s="629"/>
      <c r="S431" s="628" t="str">
        <f>H123</f>
        <v>Suitably Dimensioned</v>
      </c>
      <c r="T431" s="628"/>
      <c r="U431" s="628"/>
      <c r="V431" s="628"/>
    </row>
    <row r="432" spans="1:22" ht="18" customHeight="1">
      <c r="A432" s="623"/>
      <c r="B432" s="623"/>
      <c r="C432" s="623"/>
      <c r="D432" s="613" t="str">
        <f>J10</f>
        <v>-</v>
      </c>
      <c r="E432" s="613"/>
      <c r="F432" s="625"/>
      <c r="G432" s="613"/>
      <c r="H432" s="613"/>
      <c r="I432" s="783"/>
      <c r="J432" s="783"/>
      <c r="K432" s="785" t="s">
        <v>7</v>
      </c>
      <c r="L432" s="612"/>
      <c r="M432" s="785" t="s">
        <v>7</v>
      </c>
      <c r="N432" s="612"/>
      <c r="O432" s="786" t="s">
        <v>7</v>
      </c>
      <c r="P432" s="613"/>
      <c r="Q432" s="629"/>
      <c r="R432" s="629"/>
      <c r="S432" s="961" t="s">
        <v>7</v>
      </c>
      <c r="T432" s="628"/>
      <c r="U432" s="628"/>
      <c r="V432" s="628"/>
    </row>
    <row r="433" spans="1:22" ht="18" customHeight="1">
      <c r="A433" s="623"/>
      <c r="B433" s="623"/>
      <c r="C433" s="623"/>
      <c r="D433" s="613" t="str">
        <f>L10</f>
        <v>-</v>
      </c>
      <c r="E433" s="613"/>
      <c r="F433" s="626"/>
      <c r="G433" s="613"/>
      <c r="H433" s="613"/>
      <c r="I433" s="783"/>
      <c r="J433" s="783"/>
      <c r="K433" s="612" t="str">
        <f>L298</f>
        <v>-</v>
      </c>
      <c r="L433" s="612"/>
      <c r="M433" s="612" t="str">
        <f>L299</f>
        <v>-</v>
      </c>
      <c r="N433" s="612"/>
      <c r="O433" s="613" t="str">
        <f>L300</f>
        <v>-</v>
      </c>
      <c r="P433" s="613"/>
      <c r="Q433" s="629"/>
      <c r="R433" s="629"/>
      <c r="S433" s="628" t="s">
        <v>7</v>
      </c>
      <c r="T433" s="628"/>
      <c r="U433" s="628"/>
      <c r="V433" s="628"/>
    </row>
    <row r="434" spans="1:22" ht="18" customHeight="1">
      <c r="A434" s="9"/>
      <c r="V434" s="10"/>
    </row>
    <row r="435" spans="1:22" ht="18" customHeight="1">
      <c r="A435" s="9"/>
      <c r="V435" s="10"/>
    </row>
    <row r="436" spans="1:22" ht="18" customHeight="1">
      <c r="A436" s="9"/>
      <c r="V436" s="10"/>
    </row>
    <row r="437" spans="1:22" ht="18" customHeight="1">
      <c r="A437" s="9"/>
      <c r="V437" s="10"/>
    </row>
    <row r="438" spans="1:22" ht="18" customHeight="1">
      <c r="A438" s="9"/>
      <c r="V438" s="10"/>
    </row>
    <row r="439" spans="1:22" ht="18" customHeight="1">
      <c r="A439" s="9"/>
      <c r="V439" s="10"/>
    </row>
    <row r="440" spans="1:22" ht="18" customHeight="1">
      <c r="A440" s="9"/>
      <c r="V440" s="10"/>
    </row>
    <row r="441" spans="1:22" ht="18" customHeight="1">
      <c r="A441" s="9"/>
      <c r="V441" s="10"/>
    </row>
    <row r="442" spans="1:22" ht="18" customHeight="1">
      <c r="A442" s="9"/>
      <c r="V442" s="10"/>
    </row>
    <row r="443" spans="1:22" ht="18" customHeight="1">
      <c r="A443" s="9"/>
      <c r="V443" s="10"/>
    </row>
    <row r="444" spans="1:22" ht="18" customHeight="1">
      <c r="A444" s="9"/>
      <c r="V444" s="10"/>
    </row>
    <row r="445" spans="1:22" ht="18" customHeight="1">
      <c r="A445" s="9"/>
      <c r="V445" s="10"/>
    </row>
    <row r="446" spans="1:22" ht="18" customHeight="1">
      <c r="A446" s="9"/>
      <c r="V446" s="10"/>
    </row>
    <row r="447" spans="1:22" ht="18" customHeight="1">
      <c r="A447" s="9"/>
      <c r="V447" s="10"/>
    </row>
    <row r="448" spans="1:22" ht="18" customHeight="1">
      <c r="A448" s="9"/>
      <c r="V448" s="10"/>
    </row>
    <row r="449" spans="1:22" ht="18" customHeight="1">
      <c r="A449" s="9"/>
      <c r="V449" s="10"/>
    </row>
    <row r="450" spans="1:22" ht="18" customHeight="1">
      <c r="A450" s="9"/>
      <c r="V450" s="10"/>
    </row>
    <row r="451" spans="1:22" ht="18" customHeight="1">
      <c r="A451" s="9"/>
      <c r="V451" s="10"/>
    </row>
    <row r="452" spans="1:22" ht="18" customHeight="1">
      <c r="A452" s="9"/>
      <c r="V452" s="10"/>
    </row>
    <row r="453" spans="1:22" ht="18" customHeight="1">
      <c r="A453" s="9"/>
      <c r="V453" s="10"/>
    </row>
    <row r="454" spans="1:22" ht="18" customHeight="1">
      <c r="A454" s="9"/>
      <c r="V454" s="10"/>
    </row>
    <row r="455" spans="1:22" ht="18" customHeight="1">
      <c r="A455" s="9"/>
      <c r="V455" s="10"/>
    </row>
    <row r="456" spans="1:22" ht="18" customHeight="1">
      <c r="A456" s="9"/>
      <c r="V456" s="10"/>
    </row>
    <row r="457" spans="1:22" ht="18" customHeight="1">
      <c r="A457" s="9"/>
      <c r="V457" s="10"/>
    </row>
    <row r="458" spans="1:22" ht="18" customHeight="1">
      <c r="A458" s="9"/>
      <c r="V458" s="10"/>
    </row>
    <row r="459" spans="1:22" ht="18" customHeight="1">
      <c r="A459" s="9"/>
      <c r="V459" s="10"/>
    </row>
    <row r="460" spans="1:22" ht="18" customHeight="1">
      <c r="A460" s="9"/>
      <c r="V460" s="10"/>
    </row>
    <row r="461" spans="1:22" ht="18" customHeight="1">
      <c r="A461" s="9"/>
      <c r="V461" s="10"/>
    </row>
    <row r="462" spans="1:22" ht="18" customHeight="1">
      <c r="A462" s="9"/>
      <c r="V462" s="10"/>
    </row>
    <row r="463" spans="1:22" ht="18" customHeight="1">
      <c r="A463" s="9"/>
      <c r="V463" s="10"/>
    </row>
    <row r="464" spans="1:22" s="7" customFormat="1" ht="18" customHeight="1">
      <c r="A464" s="395"/>
      <c r="B464" s="20"/>
      <c r="C464" s="20"/>
      <c r="D464" s="20"/>
      <c r="E464" s="20"/>
      <c r="F464" s="20"/>
      <c r="G464" s="20"/>
      <c r="H464" s="20"/>
      <c r="I464" s="20"/>
      <c r="J464" s="20"/>
      <c r="K464" s="20"/>
      <c r="L464" s="20"/>
      <c r="M464" s="20"/>
      <c r="N464" s="20"/>
      <c r="O464" s="20"/>
      <c r="P464" s="20"/>
      <c r="Q464" s="21"/>
      <c r="R464" s="22"/>
      <c r="S464" s="23"/>
      <c r="T464" s="20"/>
      <c r="U464" s="20"/>
      <c r="V464" s="140"/>
    </row>
  </sheetData>
  <mergeCells count="715">
    <mergeCell ref="B7:C8"/>
    <mergeCell ref="D7:E8"/>
    <mergeCell ref="F7:G7"/>
    <mergeCell ref="H7:N7"/>
    <mergeCell ref="T7:U7"/>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AB13:AC13"/>
    <mergeCell ref="H14:I14"/>
    <mergeCell ref="J18:K18"/>
    <mergeCell ref="H9:I9"/>
    <mergeCell ref="J9:K9"/>
    <mergeCell ref="L9:M9"/>
    <mergeCell ref="T9:U9"/>
    <mergeCell ref="H10:I10"/>
    <mergeCell ref="J10:K10"/>
    <mergeCell ref="L10:M10"/>
    <mergeCell ref="J19:K19"/>
    <mergeCell ref="J20:K20"/>
    <mergeCell ref="J21:K21"/>
    <mergeCell ref="P21:Q21"/>
    <mergeCell ref="J22:K22"/>
    <mergeCell ref="A25:V26"/>
    <mergeCell ref="H11:I11"/>
    <mergeCell ref="H12:I12"/>
    <mergeCell ref="H13:I13"/>
    <mergeCell ref="P28:P29"/>
    <mergeCell ref="Q28:S28"/>
    <mergeCell ref="T28:T29"/>
    <mergeCell ref="A28:C29"/>
    <mergeCell ref="F28:G29"/>
    <mergeCell ref="H28:H29"/>
    <mergeCell ref="I28:J28"/>
    <mergeCell ref="K28:K29"/>
    <mergeCell ref="L28:L29"/>
    <mergeCell ref="I29:J29"/>
    <mergeCell ref="A31:C32"/>
    <mergeCell ref="D31:D32"/>
    <mergeCell ref="E31:E32"/>
    <mergeCell ref="F31:G32"/>
    <mergeCell ref="H31:H32"/>
    <mergeCell ref="I31:J31"/>
    <mergeCell ref="M28:M29"/>
    <mergeCell ref="N28:N29"/>
    <mergeCell ref="O28:O29"/>
    <mergeCell ref="R38:S38"/>
    <mergeCell ref="R39:S39"/>
    <mergeCell ref="R40:S40"/>
    <mergeCell ref="R41:S41"/>
    <mergeCell ref="R42:S42"/>
    <mergeCell ref="R43:S43"/>
    <mergeCell ref="Q31:S31"/>
    <mergeCell ref="T31:T32"/>
    <mergeCell ref="I32:J32"/>
    <mergeCell ref="R35:S35"/>
    <mergeCell ref="R36:S36"/>
    <mergeCell ref="R37:S37"/>
    <mergeCell ref="K31:K32"/>
    <mergeCell ref="L31:L32"/>
    <mergeCell ref="M31:M32"/>
    <mergeCell ref="N31:N32"/>
    <mergeCell ref="O31:O32"/>
    <mergeCell ref="P31:P32"/>
    <mergeCell ref="P47:P48"/>
    <mergeCell ref="Q47:S47"/>
    <mergeCell ref="T47:T48"/>
    <mergeCell ref="A47:C48"/>
    <mergeCell ref="F47:G48"/>
    <mergeCell ref="H47:H48"/>
    <mergeCell ref="I47:J47"/>
    <mergeCell ref="K47:K48"/>
    <mergeCell ref="L47:L48"/>
    <mergeCell ref="I48:J48"/>
    <mergeCell ref="D50:E50"/>
    <mergeCell ref="A53:C54"/>
    <mergeCell ref="D53:D54"/>
    <mergeCell ref="E53:E54"/>
    <mergeCell ref="F53:G54"/>
    <mergeCell ref="H53:H54"/>
    <mergeCell ref="M47:M48"/>
    <mergeCell ref="N47:N48"/>
    <mergeCell ref="O47:O48"/>
    <mergeCell ref="P53:P54"/>
    <mergeCell ref="Q53:S53"/>
    <mergeCell ref="T53:T54"/>
    <mergeCell ref="I54:J54"/>
    <mergeCell ref="D56:E56"/>
    <mergeCell ref="A59:C60"/>
    <mergeCell ref="D59:D60"/>
    <mergeCell ref="E59:E60"/>
    <mergeCell ref="F59:G60"/>
    <mergeCell ref="H59:H60"/>
    <mergeCell ref="I53:J53"/>
    <mergeCell ref="K53:K54"/>
    <mergeCell ref="L53:L54"/>
    <mergeCell ref="M53:M54"/>
    <mergeCell ref="N53:N54"/>
    <mergeCell ref="O53:O54"/>
    <mergeCell ref="P59:P60"/>
    <mergeCell ref="Q59:S59"/>
    <mergeCell ref="T59:T60"/>
    <mergeCell ref="I60:J60"/>
    <mergeCell ref="D62:E62"/>
    <mergeCell ref="A65:V66"/>
    <mergeCell ref="I59:J59"/>
    <mergeCell ref="K59:K60"/>
    <mergeCell ref="L59:L60"/>
    <mergeCell ref="M59:M60"/>
    <mergeCell ref="N59:N60"/>
    <mergeCell ref="O59:O60"/>
    <mergeCell ref="Q68:S68"/>
    <mergeCell ref="T68:T69"/>
    <mergeCell ref="G69:H69"/>
    <mergeCell ref="M68:M69"/>
    <mergeCell ref="N68:N69"/>
    <mergeCell ref="O68:O69"/>
    <mergeCell ref="P68:P69"/>
    <mergeCell ref="A71:C72"/>
    <mergeCell ref="D71:E72"/>
    <mergeCell ref="F71:F72"/>
    <mergeCell ref="G71:H71"/>
    <mergeCell ref="I71:I72"/>
    <mergeCell ref="J71:J72"/>
    <mergeCell ref="K71:K72"/>
    <mergeCell ref="K68:K69"/>
    <mergeCell ref="L68:L69"/>
    <mergeCell ref="A68:C69"/>
    <mergeCell ref="D68:E69"/>
    <mergeCell ref="F68:F69"/>
    <mergeCell ref="G68:H68"/>
    <mergeCell ref="I68:I69"/>
    <mergeCell ref="J68:J69"/>
    <mergeCell ref="R79:S79"/>
    <mergeCell ref="R80:S80"/>
    <mergeCell ref="R81:S81"/>
    <mergeCell ref="R82:S82"/>
    <mergeCell ref="R83:S83"/>
    <mergeCell ref="L95:M95"/>
    <mergeCell ref="T71:T72"/>
    <mergeCell ref="G72:H72"/>
    <mergeCell ref="R75:S75"/>
    <mergeCell ref="R76:S76"/>
    <mergeCell ref="R77:S77"/>
    <mergeCell ref="R78:S78"/>
    <mergeCell ref="L71:L72"/>
    <mergeCell ref="M71:M72"/>
    <mergeCell ref="N71:N72"/>
    <mergeCell ref="O71:O72"/>
    <mergeCell ref="P71:P72"/>
    <mergeCell ref="Q71:S71"/>
    <mergeCell ref="Q96:S96"/>
    <mergeCell ref="T96:T97"/>
    <mergeCell ref="G97:H97"/>
    <mergeCell ref="D99:E99"/>
    <mergeCell ref="L102:M102"/>
    <mergeCell ref="A103:C104"/>
    <mergeCell ref="D103:E104"/>
    <mergeCell ref="F103:F104"/>
    <mergeCell ref="G103:H103"/>
    <mergeCell ref="I103:I104"/>
    <mergeCell ref="K96:K97"/>
    <mergeCell ref="L96:L97"/>
    <mergeCell ref="M96:M97"/>
    <mergeCell ref="N96:N97"/>
    <mergeCell ref="O96:O97"/>
    <mergeCell ref="P96:P97"/>
    <mergeCell ref="A96:C97"/>
    <mergeCell ref="D96:E97"/>
    <mergeCell ref="F96:F97"/>
    <mergeCell ref="G96:H96"/>
    <mergeCell ref="I96:I97"/>
    <mergeCell ref="J96:J97"/>
    <mergeCell ref="A110:C111"/>
    <mergeCell ref="D110:E111"/>
    <mergeCell ref="F110:F111"/>
    <mergeCell ref="G110:H110"/>
    <mergeCell ref="I110:I111"/>
    <mergeCell ref="J110:J111"/>
    <mergeCell ref="P103:P104"/>
    <mergeCell ref="Q103:S103"/>
    <mergeCell ref="T103:T104"/>
    <mergeCell ref="G104:H104"/>
    <mergeCell ref="D106:E106"/>
    <mergeCell ref="L109:M109"/>
    <mergeCell ref="J103:J104"/>
    <mergeCell ref="K103:K104"/>
    <mergeCell ref="L103:L104"/>
    <mergeCell ref="M103:M104"/>
    <mergeCell ref="N103:N104"/>
    <mergeCell ref="O103:O104"/>
    <mergeCell ref="Q110:S110"/>
    <mergeCell ref="T110:T111"/>
    <mergeCell ref="G111:H111"/>
    <mergeCell ref="D113:E113"/>
    <mergeCell ref="M115:N115"/>
    <mergeCell ref="Q115:R115"/>
    <mergeCell ref="K110:K111"/>
    <mergeCell ref="L110:L111"/>
    <mergeCell ref="M110:M111"/>
    <mergeCell ref="N110:N111"/>
    <mergeCell ref="O110:O111"/>
    <mergeCell ref="P110:P111"/>
    <mergeCell ref="A131:C132"/>
    <mergeCell ref="D131:D132"/>
    <mergeCell ref="E131:E132"/>
    <mergeCell ref="F131:G132"/>
    <mergeCell ref="H131:H132"/>
    <mergeCell ref="I131:J131"/>
    <mergeCell ref="Q118:R118"/>
    <mergeCell ref="Q119:R119"/>
    <mergeCell ref="Q120:R120"/>
    <mergeCell ref="E122:F122"/>
    <mergeCell ref="H122:I122"/>
    <mergeCell ref="A128:V129"/>
    <mergeCell ref="R137:S137"/>
    <mergeCell ref="R138:S138"/>
    <mergeCell ref="R139:S139"/>
    <mergeCell ref="R140:S140"/>
    <mergeCell ref="R141:S141"/>
    <mergeCell ref="R142:S142"/>
    <mergeCell ref="Q131:S131"/>
    <mergeCell ref="T131:T132"/>
    <mergeCell ref="I132:J132"/>
    <mergeCell ref="R134:S134"/>
    <mergeCell ref="R135:S135"/>
    <mergeCell ref="R136:S136"/>
    <mergeCell ref="K131:K132"/>
    <mergeCell ref="L131:L132"/>
    <mergeCell ref="M131:M132"/>
    <mergeCell ref="N131:N132"/>
    <mergeCell ref="O131:O132"/>
    <mergeCell ref="P131:P132"/>
    <mergeCell ref="N144:N145"/>
    <mergeCell ref="O144:O145"/>
    <mergeCell ref="P144:P145"/>
    <mergeCell ref="Q144:S144"/>
    <mergeCell ref="T144:T145"/>
    <mergeCell ref="I145:J145"/>
    <mergeCell ref="R143:S143"/>
    <mergeCell ref="A144:C145"/>
    <mergeCell ref="D144:D145"/>
    <mergeCell ref="E144:E145"/>
    <mergeCell ref="F144:G145"/>
    <mergeCell ref="H144:H145"/>
    <mergeCell ref="I144:J144"/>
    <mergeCell ref="K144:K145"/>
    <mergeCell ref="L144:L145"/>
    <mergeCell ref="M144:M145"/>
    <mergeCell ref="B173:C173"/>
    <mergeCell ref="D173:E174"/>
    <mergeCell ref="F173:G173"/>
    <mergeCell ref="H173:M173"/>
    <mergeCell ref="T173:U173"/>
    <mergeCell ref="B174:C174"/>
    <mergeCell ref="T174:U174"/>
    <mergeCell ref="D147:E147"/>
    <mergeCell ref="Q151:R151"/>
    <mergeCell ref="Q152:R152"/>
    <mergeCell ref="Q153:R153"/>
    <mergeCell ref="E155:F155"/>
    <mergeCell ref="H155:I155"/>
    <mergeCell ref="AB179:AC179"/>
    <mergeCell ref="J180:K180"/>
    <mergeCell ref="J184:K184"/>
    <mergeCell ref="H175:I175"/>
    <mergeCell ref="J175:K175"/>
    <mergeCell ref="L175:M175"/>
    <mergeCell ref="T175:U175"/>
    <mergeCell ref="H176:I176"/>
    <mergeCell ref="J176:K176"/>
    <mergeCell ref="L176:M176"/>
    <mergeCell ref="J185:K185"/>
    <mergeCell ref="J186:K186"/>
    <mergeCell ref="J187:K187"/>
    <mergeCell ref="J188:K188"/>
    <mergeCell ref="P188:Q188"/>
    <mergeCell ref="A191:V192"/>
    <mergeCell ref="J177:K177"/>
    <mergeCell ref="J178:K178"/>
    <mergeCell ref="J179:K179"/>
    <mergeCell ref="P194:P195"/>
    <mergeCell ref="Q194:S194"/>
    <mergeCell ref="T194:T195"/>
    <mergeCell ref="A194:C195"/>
    <mergeCell ref="F194:G195"/>
    <mergeCell ref="H194:H195"/>
    <mergeCell ref="I194:J194"/>
    <mergeCell ref="K194:K195"/>
    <mergeCell ref="L194:L195"/>
    <mergeCell ref="I195:J195"/>
    <mergeCell ref="A197:C198"/>
    <mergeCell ref="D197:D198"/>
    <mergeCell ref="E197:E198"/>
    <mergeCell ref="F197:G198"/>
    <mergeCell ref="H197:H198"/>
    <mergeCell ref="I197:J197"/>
    <mergeCell ref="M194:M195"/>
    <mergeCell ref="N194:N195"/>
    <mergeCell ref="O194:O195"/>
    <mergeCell ref="R204:S204"/>
    <mergeCell ref="R205:S205"/>
    <mergeCell ref="R206:S206"/>
    <mergeCell ref="R207:S207"/>
    <mergeCell ref="R208:S208"/>
    <mergeCell ref="R209:S209"/>
    <mergeCell ref="Q197:S197"/>
    <mergeCell ref="T197:T198"/>
    <mergeCell ref="I198:J198"/>
    <mergeCell ref="R201:S201"/>
    <mergeCell ref="R202:S202"/>
    <mergeCell ref="R203:S203"/>
    <mergeCell ref="K197:K198"/>
    <mergeCell ref="L197:L198"/>
    <mergeCell ref="M197:M198"/>
    <mergeCell ref="N197:N198"/>
    <mergeCell ref="O197:O198"/>
    <mergeCell ref="P197:P198"/>
    <mergeCell ref="P213:P214"/>
    <mergeCell ref="Q213:S213"/>
    <mergeCell ref="T213:T214"/>
    <mergeCell ref="A213:C214"/>
    <mergeCell ref="F213:G214"/>
    <mergeCell ref="H213:H214"/>
    <mergeCell ref="I213:J213"/>
    <mergeCell ref="K213:K214"/>
    <mergeCell ref="L213:L214"/>
    <mergeCell ref="I214:J214"/>
    <mergeCell ref="D216:E216"/>
    <mergeCell ref="A219:C220"/>
    <mergeCell ref="D219:D220"/>
    <mergeCell ref="E219:E220"/>
    <mergeCell ref="F219:G220"/>
    <mergeCell ref="H219:H220"/>
    <mergeCell ref="M213:M214"/>
    <mergeCell ref="N213:N214"/>
    <mergeCell ref="O213:O214"/>
    <mergeCell ref="P219:P220"/>
    <mergeCell ref="Q219:S219"/>
    <mergeCell ref="T219:T220"/>
    <mergeCell ref="I220:J220"/>
    <mergeCell ref="D222:E222"/>
    <mergeCell ref="A225:C226"/>
    <mergeCell ref="D225:D226"/>
    <mergeCell ref="E225:E226"/>
    <mergeCell ref="F225:G226"/>
    <mergeCell ref="H225:H226"/>
    <mergeCell ref="I219:J219"/>
    <mergeCell ref="K219:K220"/>
    <mergeCell ref="L219:L220"/>
    <mergeCell ref="M219:M220"/>
    <mergeCell ref="N219:N220"/>
    <mergeCell ref="O219:O220"/>
    <mergeCell ref="P225:P226"/>
    <mergeCell ref="Q225:S225"/>
    <mergeCell ref="T225:T226"/>
    <mergeCell ref="I226:J226"/>
    <mergeCell ref="D228:E228"/>
    <mergeCell ref="A231:V232"/>
    <mergeCell ref="I225:J225"/>
    <mergeCell ref="K225:K226"/>
    <mergeCell ref="L225:L226"/>
    <mergeCell ref="M225:M226"/>
    <mergeCell ref="N225:N226"/>
    <mergeCell ref="O225:O226"/>
    <mergeCell ref="Q234:S234"/>
    <mergeCell ref="T234:T235"/>
    <mergeCell ref="G235:H235"/>
    <mergeCell ref="M234:M235"/>
    <mergeCell ref="N234:N235"/>
    <mergeCell ref="O234:O235"/>
    <mergeCell ref="P234:P235"/>
    <mergeCell ref="A237:C238"/>
    <mergeCell ref="D237:E238"/>
    <mergeCell ref="F237:F238"/>
    <mergeCell ref="G237:H237"/>
    <mergeCell ref="I237:I238"/>
    <mergeCell ref="J237:J238"/>
    <mergeCell ref="K237:K238"/>
    <mergeCell ref="K234:K235"/>
    <mergeCell ref="L234:L235"/>
    <mergeCell ref="A234:C235"/>
    <mergeCell ref="D234:E235"/>
    <mergeCell ref="F234:F235"/>
    <mergeCell ref="G234:H234"/>
    <mergeCell ref="I234:I235"/>
    <mergeCell ref="J234:J235"/>
    <mergeCell ref="R245:S245"/>
    <mergeCell ref="R246:S246"/>
    <mergeCell ref="R247:S247"/>
    <mergeCell ref="R248:S248"/>
    <mergeCell ref="R249:S249"/>
    <mergeCell ref="L261:M261"/>
    <mergeCell ref="T237:T238"/>
    <mergeCell ref="G238:H238"/>
    <mergeCell ref="R241:S241"/>
    <mergeCell ref="R242:S242"/>
    <mergeCell ref="R243:S243"/>
    <mergeCell ref="R244:S244"/>
    <mergeCell ref="L237:L238"/>
    <mergeCell ref="M237:M238"/>
    <mergeCell ref="N237:N238"/>
    <mergeCell ref="O237:O238"/>
    <mergeCell ref="P237:P238"/>
    <mergeCell ref="Q237:S237"/>
    <mergeCell ref="Q262:S262"/>
    <mergeCell ref="T262:T263"/>
    <mergeCell ref="G263:H263"/>
    <mergeCell ref="D265:E265"/>
    <mergeCell ref="L268:M268"/>
    <mergeCell ref="A269:C270"/>
    <mergeCell ref="D269:E270"/>
    <mergeCell ref="F269:F270"/>
    <mergeCell ref="G269:H269"/>
    <mergeCell ref="I269:I270"/>
    <mergeCell ref="K262:K263"/>
    <mergeCell ref="L262:L263"/>
    <mergeCell ref="M262:M263"/>
    <mergeCell ref="N262:N263"/>
    <mergeCell ref="O262:O263"/>
    <mergeCell ref="P262:P263"/>
    <mergeCell ref="A262:C263"/>
    <mergeCell ref="D262:E263"/>
    <mergeCell ref="F262:F263"/>
    <mergeCell ref="G262:H262"/>
    <mergeCell ref="I262:I263"/>
    <mergeCell ref="J262:J263"/>
    <mergeCell ref="A276:C277"/>
    <mergeCell ref="D276:E277"/>
    <mergeCell ref="F276:F277"/>
    <mergeCell ref="G276:H276"/>
    <mergeCell ref="I276:I277"/>
    <mergeCell ref="J276:J277"/>
    <mergeCell ref="P269:P270"/>
    <mergeCell ref="Q269:S269"/>
    <mergeCell ref="T269:T270"/>
    <mergeCell ref="G270:H270"/>
    <mergeCell ref="D272:E272"/>
    <mergeCell ref="L275:M275"/>
    <mergeCell ref="J269:J270"/>
    <mergeCell ref="K269:K270"/>
    <mergeCell ref="L269:L270"/>
    <mergeCell ref="M269:M270"/>
    <mergeCell ref="N269:N270"/>
    <mergeCell ref="O269:O270"/>
    <mergeCell ref="Q276:S276"/>
    <mergeCell ref="T276:T277"/>
    <mergeCell ref="G277:H277"/>
    <mergeCell ref="D279:E279"/>
    <mergeCell ref="M281:N281"/>
    <mergeCell ref="Q281:R281"/>
    <mergeCell ref="K276:K277"/>
    <mergeCell ref="L276:L277"/>
    <mergeCell ref="M276:M277"/>
    <mergeCell ref="N276:N277"/>
    <mergeCell ref="O276:O277"/>
    <mergeCell ref="P276:P277"/>
    <mergeCell ref="T293:U293"/>
    <mergeCell ref="B294:C294"/>
    <mergeCell ref="T294:U294"/>
    <mergeCell ref="H295:I295"/>
    <mergeCell ref="J295:K295"/>
    <mergeCell ref="L295:M295"/>
    <mergeCell ref="T295:U295"/>
    <mergeCell ref="Q284:R284"/>
    <mergeCell ref="Q285:R285"/>
    <mergeCell ref="Q286:R286"/>
    <mergeCell ref="E288:F288"/>
    <mergeCell ref="H288:I288"/>
    <mergeCell ref="B293:C293"/>
    <mergeCell ref="D293:E294"/>
    <mergeCell ref="F293:G293"/>
    <mergeCell ref="H293:M293"/>
    <mergeCell ref="AB299:AC299"/>
    <mergeCell ref="L300:M300"/>
    <mergeCell ref="J304:K304"/>
    <mergeCell ref="J305:K305"/>
    <mergeCell ref="J306:K306"/>
    <mergeCell ref="J307:K307"/>
    <mergeCell ref="H296:I296"/>
    <mergeCell ref="J296:K296"/>
    <mergeCell ref="L296:M296"/>
    <mergeCell ref="L297:M297"/>
    <mergeCell ref="L298:M298"/>
    <mergeCell ref="L299:M299"/>
    <mergeCell ref="Q314:S314"/>
    <mergeCell ref="T314:T315"/>
    <mergeCell ref="I315:J315"/>
    <mergeCell ref="J308:K308"/>
    <mergeCell ref="P308:Q308"/>
    <mergeCell ref="A311:V312"/>
    <mergeCell ref="A314:C315"/>
    <mergeCell ref="F314:G315"/>
    <mergeCell ref="H314:H315"/>
    <mergeCell ref="I314:J314"/>
    <mergeCell ref="K314:K315"/>
    <mergeCell ref="L314:L315"/>
    <mergeCell ref="M314:M315"/>
    <mergeCell ref="A317:C318"/>
    <mergeCell ref="D317:D318"/>
    <mergeCell ref="E317:E318"/>
    <mergeCell ref="F317:G318"/>
    <mergeCell ref="H317:H318"/>
    <mergeCell ref="I317:J317"/>
    <mergeCell ref="N314:N315"/>
    <mergeCell ref="O314:O315"/>
    <mergeCell ref="P314:P315"/>
    <mergeCell ref="R324:S324"/>
    <mergeCell ref="R325:S325"/>
    <mergeCell ref="R326:S326"/>
    <mergeCell ref="R327:S327"/>
    <mergeCell ref="R328:S328"/>
    <mergeCell ref="R329:S329"/>
    <mergeCell ref="Q317:S317"/>
    <mergeCell ref="T317:T318"/>
    <mergeCell ref="I318:J318"/>
    <mergeCell ref="R321:S321"/>
    <mergeCell ref="R322:S322"/>
    <mergeCell ref="R323:S323"/>
    <mergeCell ref="K317:K318"/>
    <mergeCell ref="L317:L318"/>
    <mergeCell ref="M317:M318"/>
    <mergeCell ref="N317:N318"/>
    <mergeCell ref="O317:O318"/>
    <mergeCell ref="P317:P318"/>
    <mergeCell ref="P337:P338"/>
    <mergeCell ref="Q337:S337"/>
    <mergeCell ref="T337:T338"/>
    <mergeCell ref="A337:C338"/>
    <mergeCell ref="F337:G338"/>
    <mergeCell ref="H337:H338"/>
    <mergeCell ref="I337:J337"/>
    <mergeCell ref="K337:K338"/>
    <mergeCell ref="L337:L338"/>
    <mergeCell ref="I338:J338"/>
    <mergeCell ref="D340:E340"/>
    <mergeCell ref="A343:C344"/>
    <mergeCell ref="D343:D344"/>
    <mergeCell ref="E343:E344"/>
    <mergeCell ref="F343:G344"/>
    <mergeCell ref="H343:H344"/>
    <mergeCell ref="M337:M338"/>
    <mergeCell ref="N337:N338"/>
    <mergeCell ref="O337:O338"/>
    <mergeCell ref="P343:P344"/>
    <mergeCell ref="Q343:S343"/>
    <mergeCell ref="T343:T344"/>
    <mergeCell ref="I344:J344"/>
    <mergeCell ref="D346:E346"/>
    <mergeCell ref="A349:C350"/>
    <mergeCell ref="D349:D350"/>
    <mergeCell ref="E349:E350"/>
    <mergeCell ref="F349:G350"/>
    <mergeCell ref="H349:H350"/>
    <mergeCell ref="I343:J343"/>
    <mergeCell ref="K343:K344"/>
    <mergeCell ref="L343:L344"/>
    <mergeCell ref="M343:M344"/>
    <mergeCell ref="N343:N344"/>
    <mergeCell ref="O343:O344"/>
    <mergeCell ref="P349:P350"/>
    <mergeCell ref="Q349:S349"/>
    <mergeCell ref="T349:T350"/>
    <mergeCell ref="I350:J350"/>
    <mergeCell ref="D352:E352"/>
    <mergeCell ref="A355:V356"/>
    <mergeCell ref="I349:J349"/>
    <mergeCell ref="K349:K350"/>
    <mergeCell ref="L349:L350"/>
    <mergeCell ref="M349:M350"/>
    <mergeCell ref="N349:N350"/>
    <mergeCell ref="O349:O350"/>
    <mergeCell ref="Q358:S358"/>
    <mergeCell ref="T358:T359"/>
    <mergeCell ref="G359:H359"/>
    <mergeCell ref="M358:M359"/>
    <mergeCell ref="N358:N359"/>
    <mergeCell ref="O358:O359"/>
    <mergeCell ref="P358:P359"/>
    <mergeCell ref="A361:C362"/>
    <mergeCell ref="D361:E362"/>
    <mergeCell ref="F361:F362"/>
    <mergeCell ref="G361:H361"/>
    <mergeCell ref="I361:I362"/>
    <mergeCell ref="J361:J362"/>
    <mergeCell ref="K361:K362"/>
    <mergeCell ref="K358:K359"/>
    <mergeCell ref="L358:L359"/>
    <mergeCell ref="A358:C359"/>
    <mergeCell ref="D358:E359"/>
    <mergeCell ref="F358:F359"/>
    <mergeCell ref="G358:H358"/>
    <mergeCell ref="I358:I359"/>
    <mergeCell ref="J358:J359"/>
    <mergeCell ref="R369:S369"/>
    <mergeCell ref="R370:S370"/>
    <mergeCell ref="R371:S371"/>
    <mergeCell ref="R372:S372"/>
    <mergeCell ref="R373:S373"/>
    <mergeCell ref="L390:M390"/>
    <mergeCell ref="T361:T362"/>
    <mergeCell ref="G362:H362"/>
    <mergeCell ref="R365:S365"/>
    <mergeCell ref="R366:S366"/>
    <mergeCell ref="R367:S367"/>
    <mergeCell ref="R368:S368"/>
    <mergeCell ref="L361:L362"/>
    <mergeCell ref="M361:M362"/>
    <mergeCell ref="N361:N362"/>
    <mergeCell ref="O361:O362"/>
    <mergeCell ref="P361:P362"/>
    <mergeCell ref="Q361:S361"/>
    <mergeCell ref="Q391:S391"/>
    <mergeCell ref="T391:T392"/>
    <mergeCell ref="G392:H392"/>
    <mergeCell ref="D394:E394"/>
    <mergeCell ref="L397:M397"/>
    <mergeCell ref="A398:C399"/>
    <mergeCell ref="D398:E399"/>
    <mergeCell ref="F398:F399"/>
    <mergeCell ref="G398:H398"/>
    <mergeCell ref="I398:I399"/>
    <mergeCell ref="K391:K392"/>
    <mergeCell ref="L391:L392"/>
    <mergeCell ref="M391:M392"/>
    <mergeCell ref="N391:N392"/>
    <mergeCell ref="O391:O392"/>
    <mergeCell ref="P391:P392"/>
    <mergeCell ref="A391:C392"/>
    <mergeCell ref="D391:E392"/>
    <mergeCell ref="F391:F392"/>
    <mergeCell ref="G391:H391"/>
    <mergeCell ref="I391:I392"/>
    <mergeCell ref="J391:J392"/>
    <mergeCell ref="A405:C406"/>
    <mergeCell ref="D405:E406"/>
    <mergeCell ref="F405:F406"/>
    <mergeCell ref="G405:H405"/>
    <mergeCell ref="I405:I406"/>
    <mergeCell ref="J405:J406"/>
    <mergeCell ref="P398:P399"/>
    <mergeCell ref="Q398:S398"/>
    <mergeCell ref="T398:T399"/>
    <mergeCell ref="G399:H399"/>
    <mergeCell ref="D401:E401"/>
    <mergeCell ref="L404:M404"/>
    <mergeCell ref="J398:J399"/>
    <mergeCell ref="K398:K399"/>
    <mergeCell ref="L398:L399"/>
    <mergeCell ref="M398:M399"/>
    <mergeCell ref="N398:N399"/>
    <mergeCell ref="O398:O399"/>
    <mergeCell ref="Q405:S405"/>
    <mergeCell ref="T405:T406"/>
    <mergeCell ref="G406:H406"/>
    <mergeCell ref="D408:E408"/>
    <mergeCell ref="M410:N410"/>
    <mergeCell ref="Q410:R410"/>
    <mergeCell ref="K405:K406"/>
    <mergeCell ref="L405:L406"/>
    <mergeCell ref="M405:M406"/>
    <mergeCell ref="N405:N406"/>
    <mergeCell ref="O405:O406"/>
    <mergeCell ref="P405:P406"/>
    <mergeCell ref="Q413:R413"/>
    <mergeCell ref="Q414:R414"/>
    <mergeCell ref="Q415:R415"/>
    <mergeCell ref="E417:F417"/>
    <mergeCell ref="H417:I417"/>
    <mergeCell ref="A427:C430"/>
    <mergeCell ref="D427:F430"/>
    <mergeCell ref="G427:H430"/>
    <mergeCell ref="I427:J430"/>
    <mergeCell ref="K427:L430"/>
    <mergeCell ref="M427:N430"/>
    <mergeCell ref="O427:P430"/>
    <mergeCell ref="Q427:R430"/>
    <mergeCell ref="S427:V430"/>
    <mergeCell ref="A431:A433"/>
    <mergeCell ref="B431:C433"/>
    <mergeCell ref="D431:E431"/>
    <mergeCell ref="F431:F433"/>
    <mergeCell ref="G431:G433"/>
    <mergeCell ref="H431:H433"/>
    <mergeCell ref="D432:E432"/>
    <mergeCell ref="K432:L432"/>
    <mergeCell ref="M432:N432"/>
    <mergeCell ref="O432:P432"/>
    <mergeCell ref="S432:V432"/>
    <mergeCell ref="D433:E433"/>
    <mergeCell ref="K433:L433"/>
    <mergeCell ref="M433:N433"/>
    <mergeCell ref="O433:P433"/>
    <mergeCell ref="S433:V433"/>
    <mergeCell ref="I431:J433"/>
    <mergeCell ref="K431:L431"/>
    <mergeCell ref="M431:N431"/>
    <mergeCell ref="O431:P431"/>
    <mergeCell ref="Q431:R433"/>
    <mergeCell ref="S431:V431"/>
  </mergeCells>
  <conditionalFormatting sqref="H123:H124 H289:H290 H418:H423">
    <cfRule type="cellIs" dxfId="78" priority="2" stopIfTrue="1" operator="equal">
      <formula>"Under Dimentioned"</formula>
    </cfRule>
  </conditionalFormatting>
  <conditionalFormatting sqref="H156">
    <cfRule type="cellIs" dxfId="77" priority="1" stopIfTrue="1" operator="equal">
      <formula>"Under Dimentioned"</formula>
    </cfRule>
  </conditionalFormatting>
  <dataValidations count="1">
    <dataValidation type="list" allowBlank="1" showInputMessage="1" showErrorMessage="1" sqref="D293 IZ293 SV293 ACR293 AMN293 AWJ293 BGF293 BQB293 BZX293 CJT293 CTP293 DDL293 DNH293 DXD293 EGZ293 EQV293 FAR293 FKN293 FUJ293 GEF293 GOB293 GXX293 HHT293 HRP293 IBL293 ILH293 IVD293 JEZ293 JOV293 JYR293 KIN293 KSJ293 LCF293 LMB293 LVX293 MFT293 MPP293 MZL293 NJH293 NTD293 OCZ293 OMV293 OWR293 PGN293 PQJ293 QAF293 QKB293 QTX293 RDT293 RNP293 RXL293 SHH293 SRD293 TAZ293 TKV293 TUR293 UEN293 UOJ293 UYF293 VIB293 VRX293 WBT293 WLP293 WVL293 D65829 IZ65829 SV65829 ACR65829 AMN65829 AWJ65829 BGF65829 BQB65829 BZX65829 CJT65829 CTP65829 DDL65829 DNH65829 DXD65829 EGZ65829 EQV65829 FAR65829 FKN65829 FUJ65829 GEF65829 GOB65829 GXX65829 HHT65829 HRP65829 IBL65829 ILH65829 IVD65829 JEZ65829 JOV65829 JYR65829 KIN65829 KSJ65829 LCF65829 LMB65829 LVX65829 MFT65829 MPP65829 MZL65829 NJH65829 NTD65829 OCZ65829 OMV65829 OWR65829 PGN65829 PQJ65829 QAF65829 QKB65829 QTX65829 RDT65829 RNP65829 RXL65829 SHH65829 SRD65829 TAZ65829 TKV65829 TUR65829 UEN65829 UOJ65829 UYF65829 VIB65829 VRX65829 WBT65829 WLP65829 WVL65829 D131365 IZ131365 SV131365 ACR131365 AMN131365 AWJ131365 BGF131365 BQB131365 BZX131365 CJT131365 CTP131365 DDL131365 DNH131365 DXD131365 EGZ131365 EQV131365 FAR131365 FKN131365 FUJ131365 GEF131365 GOB131365 GXX131365 HHT131365 HRP131365 IBL131365 ILH131365 IVD131365 JEZ131365 JOV131365 JYR131365 KIN131365 KSJ131365 LCF131365 LMB131365 LVX131365 MFT131365 MPP131365 MZL131365 NJH131365 NTD131365 OCZ131365 OMV131365 OWR131365 PGN131365 PQJ131365 QAF131365 QKB131365 QTX131365 RDT131365 RNP131365 RXL131365 SHH131365 SRD131365 TAZ131365 TKV131365 TUR131365 UEN131365 UOJ131365 UYF131365 VIB131365 VRX131365 WBT131365 WLP131365 WVL131365 D196901 IZ196901 SV196901 ACR196901 AMN196901 AWJ196901 BGF196901 BQB196901 BZX196901 CJT196901 CTP196901 DDL196901 DNH196901 DXD196901 EGZ196901 EQV196901 FAR196901 FKN196901 FUJ196901 GEF196901 GOB196901 GXX196901 HHT196901 HRP196901 IBL196901 ILH196901 IVD196901 JEZ196901 JOV196901 JYR196901 KIN196901 KSJ196901 LCF196901 LMB196901 LVX196901 MFT196901 MPP196901 MZL196901 NJH196901 NTD196901 OCZ196901 OMV196901 OWR196901 PGN196901 PQJ196901 QAF196901 QKB196901 QTX196901 RDT196901 RNP196901 RXL196901 SHH196901 SRD196901 TAZ196901 TKV196901 TUR196901 UEN196901 UOJ196901 UYF196901 VIB196901 VRX196901 WBT196901 WLP196901 WVL196901 D262437 IZ262437 SV262437 ACR262437 AMN262437 AWJ262437 BGF262437 BQB262437 BZX262437 CJT262437 CTP262437 DDL262437 DNH262437 DXD262437 EGZ262437 EQV262437 FAR262437 FKN262437 FUJ262437 GEF262437 GOB262437 GXX262437 HHT262437 HRP262437 IBL262437 ILH262437 IVD262437 JEZ262437 JOV262437 JYR262437 KIN262437 KSJ262437 LCF262437 LMB262437 LVX262437 MFT262437 MPP262437 MZL262437 NJH262437 NTD262437 OCZ262437 OMV262437 OWR262437 PGN262437 PQJ262437 QAF262437 QKB262437 QTX262437 RDT262437 RNP262437 RXL262437 SHH262437 SRD262437 TAZ262437 TKV262437 TUR262437 UEN262437 UOJ262437 UYF262437 VIB262437 VRX262437 WBT262437 WLP262437 WVL262437 D327973 IZ327973 SV327973 ACR327973 AMN327973 AWJ327973 BGF327973 BQB327973 BZX327973 CJT327973 CTP327973 DDL327973 DNH327973 DXD327973 EGZ327973 EQV327973 FAR327973 FKN327973 FUJ327973 GEF327973 GOB327973 GXX327973 HHT327973 HRP327973 IBL327973 ILH327973 IVD327973 JEZ327973 JOV327973 JYR327973 KIN327973 KSJ327973 LCF327973 LMB327973 LVX327973 MFT327973 MPP327973 MZL327973 NJH327973 NTD327973 OCZ327973 OMV327973 OWR327973 PGN327973 PQJ327973 QAF327973 QKB327973 QTX327973 RDT327973 RNP327973 RXL327973 SHH327973 SRD327973 TAZ327973 TKV327973 TUR327973 UEN327973 UOJ327973 UYF327973 VIB327973 VRX327973 WBT327973 WLP327973 WVL327973 D393509 IZ393509 SV393509 ACR393509 AMN393509 AWJ393509 BGF393509 BQB393509 BZX393509 CJT393509 CTP393509 DDL393509 DNH393509 DXD393509 EGZ393509 EQV393509 FAR393509 FKN393509 FUJ393509 GEF393509 GOB393509 GXX393509 HHT393509 HRP393509 IBL393509 ILH393509 IVD393509 JEZ393509 JOV393509 JYR393509 KIN393509 KSJ393509 LCF393509 LMB393509 LVX393509 MFT393509 MPP393509 MZL393509 NJH393509 NTD393509 OCZ393509 OMV393509 OWR393509 PGN393509 PQJ393509 QAF393509 QKB393509 QTX393509 RDT393509 RNP393509 RXL393509 SHH393509 SRD393509 TAZ393509 TKV393509 TUR393509 UEN393509 UOJ393509 UYF393509 VIB393509 VRX393509 WBT393509 WLP393509 WVL393509 D459045 IZ459045 SV459045 ACR459045 AMN459045 AWJ459045 BGF459045 BQB459045 BZX459045 CJT459045 CTP459045 DDL459045 DNH459045 DXD459045 EGZ459045 EQV459045 FAR459045 FKN459045 FUJ459045 GEF459045 GOB459045 GXX459045 HHT459045 HRP459045 IBL459045 ILH459045 IVD459045 JEZ459045 JOV459045 JYR459045 KIN459045 KSJ459045 LCF459045 LMB459045 LVX459045 MFT459045 MPP459045 MZL459045 NJH459045 NTD459045 OCZ459045 OMV459045 OWR459045 PGN459045 PQJ459045 QAF459045 QKB459045 QTX459045 RDT459045 RNP459045 RXL459045 SHH459045 SRD459045 TAZ459045 TKV459045 TUR459045 UEN459045 UOJ459045 UYF459045 VIB459045 VRX459045 WBT459045 WLP459045 WVL459045 D524581 IZ524581 SV524581 ACR524581 AMN524581 AWJ524581 BGF524581 BQB524581 BZX524581 CJT524581 CTP524581 DDL524581 DNH524581 DXD524581 EGZ524581 EQV524581 FAR524581 FKN524581 FUJ524581 GEF524581 GOB524581 GXX524581 HHT524581 HRP524581 IBL524581 ILH524581 IVD524581 JEZ524581 JOV524581 JYR524581 KIN524581 KSJ524581 LCF524581 LMB524581 LVX524581 MFT524581 MPP524581 MZL524581 NJH524581 NTD524581 OCZ524581 OMV524581 OWR524581 PGN524581 PQJ524581 QAF524581 QKB524581 QTX524581 RDT524581 RNP524581 RXL524581 SHH524581 SRD524581 TAZ524581 TKV524581 TUR524581 UEN524581 UOJ524581 UYF524581 VIB524581 VRX524581 WBT524581 WLP524581 WVL524581 D590117 IZ590117 SV590117 ACR590117 AMN590117 AWJ590117 BGF590117 BQB590117 BZX590117 CJT590117 CTP590117 DDL590117 DNH590117 DXD590117 EGZ590117 EQV590117 FAR590117 FKN590117 FUJ590117 GEF590117 GOB590117 GXX590117 HHT590117 HRP590117 IBL590117 ILH590117 IVD590117 JEZ590117 JOV590117 JYR590117 KIN590117 KSJ590117 LCF590117 LMB590117 LVX590117 MFT590117 MPP590117 MZL590117 NJH590117 NTD590117 OCZ590117 OMV590117 OWR590117 PGN590117 PQJ590117 QAF590117 QKB590117 QTX590117 RDT590117 RNP590117 RXL590117 SHH590117 SRD590117 TAZ590117 TKV590117 TUR590117 UEN590117 UOJ590117 UYF590117 VIB590117 VRX590117 WBT590117 WLP590117 WVL590117 D655653 IZ655653 SV655653 ACR655653 AMN655653 AWJ655653 BGF655653 BQB655653 BZX655653 CJT655653 CTP655653 DDL655653 DNH655653 DXD655653 EGZ655653 EQV655653 FAR655653 FKN655653 FUJ655653 GEF655653 GOB655653 GXX655653 HHT655653 HRP655653 IBL655653 ILH655653 IVD655653 JEZ655653 JOV655653 JYR655653 KIN655653 KSJ655653 LCF655653 LMB655653 LVX655653 MFT655653 MPP655653 MZL655653 NJH655653 NTD655653 OCZ655653 OMV655653 OWR655653 PGN655653 PQJ655653 QAF655653 QKB655653 QTX655653 RDT655653 RNP655653 RXL655653 SHH655653 SRD655653 TAZ655653 TKV655653 TUR655653 UEN655653 UOJ655653 UYF655653 VIB655653 VRX655653 WBT655653 WLP655653 WVL655653 D721189 IZ721189 SV721189 ACR721189 AMN721189 AWJ721189 BGF721189 BQB721189 BZX721189 CJT721189 CTP721189 DDL721189 DNH721189 DXD721189 EGZ721189 EQV721189 FAR721189 FKN721189 FUJ721189 GEF721189 GOB721189 GXX721189 HHT721189 HRP721189 IBL721189 ILH721189 IVD721189 JEZ721189 JOV721189 JYR721189 KIN721189 KSJ721189 LCF721189 LMB721189 LVX721189 MFT721189 MPP721189 MZL721189 NJH721189 NTD721189 OCZ721189 OMV721189 OWR721189 PGN721189 PQJ721189 QAF721189 QKB721189 QTX721189 RDT721189 RNP721189 RXL721189 SHH721189 SRD721189 TAZ721189 TKV721189 TUR721189 UEN721189 UOJ721189 UYF721189 VIB721189 VRX721189 WBT721189 WLP721189 WVL721189 D786725 IZ786725 SV786725 ACR786725 AMN786725 AWJ786725 BGF786725 BQB786725 BZX786725 CJT786725 CTP786725 DDL786725 DNH786725 DXD786725 EGZ786725 EQV786725 FAR786725 FKN786725 FUJ786725 GEF786725 GOB786725 GXX786725 HHT786725 HRP786725 IBL786725 ILH786725 IVD786725 JEZ786725 JOV786725 JYR786725 KIN786725 KSJ786725 LCF786725 LMB786725 LVX786725 MFT786725 MPP786725 MZL786725 NJH786725 NTD786725 OCZ786725 OMV786725 OWR786725 PGN786725 PQJ786725 QAF786725 QKB786725 QTX786725 RDT786725 RNP786725 RXL786725 SHH786725 SRD786725 TAZ786725 TKV786725 TUR786725 UEN786725 UOJ786725 UYF786725 VIB786725 VRX786725 WBT786725 WLP786725 WVL786725 D852261 IZ852261 SV852261 ACR852261 AMN852261 AWJ852261 BGF852261 BQB852261 BZX852261 CJT852261 CTP852261 DDL852261 DNH852261 DXD852261 EGZ852261 EQV852261 FAR852261 FKN852261 FUJ852261 GEF852261 GOB852261 GXX852261 HHT852261 HRP852261 IBL852261 ILH852261 IVD852261 JEZ852261 JOV852261 JYR852261 KIN852261 KSJ852261 LCF852261 LMB852261 LVX852261 MFT852261 MPP852261 MZL852261 NJH852261 NTD852261 OCZ852261 OMV852261 OWR852261 PGN852261 PQJ852261 QAF852261 QKB852261 QTX852261 RDT852261 RNP852261 RXL852261 SHH852261 SRD852261 TAZ852261 TKV852261 TUR852261 UEN852261 UOJ852261 UYF852261 VIB852261 VRX852261 WBT852261 WLP852261 WVL852261 D917797 IZ917797 SV917797 ACR917797 AMN917797 AWJ917797 BGF917797 BQB917797 BZX917797 CJT917797 CTP917797 DDL917797 DNH917797 DXD917797 EGZ917797 EQV917797 FAR917797 FKN917797 FUJ917797 GEF917797 GOB917797 GXX917797 HHT917797 HRP917797 IBL917797 ILH917797 IVD917797 JEZ917797 JOV917797 JYR917797 KIN917797 KSJ917797 LCF917797 LMB917797 LVX917797 MFT917797 MPP917797 MZL917797 NJH917797 NTD917797 OCZ917797 OMV917797 OWR917797 PGN917797 PQJ917797 QAF917797 QKB917797 QTX917797 RDT917797 RNP917797 RXL917797 SHH917797 SRD917797 TAZ917797 TKV917797 TUR917797 UEN917797 UOJ917797 UYF917797 VIB917797 VRX917797 WBT917797 WLP917797 WVL917797 D983333 IZ983333 SV983333 ACR983333 AMN983333 AWJ983333 BGF983333 BQB983333 BZX983333 CJT983333 CTP983333 DDL983333 DNH983333 DXD983333 EGZ983333 EQV983333 FAR983333 FKN983333 FUJ983333 GEF983333 GOB983333 GXX983333 HHT983333 HRP983333 IBL983333 ILH983333 IVD983333 JEZ983333 JOV983333 JYR983333 KIN983333 KSJ983333 LCF983333 LMB983333 LVX983333 MFT983333 MPP983333 MZL983333 NJH983333 NTD983333 OCZ983333 OMV983333 OWR983333 PGN983333 PQJ983333 QAF983333 QKB983333 QTX983333 RDT983333 RNP983333 RXL983333 SHH983333 SRD983333 TAZ983333 TKV983333 TUR983333 UEN983333 UOJ983333 UYF983333 VIB983333 VRX983333 WBT983333 WLP983333 WVL983333 D173 IZ173 SV173 ACR173 AMN173 AWJ173 BGF173 BQB173 BZX173 CJT173 CTP173 DDL173 DNH173 DXD173 EGZ173 EQV173 FAR173 FKN173 FUJ173 GEF173 GOB173 GXX173 HHT173 HRP173 IBL173 ILH173 IVD173 JEZ173 JOV173 JYR173 KIN173 KSJ173 LCF173 LMB173 LVX173 MFT173 MPP173 MZL173 NJH173 NTD173 OCZ173 OMV173 OWR173 PGN173 PQJ173 QAF173 QKB173 QTX173 RDT173 RNP173 RXL173 SHH173 SRD173 TAZ173 TKV173 TUR173 UEN173 UOJ173 UYF173 VIB173 VRX173 WBT173 WLP173 WVL173 D65709 IZ65709 SV65709 ACR65709 AMN65709 AWJ65709 BGF65709 BQB65709 BZX65709 CJT65709 CTP65709 DDL65709 DNH65709 DXD65709 EGZ65709 EQV65709 FAR65709 FKN65709 FUJ65709 GEF65709 GOB65709 GXX65709 HHT65709 HRP65709 IBL65709 ILH65709 IVD65709 JEZ65709 JOV65709 JYR65709 KIN65709 KSJ65709 LCF65709 LMB65709 LVX65709 MFT65709 MPP65709 MZL65709 NJH65709 NTD65709 OCZ65709 OMV65709 OWR65709 PGN65709 PQJ65709 QAF65709 QKB65709 QTX65709 RDT65709 RNP65709 RXL65709 SHH65709 SRD65709 TAZ65709 TKV65709 TUR65709 UEN65709 UOJ65709 UYF65709 VIB65709 VRX65709 WBT65709 WLP65709 WVL65709 D131245 IZ131245 SV131245 ACR131245 AMN131245 AWJ131245 BGF131245 BQB131245 BZX131245 CJT131245 CTP131245 DDL131245 DNH131245 DXD131245 EGZ131245 EQV131245 FAR131245 FKN131245 FUJ131245 GEF131245 GOB131245 GXX131245 HHT131245 HRP131245 IBL131245 ILH131245 IVD131245 JEZ131245 JOV131245 JYR131245 KIN131245 KSJ131245 LCF131245 LMB131245 LVX131245 MFT131245 MPP131245 MZL131245 NJH131245 NTD131245 OCZ131245 OMV131245 OWR131245 PGN131245 PQJ131245 QAF131245 QKB131245 QTX131245 RDT131245 RNP131245 RXL131245 SHH131245 SRD131245 TAZ131245 TKV131245 TUR131245 UEN131245 UOJ131245 UYF131245 VIB131245 VRX131245 WBT131245 WLP131245 WVL131245 D196781 IZ196781 SV196781 ACR196781 AMN196781 AWJ196781 BGF196781 BQB196781 BZX196781 CJT196781 CTP196781 DDL196781 DNH196781 DXD196781 EGZ196781 EQV196781 FAR196781 FKN196781 FUJ196781 GEF196781 GOB196781 GXX196781 HHT196781 HRP196781 IBL196781 ILH196781 IVD196781 JEZ196781 JOV196781 JYR196781 KIN196781 KSJ196781 LCF196781 LMB196781 LVX196781 MFT196781 MPP196781 MZL196781 NJH196781 NTD196781 OCZ196781 OMV196781 OWR196781 PGN196781 PQJ196781 QAF196781 QKB196781 QTX196781 RDT196781 RNP196781 RXL196781 SHH196781 SRD196781 TAZ196781 TKV196781 TUR196781 UEN196781 UOJ196781 UYF196781 VIB196781 VRX196781 WBT196781 WLP196781 WVL196781 D262317 IZ262317 SV262317 ACR262317 AMN262317 AWJ262317 BGF262317 BQB262317 BZX262317 CJT262317 CTP262317 DDL262317 DNH262317 DXD262317 EGZ262317 EQV262317 FAR262317 FKN262317 FUJ262317 GEF262317 GOB262317 GXX262317 HHT262317 HRP262317 IBL262317 ILH262317 IVD262317 JEZ262317 JOV262317 JYR262317 KIN262317 KSJ262317 LCF262317 LMB262317 LVX262317 MFT262317 MPP262317 MZL262317 NJH262317 NTD262317 OCZ262317 OMV262317 OWR262317 PGN262317 PQJ262317 QAF262317 QKB262317 QTX262317 RDT262317 RNP262317 RXL262317 SHH262317 SRD262317 TAZ262317 TKV262317 TUR262317 UEN262317 UOJ262317 UYF262317 VIB262317 VRX262317 WBT262317 WLP262317 WVL262317 D327853 IZ327853 SV327853 ACR327853 AMN327853 AWJ327853 BGF327853 BQB327853 BZX327853 CJT327853 CTP327853 DDL327853 DNH327853 DXD327853 EGZ327853 EQV327853 FAR327853 FKN327853 FUJ327853 GEF327853 GOB327853 GXX327853 HHT327853 HRP327853 IBL327853 ILH327853 IVD327853 JEZ327853 JOV327853 JYR327853 KIN327853 KSJ327853 LCF327853 LMB327853 LVX327853 MFT327853 MPP327853 MZL327853 NJH327853 NTD327853 OCZ327853 OMV327853 OWR327853 PGN327853 PQJ327853 QAF327853 QKB327853 QTX327853 RDT327853 RNP327853 RXL327853 SHH327853 SRD327853 TAZ327853 TKV327853 TUR327853 UEN327853 UOJ327853 UYF327853 VIB327853 VRX327853 WBT327853 WLP327853 WVL327853 D393389 IZ393389 SV393389 ACR393389 AMN393389 AWJ393389 BGF393389 BQB393389 BZX393389 CJT393389 CTP393389 DDL393389 DNH393389 DXD393389 EGZ393389 EQV393389 FAR393389 FKN393389 FUJ393389 GEF393389 GOB393389 GXX393389 HHT393389 HRP393389 IBL393389 ILH393389 IVD393389 JEZ393389 JOV393389 JYR393389 KIN393389 KSJ393389 LCF393389 LMB393389 LVX393389 MFT393389 MPP393389 MZL393389 NJH393389 NTD393389 OCZ393389 OMV393389 OWR393389 PGN393389 PQJ393389 QAF393389 QKB393389 QTX393389 RDT393389 RNP393389 RXL393389 SHH393389 SRD393389 TAZ393389 TKV393389 TUR393389 UEN393389 UOJ393389 UYF393389 VIB393389 VRX393389 WBT393389 WLP393389 WVL393389 D458925 IZ458925 SV458925 ACR458925 AMN458925 AWJ458925 BGF458925 BQB458925 BZX458925 CJT458925 CTP458925 DDL458925 DNH458925 DXD458925 EGZ458925 EQV458925 FAR458925 FKN458925 FUJ458925 GEF458925 GOB458925 GXX458925 HHT458925 HRP458925 IBL458925 ILH458925 IVD458925 JEZ458925 JOV458925 JYR458925 KIN458925 KSJ458925 LCF458925 LMB458925 LVX458925 MFT458925 MPP458925 MZL458925 NJH458925 NTD458925 OCZ458925 OMV458925 OWR458925 PGN458925 PQJ458925 QAF458925 QKB458925 QTX458925 RDT458925 RNP458925 RXL458925 SHH458925 SRD458925 TAZ458925 TKV458925 TUR458925 UEN458925 UOJ458925 UYF458925 VIB458925 VRX458925 WBT458925 WLP458925 WVL458925 D524461 IZ524461 SV524461 ACR524461 AMN524461 AWJ524461 BGF524461 BQB524461 BZX524461 CJT524461 CTP524461 DDL524461 DNH524461 DXD524461 EGZ524461 EQV524461 FAR524461 FKN524461 FUJ524461 GEF524461 GOB524461 GXX524461 HHT524461 HRP524461 IBL524461 ILH524461 IVD524461 JEZ524461 JOV524461 JYR524461 KIN524461 KSJ524461 LCF524461 LMB524461 LVX524461 MFT524461 MPP524461 MZL524461 NJH524461 NTD524461 OCZ524461 OMV524461 OWR524461 PGN524461 PQJ524461 QAF524461 QKB524461 QTX524461 RDT524461 RNP524461 RXL524461 SHH524461 SRD524461 TAZ524461 TKV524461 TUR524461 UEN524461 UOJ524461 UYF524461 VIB524461 VRX524461 WBT524461 WLP524461 WVL524461 D589997 IZ589997 SV589997 ACR589997 AMN589997 AWJ589997 BGF589997 BQB589997 BZX589997 CJT589997 CTP589997 DDL589997 DNH589997 DXD589997 EGZ589997 EQV589997 FAR589997 FKN589997 FUJ589997 GEF589997 GOB589997 GXX589997 HHT589997 HRP589997 IBL589997 ILH589997 IVD589997 JEZ589997 JOV589997 JYR589997 KIN589997 KSJ589997 LCF589997 LMB589997 LVX589997 MFT589997 MPP589997 MZL589997 NJH589997 NTD589997 OCZ589997 OMV589997 OWR589997 PGN589997 PQJ589997 QAF589997 QKB589997 QTX589997 RDT589997 RNP589997 RXL589997 SHH589997 SRD589997 TAZ589997 TKV589997 TUR589997 UEN589997 UOJ589997 UYF589997 VIB589997 VRX589997 WBT589997 WLP589997 WVL589997 D655533 IZ655533 SV655533 ACR655533 AMN655533 AWJ655533 BGF655533 BQB655533 BZX655533 CJT655533 CTP655533 DDL655533 DNH655533 DXD655533 EGZ655533 EQV655533 FAR655533 FKN655533 FUJ655533 GEF655533 GOB655533 GXX655533 HHT655533 HRP655533 IBL655533 ILH655533 IVD655533 JEZ655533 JOV655533 JYR655533 KIN655533 KSJ655533 LCF655533 LMB655533 LVX655533 MFT655533 MPP655533 MZL655533 NJH655533 NTD655533 OCZ655533 OMV655533 OWR655533 PGN655533 PQJ655533 QAF655533 QKB655533 QTX655533 RDT655533 RNP655533 RXL655533 SHH655533 SRD655533 TAZ655533 TKV655533 TUR655533 UEN655533 UOJ655533 UYF655533 VIB655533 VRX655533 WBT655533 WLP655533 WVL655533 D721069 IZ721069 SV721069 ACR721069 AMN721069 AWJ721069 BGF721069 BQB721069 BZX721069 CJT721069 CTP721069 DDL721069 DNH721069 DXD721069 EGZ721069 EQV721069 FAR721069 FKN721069 FUJ721069 GEF721069 GOB721069 GXX721069 HHT721069 HRP721069 IBL721069 ILH721069 IVD721069 JEZ721069 JOV721069 JYR721069 KIN721069 KSJ721069 LCF721069 LMB721069 LVX721069 MFT721069 MPP721069 MZL721069 NJH721069 NTD721069 OCZ721069 OMV721069 OWR721069 PGN721069 PQJ721069 QAF721069 QKB721069 QTX721069 RDT721069 RNP721069 RXL721069 SHH721069 SRD721069 TAZ721069 TKV721069 TUR721069 UEN721069 UOJ721069 UYF721069 VIB721069 VRX721069 WBT721069 WLP721069 WVL721069 D786605 IZ786605 SV786605 ACR786605 AMN786605 AWJ786605 BGF786605 BQB786605 BZX786605 CJT786605 CTP786605 DDL786605 DNH786605 DXD786605 EGZ786605 EQV786605 FAR786605 FKN786605 FUJ786605 GEF786605 GOB786605 GXX786605 HHT786605 HRP786605 IBL786605 ILH786605 IVD786605 JEZ786605 JOV786605 JYR786605 KIN786605 KSJ786605 LCF786605 LMB786605 LVX786605 MFT786605 MPP786605 MZL786605 NJH786605 NTD786605 OCZ786605 OMV786605 OWR786605 PGN786605 PQJ786605 QAF786605 QKB786605 QTX786605 RDT786605 RNP786605 RXL786605 SHH786605 SRD786605 TAZ786605 TKV786605 TUR786605 UEN786605 UOJ786605 UYF786605 VIB786605 VRX786605 WBT786605 WLP786605 WVL786605 D852141 IZ852141 SV852141 ACR852141 AMN852141 AWJ852141 BGF852141 BQB852141 BZX852141 CJT852141 CTP852141 DDL852141 DNH852141 DXD852141 EGZ852141 EQV852141 FAR852141 FKN852141 FUJ852141 GEF852141 GOB852141 GXX852141 HHT852141 HRP852141 IBL852141 ILH852141 IVD852141 JEZ852141 JOV852141 JYR852141 KIN852141 KSJ852141 LCF852141 LMB852141 LVX852141 MFT852141 MPP852141 MZL852141 NJH852141 NTD852141 OCZ852141 OMV852141 OWR852141 PGN852141 PQJ852141 QAF852141 QKB852141 QTX852141 RDT852141 RNP852141 RXL852141 SHH852141 SRD852141 TAZ852141 TKV852141 TUR852141 UEN852141 UOJ852141 UYF852141 VIB852141 VRX852141 WBT852141 WLP852141 WVL852141 D917677 IZ917677 SV917677 ACR917677 AMN917677 AWJ917677 BGF917677 BQB917677 BZX917677 CJT917677 CTP917677 DDL917677 DNH917677 DXD917677 EGZ917677 EQV917677 FAR917677 FKN917677 FUJ917677 GEF917677 GOB917677 GXX917677 HHT917677 HRP917677 IBL917677 ILH917677 IVD917677 JEZ917677 JOV917677 JYR917677 KIN917677 KSJ917677 LCF917677 LMB917677 LVX917677 MFT917677 MPP917677 MZL917677 NJH917677 NTD917677 OCZ917677 OMV917677 OWR917677 PGN917677 PQJ917677 QAF917677 QKB917677 QTX917677 RDT917677 RNP917677 RXL917677 SHH917677 SRD917677 TAZ917677 TKV917677 TUR917677 UEN917677 UOJ917677 UYF917677 VIB917677 VRX917677 WBT917677 WLP917677 WVL917677 D983213 IZ983213 SV983213 ACR983213 AMN983213 AWJ983213 BGF983213 BQB983213 BZX983213 CJT983213 CTP983213 DDL983213 DNH983213 DXD983213 EGZ983213 EQV983213 FAR983213 FKN983213 FUJ983213 GEF983213 GOB983213 GXX983213 HHT983213 HRP983213 IBL983213 ILH983213 IVD983213 JEZ983213 JOV983213 JYR983213 KIN983213 KSJ983213 LCF983213 LMB983213 LVX983213 MFT983213 MPP983213 MZL983213 NJH983213 NTD983213 OCZ983213 OMV983213 OWR983213 PGN983213 PQJ983213 QAF983213 QKB983213 QTX983213 RDT983213 RNP983213 RXL983213 SHH983213 SRD983213 TAZ983213 TKV983213 TUR983213 UEN983213 UOJ983213 UYF983213 VIB983213 VRX983213 WBT983213 WLP983213 WVL983213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WVL983047" xr:uid="{4AB6E26D-56BA-4018-A333-13DE92167966}">
      <formula1>"Core1,Core2,Core3"</formula1>
    </dataValidation>
  </dataValidations>
  <printOptions horizontalCentered="1" verticalCentered="1"/>
  <pageMargins left="0.5" right="0.5" top="0.5" bottom="0.5" header="0" footer="0"/>
  <pageSetup paperSize="9" orientation="portrait" r:id="rId1"/>
  <headerFooter alignWithMargins="0"/>
  <rowBreaks count="3" manualBreakCount="3">
    <brk id="45" max="21" man="1"/>
    <brk id="85" max="21" man="1"/>
    <brk id="125" max="21"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A7CB6-DBD8-4A63-A92F-80F9B3653105}">
  <sheetPr codeName="Sheet162"/>
  <dimension ref="A1:AC891"/>
  <sheetViews>
    <sheetView showZeros="0" view="pageBreakPreview" topLeftCell="A18" zoomScale="149" zoomScaleNormal="100" zoomScaleSheetLayoutView="130" workbookViewId="0">
      <selection activeCell="I111" sqref="I111"/>
    </sheetView>
  </sheetViews>
  <sheetFormatPr defaultColWidth="4.33203125" defaultRowHeight="18" customHeight="1"/>
  <cols>
    <col min="1" max="6" width="4.33203125" style="30"/>
    <col min="7" max="8" width="4.33203125" style="30" customWidth="1"/>
    <col min="9" max="15" width="4.33203125" style="30"/>
    <col min="16" max="16" width="4.33203125" style="30" customWidth="1"/>
    <col min="17"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29"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05" t="str">
        <f>Title!R1</f>
        <v>N-19957.1-DF5W</v>
      </c>
      <c r="S1" s="706"/>
      <c r="T1" s="706"/>
      <c r="U1" s="706"/>
      <c r="V1" s="707"/>
      <c r="W1" s="14"/>
      <c r="X1" s="14"/>
    </row>
    <row r="2" spans="1:29" ht="18" customHeight="1">
      <c r="A2" s="720"/>
      <c r="B2" s="721"/>
      <c r="C2" s="721"/>
      <c r="D2" s="721"/>
      <c r="E2" s="721"/>
      <c r="F2" s="721"/>
      <c r="G2" s="722"/>
      <c r="H2" s="729" t="str">
        <f>Title!H2</f>
        <v>ADEQUACY CHECK</v>
      </c>
      <c r="I2" s="730"/>
      <c r="J2" s="730"/>
      <c r="K2" s="730"/>
      <c r="L2" s="730"/>
      <c r="M2" s="730"/>
      <c r="N2" s="731"/>
      <c r="O2" s="702" t="str">
        <f>Title!O2</f>
        <v>Date</v>
      </c>
      <c r="P2" s="703"/>
      <c r="Q2" s="704"/>
      <c r="R2" s="732">
        <f>Title!R2</f>
        <v>46106</v>
      </c>
      <c r="S2" s="706"/>
      <c r="T2" s="706"/>
      <c r="U2" s="706"/>
      <c r="V2" s="707"/>
      <c r="W2" s="14"/>
      <c r="X2" s="14"/>
    </row>
    <row r="3" spans="1:29" ht="22.2"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8" t="str">
        <f>Title!R3</f>
        <v>-</v>
      </c>
      <c r="S3" s="710"/>
      <c r="T3" s="710"/>
      <c r="U3" s="710"/>
      <c r="V3" s="709"/>
      <c r="W3" s="14"/>
      <c r="X3" s="14"/>
    </row>
    <row r="4" spans="1:29"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14"/>
      <c r="X4" s="14"/>
    </row>
    <row r="5" spans="1:29" ht="18" customHeight="1">
      <c r="A5" s="708" t="str">
        <f>Title!A5</f>
        <v>Prep. By</v>
      </c>
      <c r="B5" s="709"/>
      <c r="C5" s="25" t="str">
        <f>Title!C5</f>
        <v>AP</v>
      </c>
      <c r="D5" s="708" t="str">
        <f>Title!D5</f>
        <v>Checked By</v>
      </c>
      <c r="E5" s="710"/>
      <c r="F5" s="709"/>
      <c r="G5" s="25" t="str">
        <f>Title!G5</f>
        <v>RB</v>
      </c>
      <c r="H5" s="711" t="s">
        <v>604</v>
      </c>
      <c r="I5" s="712"/>
      <c r="J5" s="712"/>
      <c r="K5" s="712"/>
      <c r="L5" s="712"/>
      <c r="M5" s="712"/>
      <c r="N5" s="713"/>
      <c r="O5" s="714" t="str">
        <f>Title!O5</f>
        <v>Contractor</v>
      </c>
      <c r="P5" s="715"/>
      <c r="Q5" s="716"/>
      <c r="R5" s="705" t="str">
        <f>Title!R5</f>
        <v>HITACHI</v>
      </c>
      <c r="S5" s="706"/>
      <c r="T5" s="706"/>
      <c r="U5" s="706"/>
      <c r="V5" s="707"/>
      <c r="W5" s="14"/>
      <c r="X5" s="14"/>
    </row>
    <row r="6" spans="1:29" ht="18" customHeight="1">
      <c r="A6" s="196"/>
      <c r="V6" s="197"/>
    </row>
    <row r="7" spans="1:29" ht="18" customHeight="1">
      <c r="A7" s="196"/>
      <c r="B7" s="696" t="s">
        <v>120</v>
      </c>
      <c r="C7" s="697"/>
      <c r="D7" s="696" t="s">
        <v>396</v>
      </c>
      <c r="E7" s="697"/>
      <c r="F7" s="198"/>
      <c r="H7" s="639" t="s">
        <v>605</v>
      </c>
      <c r="I7" s="638"/>
      <c r="J7" s="638"/>
      <c r="K7" s="638"/>
      <c r="L7" s="638"/>
      <c r="M7" s="638"/>
      <c r="N7" s="638"/>
      <c r="P7" s="198"/>
      <c r="S7" s="199" t="s">
        <v>398</v>
      </c>
      <c r="T7" s="656" t="s">
        <v>606</v>
      </c>
      <c r="U7" s="657"/>
      <c r="V7" s="197"/>
      <c r="W7" s="30" t="s">
        <v>607</v>
      </c>
    </row>
    <row r="8" spans="1:29" ht="18" customHeight="1">
      <c r="A8" s="196"/>
      <c r="B8" s="654"/>
      <c r="C8" s="655"/>
      <c r="D8" s="656"/>
      <c r="E8" s="657"/>
      <c r="F8" s="198"/>
      <c r="T8" s="656"/>
      <c r="U8" s="657"/>
      <c r="V8" s="197"/>
      <c r="W8" s="30" t="s">
        <v>608</v>
      </c>
    </row>
    <row r="9" spans="1:29" ht="18" customHeight="1">
      <c r="A9" s="196"/>
      <c r="H9" s="662" t="s">
        <v>401</v>
      </c>
      <c r="I9" s="662"/>
      <c r="J9" s="701" t="s">
        <v>402</v>
      </c>
      <c r="K9" s="701"/>
      <c r="L9" s="701" t="s">
        <v>403</v>
      </c>
      <c r="M9" s="701"/>
      <c r="T9" s="656"/>
      <c r="U9" s="657"/>
      <c r="V9" s="197"/>
      <c r="W9" s="30" t="s">
        <v>609</v>
      </c>
    </row>
    <row r="10" spans="1:29" ht="18" customHeight="1">
      <c r="A10" s="196"/>
      <c r="B10" s="47" t="s">
        <v>404</v>
      </c>
      <c r="H10" s="692">
        <v>2500</v>
      </c>
      <c r="I10" s="693"/>
      <c r="J10" s="656" t="s">
        <v>7</v>
      </c>
      <c r="K10" s="657"/>
      <c r="L10" s="656" t="s">
        <v>7</v>
      </c>
      <c r="M10" s="657"/>
      <c r="N10" s="203" t="s">
        <v>353</v>
      </c>
      <c r="O10" s="125">
        <v>1</v>
      </c>
      <c r="P10" s="27" t="s">
        <v>9</v>
      </c>
      <c r="V10" s="197"/>
    </row>
    <row r="11" spans="1:29" ht="18" customHeight="1">
      <c r="A11" s="196"/>
      <c r="B11" s="47" t="s">
        <v>405</v>
      </c>
      <c r="H11" s="656" t="s">
        <v>406</v>
      </c>
      <c r="I11" s="657"/>
      <c r="V11" s="197"/>
    </row>
    <row r="12" spans="1:29" ht="18" customHeight="1">
      <c r="A12" s="196"/>
      <c r="B12" s="47" t="s">
        <v>407</v>
      </c>
      <c r="G12" s="120" t="s">
        <v>408</v>
      </c>
      <c r="H12" s="656">
        <v>10</v>
      </c>
      <c r="I12" s="657"/>
      <c r="J12" s="204" t="s">
        <v>344</v>
      </c>
      <c r="M12" s="14"/>
      <c r="V12" s="197"/>
    </row>
    <row r="13" spans="1:29" ht="18" customHeight="1">
      <c r="A13" s="196"/>
      <c r="B13" s="47" t="s">
        <v>409</v>
      </c>
      <c r="G13" s="120" t="s">
        <v>509</v>
      </c>
      <c r="H13" s="656">
        <v>400</v>
      </c>
      <c r="I13" s="657"/>
      <c r="J13" s="14" t="s">
        <v>316</v>
      </c>
      <c r="V13" s="197"/>
      <c r="W13" s="30" t="s">
        <v>411</v>
      </c>
      <c r="AB13" s="996">
        <f>Q107</f>
        <v>192.84536021188657</v>
      </c>
      <c r="AC13" s="997"/>
    </row>
    <row r="14" spans="1:29" ht="18" customHeight="1">
      <c r="A14" s="196"/>
      <c r="B14" s="14" t="s">
        <v>412</v>
      </c>
      <c r="G14" s="120" t="s">
        <v>413</v>
      </c>
      <c r="H14" s="656">
        <v>50</v>
      </c>
      <c r="I14" s="657"/>
      <c r="J14" s="14" t="s">
        <v>414</v>
      </c>
      <c r="M14" s="14"/>
      <c r="V14" s="197"/>
    </row>
    <row r="15" spans="1:29" ht="18" customHeight="1">
      <c r="A15" s="196"/>
      <c r="B15" s="14"/>
      <c r="V15" s="197"/>
    </row>
    <row r="16" spans="1:29" ht="18" customHeight="1">
      <c r="A16" s="205" t="s">
        <v>415</v>
      </c>
      <c r="V16" s="197"/>
    </row>
    <row r="17" spans="1:22" ht="18" customHeight="1">
      <c r="A17" s="196"/>
      <c r="V17" s="197"/>
    </row>
    <row r="18" spans="1:22" ht="18" customHeight="1">
      <c r="A18" s="196"/>
      <c r="B18" s="206" t="s">
        <v>416</v>
      </c>
      <c r="C18" s="207"/>
      <c r="D18" s="207" t="str">
        <f>T7</f>
        <v>RET670</v>
      </c>
      <c r="E18" s="208"/>
      <c r="F18" s="208"/>
      <c r="G18" s="208"/>
      <c r="H18" s="194" t="s">
        <v>417</v>
      </c>
      <c r="I18" s="195" t="s">
        <v>138</v>
      </c>
      <c r="J18" s="1123">
        <f>'CT-VT Burdens'!Q48</f>
        <v>0.02</v>
      </c>
      <c r="K18" s="685"/>
      <c r="L18" s="3" t="s">
        <v>168</v>
      </c>
      <c r="N18" s="209" t="s">
        <v>418</v>
      </c>
      <c r="V18" s="197"/>
    </row>
    <row r="19" spans="1:22" ht="18" customHeight="1">
      <c r="A19" s="196"/>
      <c r="B19" s="96" t="s">
        <v>416</v>
      </c>
      <c r="D19" s="30">
        <f>T8</f>
        <v>0</v>
      </c>
      <c r="H19" s="27"/>
      <c r="I19" s="189" t="s">
        <v>138</v>
      </c>
      <c r="J19" s="1121"/>
      <c r="K19" s="687"/>
      <c r="L19" s="210" t="s">
        <v>168</v>
      </c>
      <c r="V19" s="197"/>
    </row>
    <row r="20" spans="1:22" ht="18" customHeight="1">
      <c r="A20" s="196"/>
      <c r="B20" s="96" t="s">
        <v>416</v>
      </c>
      <c r="D20" s="30">
        <f>T9</f>
        <v>0</v>
      </c>
      <c r="E20" s="14"/>
      <c r="G20" s="211"/>
      <c r="H20" s="27"/>
      <c r="I20" s="189" t="s">
        <v>138</v>
      </c>
      <c r="J20" s="688"/>
      <c r="K20" s="689"/>
      <c r="L20" s="214" t="s">
        <v>168</v>
      </c>
      <c r="N20" s="27" t="s">
        <v>419</v>
      </c>
      <c r="O20" s="27" t="s">
        <v>138</v>
      </c>
      <c r="P20" s="27" t="s">
        <v>420</v>
      </c>
      <c r="Q20" s="203" t="s">
        <v>421</v>
      </c>
      <c r="R20" s="27" t="s">
        <v>422</v>
      </c>
      <c r="S20" s="27" t="s">
        <v>326</v>
      </c>
      <c r="T20" s="27" t="s">
        <v>422</v>
      </c>
      <c r="U20" s="30" t="s">
        <v>361</v>
      </c>
      <c r="V20" s="197"/>
    </row>
    <row r="21" spans="1:22" ht="18" customHeight="1">
      <c r="A21" s="196"/>
      <c r="B21" s="196" t="s">
        <v>423</v>
      </c>
      <c r="H21" s="27" t="s">
        <v>610</v>
      </c>
      <c r="I21" s="189" t="s">
        <v>138</v>
      </c>
      <c r="J21" s="999">
        <f>'CT-VT Burdens'!S22</f>
        <v>1.44186744</v>
      </c>
      <c r="K21" s="1122"/>
      <c r="L21" s="215" t="s">
        <v>168</v>
      </c>
      <c r="O21" s="27" t="s">
        <v>138</v>
      </c>
      <c r="P21" s="216">
        <f>J22</f>
        <v>1.46186744</v>
      </c>
      <c r="Q21" s="203" t="s">
        <v>421</v>
      </c>
      <c r="R21" s="27">
        <f>O10</f>
        <v>1</v>
      </c>
      <c r="S21" s="27" t="s">
        <v>326</v>
      </c>
      <c r="T21" s="27">
        <f>O10</f>
        <v>1</v>
      </c>
      <c r="U21" s="30" t="s">
        <v>361</v>
      </c>
      <c r="V21" s="197"/>
    </row>
    <row r="22" spans="1:22" ht="18" customHeight="1">
      <c r="A22" s="196"/>
      <c r="B22" s="217" t="s">
        <v>424</v>
      </c>
      <c r="C22" s="218"/>
      <c r="D22" s="218"/>
      <c r="E22" s="218"/>
      <c r="F22" s="219"/>
      <c r="G22" s="219"/>
      <c r="H22" s="202" t="s">
        <v>420</v>
      </c>
      <c r="I22" s="220" t="s">
        <v>138</v>
      </c>
      <c r="J22" s="897">
        <f>J18+J21</f>
        <v>1.46186744</v>
      </c>
      <c r="K22" s="649"/>
      <c r="L22" s="222" t="s">
        <v>168</v>
      </c>
      <c r="O22" s="27" t="s">
        <v>138</v>
      </c>
      <c r="P22" s="637">
        <f>P21/(R21*T21)</f>
        <v>1.46186744</v>
      </c>
      <c r="Q22" s="637"/>
      <c r="R22" s="204" t="s">
        <v>344</v>
      </c>
      <c r="V22" s="197"/>
    </row>
    <row r="23" spans="1:22" ht="18" customHeight="1">
      <c r="A23" s="196"/>
      <c r="V23" s="197"/>
    </row>
    <row r="24" spans="1:22" s="14" customFormat="1" ht="18" customHeight="1">
      <c r="A24" s="205" t="s">
        <v>611</v>
      </c>
      <c r="B24" s="5"/>
      <c r="C24" s="5"/>
      <c r="D24" s="5"/>
      <c r="E24" s="5"/>
      <c r="F24" s="5"/>
      <c r="G24" s="5"/>
      <c r="H24" s="224"/>
      <c r="I24" s="224"/>
      <c r="J24" s="5"/>
      <c r="K24" s="5"/>
      <c r="L24" s="5"/>
      <c r="M24" s="5"/>
      <c r="N24" s="5"/>
      <c r="O24" s="5"/>
      <c r="P24" s="103"/>
      <c r="Q24" s="224"/>
      <c r="R24" s="225"/>
      <c r="S24" s="226"/>
      <c r="T24" s="18"/>
      <c r="U24" s="18"/>
      <c r="V24" s="97"/>
    </row>
    <row r="25" spans="1:22" s="14" customFormat="1" ht="18" customHeight="1">
      <c r="A25" s="96"/>
      <c r="B25" s="47" t="s">
        <v>612</v>
      </c>
      <c r="C25" s="5"/>
      <c r="D25" s="5"/>
      <c r="E25" s="5"/>
      <c r="I25" s="227"/>
      <c r="M25" s="5"/>
      <c r="O25" s="103" t="s">
        <v>138</v>
      </c>
      <c r="P25" s="894">
        <v>100</v>
      </c>
      <c r="Q25" s="1120"/>
      <c r="R25" s="14" t="s">
        <v>613</v>
      </c>
      <c r="S25" s="226"/>
      <c r="T25" s="18"/>
      <c r="U25" s="18"/>
      <c r="V25" s="97"/>
    </row>
    <row r="26" spans="1:22" s="14" customFormat="1" ht="18" customHeight="1">
      <c r="A26" s="96"/>
      <c r="B26" s="47" t="s">
        <v>614</v>
      </c>
      <c r="C26" s="5"/>
      <c r="D26" s="5"/>
      <c r="E26" s="5"/>
      <c r="I26" s="227"/>
      <c r="M26" s="5"/>
      <c r="O26" s="103" t="s">
        <v>138</v>
      </c>
      <c r="P26" s="894">
        <v>25</v>
      </c>
      <c r="Q26" s="1120"/>
      <c r="R26" s="14" t="s">
        <v>615</v>
      </c>
      <c r="S26" s="226"/>
      <c r="T26" s="18"/>
      <c r="V26" s="97"/>
    </row>
    <row r="27" spans="1:22" s="14" customFormat="1" ht="18" customHeight="1">
      <c r="A27" s="96"/>
      <c r="B27" s="47" t="s">
        <v>616</v>
      </c>
      <c r="C27" s="5"/>
      <c r="D27" s="5"/>
      <c r="E27" s="5"/>
      <c r="N27" s="120" t="s">
        <v>617</v>
      </c>
      <c r="O27" s="103" t="s">
        <v>618</v>
      </c>
      <c r="P27" s="650">
        <v>33</v>
      </c>
      <c r="Q27" s="1080"/>
      <c r="R27" s="14" t="s">
        <v>174</v>
      </c>
      <c r="S27" s="226"/>
      <c r="T27" s="18"/>
      <c r="U27" s="18"/>
      <c r="V27" s="97"/>
    </row>
    <row r="28" spans="1:22" s="14" customFormat="1" ht="18" customHeight="1">
      <c r="A28" s="228"/>
      <c r="B28" s="224"/>
      <c r="C28" s="224"/>
      <c r="D28" s="224"/>
      <c r="E28" s="224"/>
      <c r="T28" s="18"/>
      <c r="U28" s="18"/>
      <c r="V28" s="97"/>
    </row>
    <row r="29" spans="1:22" s="14" customFormat="1" ht="18" customHeight="1">
      <c r="A29" s="96"/>
      <c r="B29" s="14" t="s">
        <v>619</v>
      </c>
      <c r="C29" s="225"/>
      <c r="D29" s="225"/>
      <c r="E29" s="225"/>
      <c r="H29" s="120" t="s">
        <v>620</v>
      </c>
      <c r="I29" s="28" t="s">
        <v>138</v>
      </c>
      <c r="J29" s="638" t="s">
        <v>621</v>
      </c>
      <c r="K29" s="638"/>
      <c r="L29" s="28" t="s">
        <v>326</v>
      </c>
      <c r="M29" s="229">
        <v>1000</v>
      </c>
      <c r="N29" s="102" t="s">
        <v>353</v>
      </c>
      <c r="O29" s="28" t="s">
        <v>622</v>
      </c>
      <c r="P29" s="28" t="s">
        <v>326</v>
      </c>
      <c r="Q29" s="28" t="s">
        <v>617</v>
      </c>
      <c r="R29" s="47"/>
      <c r="T29" s="18"/>
      <c r="U29" s="18"/>
      <c r="V29" s="97"/>
    </row>
    <row r="30" spans="1:22" s="14" customFormat="1" ht="18" customHeight="1">
      <c r="A30" s="228"/>
      <c r="B30" s="225"/>
      <c r="C30" s="225"/>
      <c r="D30" s="225"/>
      <c r="E30" s="225"/>
      <c r="F30" s="224"/>
      <c r="G30" s="224"/>
      <c r="H30" s="28"/>
      <c r="I30" s="28" t="s">
        <v>138</v>
      </c>
      <c r="J30" s="638">
        <f>P25</f>
        <v>100</v>
      </c>
      <c r="K30" s="638"/>
      <c r="L30" s="28" t="s">
        <v>326</v>
      </c>
      <c r="M30" s="229">
        <v>1000</v>
      </c>
      <c r="N30" s="102" t="s">
        <v>353</v>
      </c>
      <c r="O30" s="28" t="s">
        <v>622</v>
      </c>
      <c r="P30" s="28" t="s">
        <v>326</v>
      </c>
      <c r="Q30" s="28">
        <f>P27</f>
        <v>33</v>
      </c>
      <c r="R30" s="47"/>
      <c r="T30" s="18"/>
      <c r="U30" s="18"/>
      <c r="V30" s="97"/>
    </row>
    <row r="31" spans="1:22" s="14" customFormat="1" ht="18" customHeight="1">
      <c r="A31" s="228"/>
      <c r="B31" s="224"/>
      <c r="C31" s="224"/>
      <c r="D31" s="224"/>
      <c r="E31" s="224"/>
      <c r="F31" s="224"/>
      <c r="G31" s="224"/>
      <c r="I31" s="28" t="s">
        <v>138</v>
      </c>
      <c r="J31" s="641">
        <f>(P25*1000)/(SQRT(3)*P27)</f>
        <v>1749.5462702715934</v>
      </c>
      <c r="K31" s="641"/>
      <c r="L31" s="14" t="s">
        <v>9</v>
      </c>
      <c r="M31" s="120"/>
      <c r="N31" s="120"/>
      <c r="O31" s="120"/>
      <c r="T31" s="18"/>
      <c r="U31" s="18"/>
      <c r="V31" s="97"/>
    </row>
    <row r="32" spans="1:22" s="14" customFormat="1" ht="18" customHeight="1">
      <c r="A32" s="228"/>
      <c r="B32" s="224"/>
      <c r="C32" s="224"/>
      <c r="D32" s="224"/>
      <c r="E32" s="224"/>
      <c r="G32" s="224"/>
      <c r="H32" s="28"/>
      <c r="I32" s="103"/>
      <c r="J32" s="28"/>
      <c r="M32" s="224"/>
      <c r="N32" s="231"/>
      <c r="O32" s="224"/>
      <c r="T32" s="18"/>
      <c r="U32" s="18"/>
      <c r="V32" s="97"/>
    </row>
    <row r="33" spans="1:25" s="14" customFormat="1" ht="18" customHeight="1">
      <c r="A33" s="159"/>
      <c r="B33" s="5"/>
      <c r="C33" s="5"/>
      <c r="D33" s="5"/>
      <c r="E33" s="5"/>
      <c r="F33" s="224"/>
      <c r="G33" s="224"/>
      <c r="H33" s="5"/>
      <c r="I33" s="5"/>
      <c r="J33" s="5"/>
      <c r="K33" s="5"/>
      <c r="L33" s="103"/>
      <c r="M33" s="103"/>
      <c r="N33" s="103"/>
      <c r="O33" s="103"/>
      <c r="P33" s="224"/>
      <c r="Q33" s="225"/>
      <c r="U33" s="18"/>
      <c r="V33" s="97"/>
    </row>
    <row r="34" spans="1:25" s="14" customFormat="1" ht="18" customHeight="1">
      <c r="A34" s="159"/>
      <c r="B34" s="5"/>
      <c r="C34" s="5"/>
      <c r="D34" s="5"/>
      <c r="E34" s="5"/>
      <c r="F34" s="224"/>
      <c r="G34" s="224"/>
      <c r="H34" s="5"/>
      <c r="I34" s="5"/>
      <c r="J34" s="5"/>
      <c r="K34" s="5"/>
      <c r="L34" s="103"/>
      <c r="M34" s="103"/>
      <c r="N34" s="103"/>
      <c r="O34" s="103"/>
      <c r="P34" s="224"/>
      <c r="Q34" s="225"/>
      <c r="S34" s="226"/>
      <c r="T34" s="18"/>
      <c r="U34" s="18"/>
      <c r="V34" s="97"/>
    </row>
    <row r="35" spans="1:25" ht="18" customHeight="1">
      <c r="A35" s="196"/>
      <c r="B35" s="14" t="s">
        <v>623</v>
      </c>
      <c r="C35" s="14"/>
      <c r="D35" s="14"/>
      <c r="E35" s="14"/>
      <c r="M35" s="28" t="s">
        <v>624</v>
      </c>
      <c r="N35" s="28" t="s">
        <v>138</v>
      </c>
      <c r="O35" s="638" t="s">
        <v>620</v>
      </c>
      <c r="P35" s="638"/>
      <c r="Q35" s="257" t="s">
        <v>353</v>
      </c>
      <c r="R35" s="861" t="str">
        <f>B26</f>
        <v>Percentage Impedance</v>
      </c>
      <c r="S35" s="861"/>
      <c r="T35" s="861"/>
      <c r="U35" s="861"/>
      <c r="V35" s="847"/>
    </row>
    <row r="36" spans="1:25" ht="18" customHeight="1">
      <c r="A36" s="96"/>
      <c r="B36" s="5"/>
      <c r="C36" s="5"/>
      <c r="D36" s="5"/>
      <c r="E36" s="5"/>
      <c r="M36" s="102"/>
      <c r="N36" s="28" t="s">
        <v>138</v>
      </c>
      <c r="O36" s="641">
        <f>+J31</f>
        <v>1749.5462702715934</v>
      </c>
      <c r="P36" s="641"/>
      <c r="Q36" s="257" t="s">
        <v>353</v>
      </c>
      <c r="R36" s="233">
        <f>P26%</f>
        <v>0.25</v>
      </c>
      <c r="S36" s="226"/>
      <c r="V36" s="197"/>
    </row>
    <row r="37" spans="1:25" ht="18" customHeight="1">
      <c r="A37" s="96"/>
      <c r="B37" s="5"/>
      <c r="C37" s="5"/>
      <c r="D37" s="5"/>
      <c r="E37" s="5"/>
      <c r="M37" s="28" t="s">
        <v>624</v>
      </c>
      <c r="N37" s="28" t="s">
        <v>138</v>
      </c>
      <c r="O37" s="641">
        <f>O36/R36</f>
        <v>6998.1850810863734</v>
      </c>
      <c r="P37" s="641"/>
      <c r="Q37" s="234" t="s">
        <v>9</v>
      </c>
      <c r="R37" s="28"/>
      <c r="S37" s="226"/>
      <c r="V37" s="197"/>
    </row>
    <row r="38" spans="1:25" ht="18" customHeight="1">
      <c r="A38" s="96"/>
      <c r="B38" s="5"/>
      <c r="C38" s="5"/>
      <c r="D38" s="5"/>
      <c r="E38" s="5"/>
      <c r="M38" s="224"/>
      <c r="N38" s="224"/>
      <c r="O38" s="103"/>
      <c r="Q38" s="235"/>
      <c r="R38" s="14"/>
      <c r="S38" s="226"/>
      <c r="V38" s="197"/>
    </row>
    <row r="39" spans="1:25" ht="18" customHeight="1">
      <c r="A39" s="964" t="s">
        <v>625</v>
      </c>
      <c r="B39" s="1118"/>
      <c r="C39" s="1118"/>
      <c r="D39" s="1118"/>
      <c r="E39" s="1118"/>
      <c r="F39" s="1118"/>
      <c r="G39" s="1118"/>
      <c r="H39" s="1118"/>
      <c r="I39" s="1118"/>
      <c r="J39" s="1118"/>
      <c r="K39" s="1118"/>
      <c r="L39" s="1118"/>
      <c r="M39" s="1118"/>
      <c r="N39" s="1118"/>
      <c r="O39" s="1118"/>
      <c r="P39" s="1118"/>
      <c r="Q39" s="1118"/>
      <c r="R39" s="1118"/>
      <c r="S39" s="1118"/>
      <c r="T39" s="1118"/>
      <c r="U39" s="1118"/>
      <c r="V39" s="1119"/>
    </row>
    <row r="40" spans="1:25" ht="18" customHeight="1">
      <c r="A40" s="964"/>
      <c r="B40" s="1118"/>
      <c r="C40" s="1118"/>
      <c r="D40" s="1118"/>
      <c r="E40" s="1118"/>
      <c r="F40" s="1118"/>
      <c r="G40" s="1118"/>
      <c r="H40" s="1118"/>
      <c r="I40" s="1118"/>
      <c r="J40" s="1118"/>
      <c r="K40" s="1118"/>
      <c r="L40" s="1118"/>
      <c r="M40" s="1118"/>
      <c r="N40" s="1118"/>
      <c r="O40" s="1118"/>
      <c r="P40" s="1118"/>
      <c r="Q40" s="1118"/>
      <c r="R40" s="1118"/>
      <c r="S40" s="1118"/>
      <c r="T40" s="1118"/>
      <c r="U40" s="1118"/>
      <c r="V40" s="1119"/>
      <c r="Y40" s="14" t="s">
        <v>626</v>
      </c>
    </row>
    <row r="41" spans="1:25" ht="18" customHeight="1">
      <c r="A41" s="96"/>
      <c r="B41" s="5"/>
      <c r="C41" s="5"/>
      <c r="D41" s="5"/>
      <c r="E41" s="5"/>
      <c r="M41" s="224"/>
      <c r="N41" s="224"/>
      <c r="O41" s="103"/>
      <c r="Q41" s="235"/>
      <c r="R41" s="14"/>
      <c r="S41" s="226"/>
      <c r="V41" s="197"/>
    </row>
    <row r="42" spans="1:25" ht="18" customHeight="1">
      <c r="A42" s="96"/>
      <c r="B42" s="5"/>
      <c r="C42" s="5"/>
      <c r="D42" s="5"/>
      <c r="E42" s="5"/>
      <c r="M42" s="224"/>
      <c r="N42" s="224"/>
      <c r="O42" s="103"/>
      <c r="Q42" s="235"/>
      <c r="R42" s="14"/>
      <c r="S42" s="226"/>
      <c r="V42" s="197"/>
    </row>
    <row r="43" spans="1:25" ht="18" customHeight="1">
      <c r="A43" s="196"/>
      <c r="V43" s="197"/>
    </row>
    <row r="44" spans="1:25" ht="18" customHeight="1">
      <c r="A44" s="196"/>
      <c r="I44" s="14"/>
      <c r="J44" s="14"/>
      <c r="V44" s="197"/>
    </row>
    <row r="45" spans="1:25" s="14"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5" ht="18" customHeight="1">
      <c r="A46" s="238"/>
      <c r="B46" s="239"/>
      <c r="C46" s="239"/>
      <c r="D46" s="239"/>
      <c r="E46" s="239"/>
      <c r="F46" s="239"/>
      <c r="G46" s="239"/>
      <c r="H46" s="239"/>
      <c r="I46" s="239"/>
      <c r="J46" s="239"/>
      <c r="K46" s="239"/>
      <c r="L46" s="239"/>
      <c r="M46" s="239"/>
      <c r="N46" s="239"/>
      <c r="O46" s="239"/>
      <c r="P46" s="239"/>
      <c r="Q46" s="239"/>
      <c r="R46" s="239"/>
      <c r="S46" s="239"/>
      <c r="T46" s="239"/>
      <c r="U46" s="239"/>
      <c r="V46" s="240"/>
    </row>
    <row r="47" spans="1:25" ht="18" customHeight="1">
      <c r="A47" s="1006" t="s">
        <v>428</v>
      </c>
      <c r="B47" s="1008"/>
      <c r="C47" s="1008"/>
      <c r="D47" s="638">
        <v>30</v>
      </c>
      <c r="E47" s="638" t="s">
        <v>326</v>
      </c>
      <c r="F47" s="638" t="s">
        <v>620</v>
      </c>
      <c r="G47" s="639"/>
      <c r="H47" s="638" t="s">
        <v>326</v>
      </c>
      <c r="I47" s="661" t="s">
        <v>422</v>
      </c>
      <c r="J47" s="1068"/>
      <c r="K47" s="638" t="s">
        <v>326</v>
      </c>
      <c r="L47" s="1008" t="s">
        <v>430</v>
      </c>
      <c r="M47" s="920" t="s">
        <v>431</v>
      </c>
      <c r="N47" s="958" t="s">
        <v>358</v>
      </c>
      <c r="O47" s="920" t="s">
        <v>419</v>
      </c>
      <c r="P47" s="638" t="s">
        <v>358</v>
      </c>
      <c r="Q47" s="953" t="s">
        <v>432</v>
      </c>
      <c r="R47" s="1005"/>
      <c r="S47" s="1005"/>
      <c r="T47" s="952" t="s">
        <v>361</v>
      </c>
      <c r="U47" s="242" t="s">
        <v>433</v>
      </c>
      <c r="V47" s="97"/>
    </row>
    <row r="48" spans="1:25" ht="18" customHeight="1">
      <c r="A48" s="1067"/>
      <c r="B48" s="1008"/>
      <c r="C48" s="1008"/>
      <c r="D48" s="638"/>
      <c r="E48" s="638"/>
      <c r="F48" s="639"/>
      <c r="G48" s="639"/>
      <c r="H48" s="638"/>
      <c r="I48" s="638" t="s">
        <v>434</v>
      </c>
      <c r="J48" s="985"/>
      <c r="K48" s="638"/>
      <c r="L48" s="1008"/>
      <c r="M48" s="920"/>
      <c r="N48" s="958"/>
      <c r="O48" s="920"/>
      <c r="P48" s="638"/>
      <c r="Q48" s="28" t="s">
        <v>157</v>
      </c>
      <c r="R48" s="28" t="s">
        <v>326</v>
      </c>
      <c r="S48" s="28" t="s">
        <v>157</v>
      </c>
      <c r="T48" s="952"/>
      <c r="U48" s="14"/>
      <c r="V48" s="97"/>
    </row>
    <row r="49" spans="1:22" ht="18" customHeight="1">
      <c r="A49" s="196"/>
      <c r="V49" s="197"/>
    </row>
    <row r="50" spans="1:22" ht="18" customHeight="1">
      <c r="A50" s="1006" t="s">
        <v>428</v>
      </c>
      <c r="B50" s="1008"/>
      <c r="C50" s="1008"/>
      <c r="D50" s="638">
        <v>2</v>
      </c>
      <c r="E50" s="638" t="s">
        <v>326</v>
      </c>
      <c r="F50" s="638" t="s">
        <v>624</v>
      </c>
      <c r="G50" s="639"/>
      <c r="H50" s="638" t="s">
        <v>326</v>
      </c>
      <c r="I50" s="661" t="s">
        <v>422</v>
      </c>
      <c r="J50" s="1068"/>
      <c r="K50" s="638" t="s">
        <v>326</v>
      </c>
      <c r="L50" s="1008" t="s">
        <v>430</v>
      </c>
      <c r="M50" s="920" t="s">
        <v>431</v>
      </c>
      <c r="N50" s="958" t="s">
        <v>358</v>
      </c>
      <c r="O50" s="920" t="s">
        <v>419</v>
      </c>
      <c r="P50" s="638" t="s">
        <v>358</v>
      </c>
      <c r="Q50" s="953" t="s">
        <v>432</v>
      </c>
      <c r="R50" s="1005"/>
      <c r="S50" s="1005"/>
      <c r="T50" s="952" t="s">
        <v>361</v>
      </c>
      <c r="U50" s="242" t="s">
        <v>437</v>
      </c>
      <c r="V50" s="97"/>
    </row>
    <row r="51" spans="1:22" ht="18" customHeight="1">
      <c r="A51" s="1067"/>
      <c r="B51" s="1008"/>
      <c r="C51" s="1008"/>
      <c r="D51" s="638"/>
      <c r="E51" s="638"/>
      <c r="F51" s="639"/>
      <c r="G51" s="639"/>
      <c r="H51" s="638"/>
      <c r="I51" s="638" t="s">
        <v>434</v>
      </c>
      <c r="J51" s="985"/>
      <c r="K51" s="638"/>
      <c r="L51" s="1008"/>
      <c r="M51" s="920"/>
      <c r="N51" s="958"/>
      <c r="O51" s="920"/>
      <c r="P51" s="638"/>
      <c r="Q51" s="28" t="s">
        <v>157</v>
      </c>
      <c r="R51" s="28" t="s">
        <v>326</v>
      </c>
      <c r="S51" s="28" t="s">
        <v>157</v>
      </c>
      <c r="T51" s="952"/>
      <c r="U51" s="14"/>
      <c r="V51" s="97"/>
    </row>
    <row r="52" spans="1:22" ht="18" customHeight="1">
      <c r="A52" s="196"/>
      <c r="V52" s="197"/>
    </row>
    <row r="53" spans="1:22" ht="18" hidden="1" customHeight="1">
      <c r="A53" s="964" t="s">
        <v>627</v>
      </c>
      <c r="B53" s="896"/>
      <c r="C53" s="896"/>
      <c r="D53" s="896"/>
      <c r="E53" s="896"/>
      <c r="F53" s="896"/>
      <c r="G53" s="896"/>
      <c r="H53" s="896"/>
      <c r="I53" s="896"/>
      <c r="J53" s="896"/>
      <c r="K53" s="896"/>
      <c r="L53" s="896"/>
      <c r="M53" s="896"/>
      <c r="N53" s="896"/>
      <c r="O53" s="896"/>
      <c r="P53" s="896"/>
      <c r="Q53" s="896"/>
      <c r="R53" s="896"/>
      <c r="S53" s="896"/>
      <c r="T53" s="896"/>
      <c r="U53" s="896"/>
      <c r="V53" s="1115"/>
    </row>
    <row r="54" spans="1:22" ht="25.95" hidden="1" customHeight="1">
      <c r="A54" s="1116"/>
      <c r="B54" s="896"/>
      <c r="C54" s="896"/>
      <c r="D54" s="896"/>
      <c r="E54" s="896"/>
      <c r="F54" s="896"/>
      <c r="G54" s="896"/>
      <c r="H54" s="896"/>
      <c r="I54" s="896"/>
      <c r="J54" s="896"/>
      <c r="K54" s="896"/>
      <c r="L54" s="896"/>
      <c r="M54" s="896"/>
      <c r="N54" s="896"/>
      <c r="O54" s="896"/>
      <c r="P54" s="896"/>
      <c r="Q54" s="896"/>
      <c r="R54" s="896"/>
      <c r="S54" s="896"/>
      <c r="T54" s="896"/>
      <c r="U54" s="896"/>
      <c r="V54" s="1115"/>
    </row>
    <row r="55" spans="1:22" ht="18" hidden="1" customHeight="1">
      <c r="A55" s="243"/>
      <c r="B55" s="244"/>
      <c r="C55" s="244"/>
      <c r="D55" s="244"/>
      <c r="E55" s="244"/>
      <c r="F55" s="244"/>
      <c r="G55" s="244"/>
      <c r="H55" s="244"/>
      <c r="I55" s="244"/>
      <c r="J55" s="244"/>
      <c r="K55" s="244"/>
      <c r="L55" s="244"/>
      <c r="M55" s="244"/>
      <c r="N55" s="244"/>
      <c r="O55" s="244"/>
      <c r="P55" s="244"/>
      <c r="Q55" s="244"/>
      <c r="R55" s="244"/>
      <c r="S55" s="244"/>
      <c r="T55" s="244"/>
      <c r="U55" s="244"/>
      <c r="V55" s="245"/>
    </row>
    <row r="56" spans="1:22" ht="18" hidden="1" customHeight="1">
      <c r="A56" s="1117" t="s">
        <v>428</v>
      </c>
      <c r="B56" s="920"/>
      <c r="C56" s="920"/>
      <c r="D56" s="638"/>
      <c r="E56" s="638"/>
      <c r="F56" s="638" t="s">
        <v>628</v>
      </c>
      <c r="G56" s="639"/>
      <c r="H56" s="638" t="s">
        <v>326</v>
      </c>
      <c r="I56" s="661" t="s">
        <v>422</v>
      </c>
      <c r="J56" s="1068"/>
      <c r="K56" s="638" t="s">
        <v>326</v>
      </c>
      <c r="L56" s="1008" t="s">
        <v>430</v>
      </c>
      <c r="M56" s="920" t="s">
        <v>431</v>
      </c>
      <c r="N56" s="958" t="s">
        <v>358</v>
      </c>
      <c r="O56" s="920" t="s">
        <v>419</v>
      </c>
      <c r="P56" s="638" t="s">
        <v>358</v>
      </c>
      <c r="Q56" s="953" t="s">
        <v>432</v>
      </c>
      <c r="R56" s="1005"/>
      <c r="S56" s="1005"/>
      <c r="T56" s="952" t="s">
        <v>361</v>
      </c>
      <c r="U56" s="242" t="s">
        <v>629</v>
      </c>
      <c r="V56" s="97"/>
    </row>
    <row r="57" spans="1:22" ht="18" hidden="1" customHeight="1">
      <c r="A57" s="1070"/>
      <c r="B57" s="920"/>
      <c r="C57" s="920"/>
      <c r="D57" s="638"/>
      <c r="E57" s="638"/>
      <c r="F57" s="639"/>
      <c r="G57" s="639"/>
      <c r="H57" s="638"/>
      <c r="I57" s="638" t="s">
        <v>434</v>
      </c>
      <c r="J57" s="985"/>
      <c r="K57" s="638"/>
      <c r="L57" s="1008"/>
      <c r="M57" s="920"/>
      <c r="N57" s="958"/>
      <c r="O57" s="920"/>
      <c r="P57" s="638"/>
      <c r="Q57" s="28" t="s">
        <v>157</v>
      </c>
      <c r="R57" s="28" t="s">
        <v>326</v>
      </c>
      <c r="S57" s="28" t="s">
        <v>157</v>
      </c>
      <c r="T57" s="952"/>
      <c r="U57" s="14"/>
      <c r="V57" s="97"/>
    </row>
    <row r="58" spans="1:22" ht="18" hidden="1" customHeight="1">
      <c r="A58" s="96"/>
      <c r="B58" s="14"/>
      <c r="C58" s="14"/>
      <c r="D58" s="28"/>
      <c r="E58" s="28"/>
      <c r="F58" s="27"/>
      <c r="G58" s="27"/>
      <c r="H58" s="28"/>
      <c r="I58" s="28"/>
      <c r="K58" s="28"/>
      <c r="L58" s="120"/>
      <c r="M58" s="14"/>
      <c r="N58" s="102"/>
      <c r="O58" s="14"/>
      <c r="P58" s="28"/>
      <c r="Q58" s="28"/>
      <c r="R58" s="28"/>
      <c r="S58" s="28"/>
      <c r="T58" s="40"/>
      <c r="U58" s="14"/>
      <c r="V58" s="97"/>
    </row>
    <row r="59" spans="1:22" ht="18" hidden="1" customHeight="1">
      <c r="A59" s="196"/>
      <c r="H59" s="30" t="s">
        <v>630</v>
      </c>
      <c r="M59" s="656" t="s">
        <v>631</v>
      </c>
      <c r="N59" s="657"/>
      <c r="V59" s="197"/>
    </row>
    <row r="60" spans="1:22" ht="18" customHeight="1">
      <c r="A60" s="96"/>
      <c r="B60" s="14"/>
      <c r="C60" s="14"/>
      <c r="D60" s="28"/>
      <c r="E60" s="28"/>
      <c r="F60" s="27"/>
      <c r="G60" s="27"/>
      <c r="H60" s="28"/>
      <c r="I60" s="28"/>
      <c r="K60" s="28"/>
      <c r="L60" s="120"/>
      <c r="M60" s="14"/>
      <c r="N60" s="102"/>
      <c r="O60" s="14"/>
      <c r="P60" s="28"/>
      <c r="Q60" s="28"/>
      <c r="R60" s="28"/>
      <c r="S60" s="28"/>
      <c r="T60" s="40"/>
      <c r="U60" s="14"/>
      <c r="V60" s="97"/>
    </row>
    <row r="61" spans="1:22" ht="18" customHeight="1">
      <c r="A61" s="196"/>
      <c r="B61" s="14" t="s">
        <v>438</v>
      </c>
      <c r="C61" s="14"/>
      <c r="D61" s="103"/>
      <c r="E61" s="103"/>
      <c r="F61" s="14"/>
      <c r="G61" s="14"/>
      <c r="H61" s="5"/>
      <c r="I61" s="5"/>
      <c r="J61" s="5"/>
      <c r="P61" s="120" t="s">
        <v>439</v>
      </c>
      <c r="V61" s="197"/>
    </row>
    <row r="62" spans="1:22" ht="18" customHeight="1">
      <c r="A62" s="196"/>
      <c r="B62" s="14" t="s">
        <v>440</v>
      </c>
      <c r="C62" s="14"/>
      <c r="D62" s="103"/>
      <c r="E62" s="103"/>
      <c r="F62" s="14"/>
      <c r="G62" s="14"/>
      <c r="H62" s="5"/>
      <c r="I62" s="5"/>
      <c r="J62" s="5"/>
      <c r="P62" s="120" t="s">
        <v>441</v>
      </c>
      <c r="Q62" s="246" t="s">
        <v>138</v>
      </c>
      <c r="R62" s="638">
        <f>H10</f>
        <v>2500</v>
      </c>
      <c r="S62" s="638"/>
      <c r="T62" s="14" t="s">
        <v>9</v>
      </c>
      <c r="V62" s="197"/>
    </row>
    <row r="63" spans="1:22" ht="18" customHeight="1">
      <c r="A63" s="196"/>
      <c r="B63" s="14" t="s">
        <v>632</v>
      </c>
      <c r="C63" s="14"/>
      <c r="D63" s="14"/>
      <c r="E63" s="14"/>
      <c r="F63" s="14"/>
      <c r="G63" s="14"/>
      <c r="H63" s="14"/>
      <c r="I63" s="14"/>
      <c r="J63" s="14"/>
      <c r="P63" s="120" t="s">
        <v>620</v>
      </c>
      <c r="Q63" s="246" t="s">
        <v>138</v>
      </c>
      <c r="R63" s="637">
        <f>J31</f>
        <v>1749.5462702715934</v>
      </c>
      <c r="S63" s="639"/>
      <c r="T63" s="14" t="s">
        <v>9</v>
      </c>
      <c r="V63" s="197"/>
    </row>
    <row r="64" spans="1:22" ht="18" customHeight="1">
      <c r="A64" s="196"/>
      <c r="B64" s="14" t="s">
        <v>633</v>
      </c>
      <c r="C64" s="14"/>
      <c r="D64" s="14"/>
      <c r="E64" s="14"/>
      <c r="F64" s="14"/>
      <c r="G64" s="14"/>
      <c r="H64" s="14"/>
      <c r="I64" s="14"/>
      <c r="J64" s="14"/>
      <c r="P64" s="120" t="s">
        <v>624</v>
      </c>
      <c r="Q64" s="246" t="s">
        <v>138</v>
      </c>
      <c r="R64" s="637">
        <f>O37</f>
        <v>6998.1850810863734</v>
      </c>
      <c r="S64" s="639"/>
      <c r="T64" s="14" t="s">
        <v>9</v>
      </c>
      <c r="V64" s="197"/>
    </row>
    <row r="65" spans="1:22" ht="18" customHeight="1">
      <c r="A65" s="196"/>
      <c r="B65" s="247" t="s">
        <v>634</v>
      </c>
      <c r="C65" s="14"/>
      <c r="D65" s="14"/>
      <c r="E65" s="14"/>
      <c r="F65" s="14"/>
      <c r="G65" s="14"/>
      <c r="H65" s="14"/>
      <c r="I65" s="14"/>
      <c r="J65" s="14"/>
      <c r="P65" s="120"/>
      <c r="Q65" s="248"/>
      <c r="R65" s="27"/>
      <c r="S65" s="27"/>
      <c r="T65" s="14"/>
      <c r="V65" s="197"/>
    </row>
    <row r="66" spans="1:22" ht="18" hidden="1" customHeight="1">
      <c r="A66" s="196"/>
      <c r="B66" s="14" t="s">
        <v>633</v>
      </c>
      <c r="C66" s="14"/>
      <c r="D66" s="14"/>
      <c r="E66" s="14"/>
      <c r="F66" s="14"/>
      <c r="G66" s="14"/>
      <c r="H66" s="14"/>
      <c r="I66" s="14"/>
      <c r="J66" s="14"/>
      <c r="P66" s="120" t="s">
        <v>628</v>
      </c>
      <c r="Q66" s="246" t="s">
        <v>138</v>
      </c>
      <c r="R66" s="639" t="str">
        <f>IF(M59="Y",'[2]Parameters &amp; Fault Cal.'!Q31,"-")</f>
        <v>-</v>
      </c>
      <c r="S66" s="639"/>
      <c r="T66" s="14" t="s">
        <v>9</v>
      </c>
      <c r="V66" s="197"/>
    </row>
    <row r="67" spans="1:22" ht="18" hidden="1" customHeight="1">
      <c r="A67" s="196"/>
      <c r="B67" s="247" t="s">
        <v>635</v>
      </c>
      <c r="C67" s="14"/>
      <c r="D67" s="14"/>
      <c r="E67" s="14"/>
      <c r="F67" s="14"/>
      <c r="G67" s="14"/>
      <c r="H67" s="14"/>
      <c r="I67" s="14"/>
      <c r="J67" s="14"/>
      <c r="R67" s="27"/>
      <c r="S67" s="27"/>
      <c r="T67" s="14"/>
      <c r="V67" s="197"/>
    </row>
    <row r="68" spans="1:22" ht="18" customHeight="1">
      <c r="A68" s="196"/>
      <c r="B68" s="14" t="s">
        <v>446</v>
      </c>
      <c r="C68" s="14"/>
      <c r="D68" s="103"/>
      <c r="E68" s="103"/>
      <c r="F68" s="14"/>
      <c r="G68" s="14"/>
      <c r="H68" s="5"/>
      <c r="I68" s="5"/>
      <c r="J68" s="5"/>
      <c r="P68" s="120" t="s">
        <v>447</v>
      </c>
      <c r="Q68" s="246" t="s">
        <v>138</v>
      </c>
      <c r="R68" s="639">
        <f>O10</f>
        <v>1</v>
      </c>
      <c r="S68" s="639"/>
      <c r="T68" s="14" t="s">
        <v>9</v>
      </c>
      <c r="V68" s="197"/>
    </row>
    <row r="69" spans="1:22" ht="18" customHeight="1">
      <c r="A69" s="196"/>
      <c r="B69" s="14" t="s">
        <v>448</v>
      </c>
      <c r="C69" s="14"/>
      <c r="D69" s="103"/>
      <c r="E69" s="103"/>
      <c r="F69" s="14"/>
      <c r="G69" s="14"/>
      <c r="H69" s="5"/>
      <c r="I69" s="5"/>
      <c r="J69" s="5"/>
      <c r="P69" s="120" t="s">
        <v>449</v>
      </c>
      <c r="Q69" s="246" t="s">
        <v>138</v>
      </c>
      <c r="R69" s="639">
        <f>'CT-VT Burdens'!S18</f>
        <v>1</v>
      </c>
      <c r="S69" s="639"/>
      <c r="T69" s="14" t="s">
        <v>9</v>
      </c>
      <c r="V69" s="197"/>
    </row>
    <row r="70" spans="1:22" ht="18" customHeight="1">
      <c r="A70" s="196"/>
      <c r="B70" s="14" t="s">
        <v>450</v>
      </c>
      <c r="C70" s="14"/>
      <c r="D70" s="103"/>
      <c r="E70" s="103"/>
      <c r="F70" s="14"/>
      <c r="G70" s="14"/>
      <c r="H70" s="5"/>
      <c r="I70" s="5"/>
      <c r="J70" s="5"/>
      <c r="P70" s="120" t="s">
        <v>451</v>
      </c>
      <c r="Q70" s="246" t="s">
        <v>138</v>
      </c>
      <c r="R70" s="639">
        <f>H12</f>
        <v>10</v>
      </c>
      <c r="S70" s="639"/>
      <c r="T70" s="204" t="s">
        <v>344</v>
      </c>
      <c r="V70" s="197"/>
    </row>
    <row r="71" spans="1:22" ht="18" customHeight="1">
      <c r="A71" s="196"/>
      <c r="B71" s="14" t="s">
        <v>636</v>
      </c>
      <c r="C71" s="14"/>
      <c r="D71" s="14"/>
      <c r="E71" s="14"/>
      <c r="F71" s="14"/>
      <c r="G71" s="14"/>
      <c r="H71" s="14"/>
      <c r="I71" s="14"/>
      <c r="J71" s="14"/>
      <c r="P71" s="249" t="s">
        <v>452</v>
      </c>
      <c r="Q71" s="246" t="s">
        <v>138</v>
      </c>
      <c r="R71" s="637">
        <f>P22</f>
        <v>1.46186744</v>
      </c>
      <c r="S71" s="639"/>
      <c r="T71" s="204" t="s">
        <v>344</v>
      </c>
      <c r="V71" s="197"/>
    </row>
    <row r="72" spans="1:22" ht="18" customHeight="1">
      <c r="A72" s="196"/>
      <c r="B72" s="40" t="s">
        <v>637</v>
      </c>
      <c r="C72" s="14"/>
      <c r="D72" s="14"/>
      <c r="E72" s="14"/>
      <c r="F72" s="14"/>
      <c r="G72" s="14"/>
      <c r="H72" s="5"/>
      <c r="I72" s="5"/>
      <c r="J72" s="5"/>
      <c r="P72" s="249" t="s">
        <v>454</v>
      </c>
      <c r="Q72" s="246" t="s">
        <v>138</v>
      </c>
      <c r="R72" s="637">
        <f>J18</f>
        <v>0.02</v>
      </c>
      <c r="S72" s="639"/>
      <c r="T72" s="14" t="s">
        <v>168</v>
      </c>
      <c r="V72" s="197"/>
    </row>
    <row r="73" spans="1:22" ht="18" customHeight="1">
      <c r="A73" s="196"/>
      <c r="V73" s="197"/>
    </row>
    <row r="74" spans="1:22" ht="18" customHeight="1">
      <c r="A74" s="1006" t="s">
        <v>428</v>
      </c>
      <c r="B74" s="1008"/>
      <c r="C74" s="1008"/>
      <c r="D74" s="861">
        <v>30</v>
      </c>
      <c r="E74" s="861" t="s">
        <v>326</v>
      </c>
      <c r="F74" s="1113">
        <f>R63</f>
        <v>1749.5462702715934</v>
      </c>
      <c r="G74" s="640"/>
      <c r="H74" s="861" t="s">
        <v>326</v>
      </c>
      <c r="I74" s="862">
        <f>R68</f>
        <v>1</v>
      </c>
      <c r="J74" s="1112"/>
      <c r="K74" s="861" t="s">
        <v>326</v>
      </c>
      <c r="L74" s="968" t="s">
        <v>430</v>
      </c>
      <c r="M74" s="968">
        <f>R70</f>
        <v>10</v>
      </c>
      <c r="N74" s="1017" t="s">
        <v>358</v>
      </c>
      <c r="O74" s="1018">
        <f>R71</f>
        <v>1.46186744</v>
      </c>
      <c r="P74" s="861" t="s">
        <v>358</v>
      </c>
      <c r="Q74" s="1111">
        <f>R72</f>
        <v>0.02</v>
      </c>
      <c r="R74" s="1010"/>
      <c r="S74" s="1010"/>
      <c r="T74" s="952" t="s">
        <v>361</v>
      </c>
      <c r="U74" s="242" t="s">
        <v>433</v>
      </c>
      <c r="V74" s="97"/>
    </row>
    <row r="75" spans="1:22" ht="18" customHeight="1">
      <c r="A75" s="1067"/>
      <c r="B75" s="1008"/>
      <c r="C75" s="1008"/>
      <c r="D75" s="861"/>
      <c r="E75" s="861"/>
      <c r="F75" s="640"/>
      <c r="G75" s="640"/>
      <c r="H75" s="861"/>
      <c r="I75" s="861">
        <f>R62</f>
        <v>2500</v>
      </c>
      <c r="J75" s="970"/>
      <c r="K75" s="861"/>
      <c r="L75" s="968"/>
      <c r="M75" s="968"/>
      <c r="N75" s="1017"/>
      <c r="O75" s="968"/>
      <c r="P75" s="861"/>
      <c r="Q75" s="233">
        <f>R69</f>
        <v>1</v>
      </c>
      <c r="R75" s="233" t="s">
        <v>326</v>
      </c>
      <c r="S75" s="233">
        <f>R69</f>
        <v>1</v>
      </c>
      <c r="T75" s="952"/>
      <c r="U75" s="14"/>
      <c r="V75" s="97"/>
    </row>
    <row r="76" spans="1:22" ht="18" customHeight="1">
      <c r="A76" s="196"/>
      <c r="V76" s="197"/>
    </row>
    <row r="77" spans="1:22" ht="18" customHeight="1">
      <c r="A77" s="196"/>
      <c r="C77" s="30" t="s">
        <v>138</v>
      </c>
      <c r="D77" s="798">
        <f>D74*F74*(I74/I75)*(M74+O74+(Q74/(Q75*S75)))</f>
        <v>241.05670026485819</v>
      </c>
      <c r="E77" s="799"/>
      <c r="F77" s="30" t="s">
        <v>316</v>
      </c>
      <c r="V77" s="197"/>
    </row>
    <row r="78" spans="1:22" ht="18" customHeight="1">
      <c r="A78" s="196"/>
      <c r="V78" s="197"/>
    </row>
    <row r="79" spans="1:22" ht="18" customHeight="1">
      <c r="A79" s="1006" t="s">
        <v>428</v>
      </c>
      <c r="B79" s="1008"/>
      <c r="C79" s="1008"/>
      <c r="D79" s="861">
        <v>2</v>
      </c>
      <c r="E79" s="861" t="s">
        <v>326</v>
      </c>
      <c r="F79" s="1113">
        <f>R64</f>
        <v>6998.1850810863734</v>
      </c>
      <c r="G79" s="640"/>
      <c r="H79" s="861" t="s">
        <v>326</v>
      </c>
      <c r="I79" s="862">
        <f>R68</f>
        <v>1</v>
      </c>
      <c r="J79" s="1112"/>
      <c r="K79" s="861" t="s">
        <v>326</v>
      </c>
      <c r="L79" s="1011" t="s">
        <v>430</v>
      </c>
      <c r="M79" s="968">
        <f>R70</f>
        <v>10</v>
      </c>
      <c r="N79" s="1017" t="s">
        <v>358</v>
      </c>
      <c r="O79" s="1018">
        <f>R71</f>
        <v>1.46186744</v>
      </c>
      <c r="P79" s="861" t="s">
        <v>358</v>
      </c>
      <c r="Q79" s="1111">
        <f>R72</f>
        <v>0.02</v>
      </c>
      <c r="R79" s="1010"/>
      <c r="S79" s="1010"/>
      <c r="T79" s="952" t="s">
        <v>361</v>
      </c>
      <c r="U79" s="242" t="s">
        <v>437</v>
      </c>
      <c r="V79" s="97"/>
    </row>
    <row r="80" spans="1:22" ht="18" customHeight="1">
      <c r="A80" s="1067"/>
      <c r="B80" s="1008"/>
      <c r="C80" s="1008"/>
      <c r="D80" s="861"/>
      <c r="E80" s="861"/>
      <c r="F80" s="640"/>
      <c r="G80" s="640"/>
      <c r="H80" s="861"/>
      <c r="I80" s="861">
        <f>R62</f>
        <v>2500</v>
      </c>
      <c r="J80" s="970"/>
      <c r="K80" s="861"/>
      <c r="L80" s="1011"/>
      <c r="M80" s="968"/>
      <c r="N80" s="1017"/>
      <c r="O80" s="968"/>
      <c r="P80" s="861"/>
      <c r="Q80" s="233">
        <f>R69</f>
        <v>1</v>
      </c>
      <c r="R80" s="233" t="s">
        <v>326</v>
      </c>
      <c r="S80" s="233">
        <f>R69</f>
        <v>1</v>
      </c>
      <c r="T80" s="952"/>
      <c r="U80" s="14"/>
      <c r="V80" s="97"/>
    </row>
    <row r="81" spans="1:22" ht="18" customHeight="1">
      <c r="A81" s="196"/>
      <c r="L81" s="256"/>
      <c r="V81" s="197"/>
    </row>
    <row r="82" spans="1:22" ht="18" customHeight="1">
      <c r="A82" s="196"/>
      <c r="C82" s="30" t="s">
        <v>138</v>
      </c>
      <c r="D82" s="798">
        <f>D79*F79*(I79/I80)*(M79+O79+(Q79/(Q80*S80)))</f>
        <v>64.281786737295519</v>
      </c>
      <c r="E82" s="799"/>
      <c r="F82" s="30" t="s">
        <v>316</v>
      </c>
      <c r="L82" s="256"/>
      <c r="V82" s="197"/>
    </row>
    <row r="83" spans="1:22" ht="18" customHeight="1">
      <c r="A83" s="196"/>
      <c r="D83" s="223"/>
      <c r="E83" s="223"/>
      <c r="L83" s="256"/>
      <c r="V83" s="197"/>
    </row>
    <row r="84" spans="1:22" ht="18" customHeight="1">
      <c r="A84" s="196"/>
      <c r="D84" s="223"/>
      <c r="E84" s="223"/>
      <c r="L84" s="256"/>
      <c r="V84" s="197"/>
    </row>
    <row r="85" spans="1:22" ht="18" customHeight="1">
      <c r="A85" s="196"/>
      <c r="D85" s="223"/>
      <c r="E85" s="223"/>
      <c r="L85" s="256"/>
      <c r="V85" s="197"/>
    </row>
    <row r="86" spans="1:22" ht="18" customHeight="1">
      <c r="A86" s="196"/>
      <c r="D86" s="223"/>
      <c r="E86" s="223"/>
      <c r="L86" s="256"/>
      <c r="V86" s="197"/>
    </row>
    <row r="87" spans="1:22" ht="18" customHeight="1">
      <c r="A87" s="196"/>
      <c r="D87" s="223"/>
      <c r="E87" s="223"/>
      <c r="L87" s="256"/>
      <c r="V87" s="197"/>
    </row>
    <row r="88" spans="1:22" ht="18" customHeight="1">
      <c r="A88" s="196"/>
      <c r="D88" s="223"/>
      <c r="E88" s="223"/>
      <c r="L88" s="256"/>
      <c r="V88" s="197"/>
    </row>
    <row r="89" spans="1:22" ht="18" customHeight="1">
      <c r="A89" s="196"/>
      <c r="D89" s="223"/>
      <c r="E89" s="223"/>
      <c r="L89" s="256"/>
      <c r="V89" s="197"/>
    </row>
    <row r="90" spans="1:22" ht="18" customHeight="1">
      <c r="A90" s="196"/>
      <c r="D90" s="223"/>
      <c r="E90" s="223"/>
      <c r="L90" s="256"/>
      <c r="V90" s="197"/>
    </row>
    <row r="91" spans="1:22" ht="18" customHeight="1">
      <c r="A91" s="196"/>
      <c r="D91" s="223"/>
      <c r="E91" s="223"/>
      <c r="L91" s="256"/>
      <c r="V91" s="197"/>
    </row>
    <row r="92" spans="1:22" ht="18" customHeight="1">
      <c r="A92" s="196"/>
      <c r="D92" s="223"/>
      <c r="E92" s="223"/>
      <c r="L92" s="256"/>
      <c r="V92" s="197"/>
    </row>
    <row r="93" spans="1:22" ht="18" customHeight="1">
      <c r="A93" s="196"/>
      <c r="D93" s="223"/>
      <c r="E93" s="223"/>
      <c r="L93" s="256"/>
      <c r="V93" s="197"/>
    </row>
    <row r="94" spans="1:22" s="14" customFormat="1" ht="18" customHeight="1">
      <c r="A94" s="206"/>
      <c r="B94" s="207"/>
      <c r="C94" s="207"/>
      <c r="D94" s="207"/>
      <c r="E94" s="207"/>
      <c r="F94" s="207"/>
      <c r="G94" s="207"/>
      <c r="H94" s="207"/>
      <c r="I94" s="207"/>
      <c r="J94" s="207"/>
      <c r="K94" s="207"/>
      <c r="L94" s="207"/>
      <c r="M94" s="207"/>
      <c r="N94" s="207"/>
      <c r="O94" s="207"/>
      <c r="P94" s="207"/>
      <c r="Q94" s="236"/>
      <c r="R94" s="194"/>
      <c r="S94" s="237"/>
      <c r="T94" s="207"/>
      <c r="U94" s="207"/>
      <c r="V94" s="140"/>
    </row>
    <row r="95" spans="1:22" ht="18" hidden="1" customHeight="1">
      <c r="A95" s="1006" t="s">
        <v>428</v>
      </c>
      <c r="B95" s="1008"/>
      <c r="C95" s="1008"/>
      <c r="D95" s="638"/>
      <c r="E95" s="638"/>
      <c r="F95" s="861" t="str">
        <f>R66</f>
        <v>-</v>
      </c>
      <c r="G95" s="969"/>
      <c r="H95" s="861" t="s">
        <v>326</v>
      </c>
      <c r="I95" s="862">
        <f>R68</f>
        <v>1</v>
      </c>
      <c r="J95" s="1112"/>
      <c r="K95" s="861" t="s">
        <v>326</v>
      </c>
      <c r="L95" s="1011" t="s">
        <v>430</v>
      </c>
      <c r="M95" s="968">
        <f>R70</f>
        <v>10</v>
      </c>
      <c r="N95" s="1017" t="s">
        <v>358</v>
      </c>
      <c r="O95" s="1018">
        <f>R71</f>
        <v>1.46186744</v>
      </c>
      <c r="P95" s="861" t="s">
        <v>358</v>
      </c>
      <c r="Q95" s="1111">
        <f>R72</f>
        <v>0.02</v>
      </c>
      <c r="R95" s="1010"/>
      <c r="S95" s="1010"/>
      <c r="T95" s="952" t="s">
        <v>361</v>
      </c>
      <c r="U95" s="242" t="s">
        <v>629</v>
      </c>
      <c r="V95" s="97"/>
    </row>
    <row r="96" spans="1:22" ht="18" hidden="1" customHeight="1">
      <c r="A96" s="1067"/>
      <c r="B96" s="1008"/>
      <c r="C96" s="1008"/>
      <c r="D96" s="638"/>
      <c r="E96" s="638"/>
      <c r="F96" s="969"/>
      <c r="G96" s="969"/>
      <c r="H96" s="861"/>
      <c r="I96" s="861">
        <f>R62</f>
        <v>2500</v>
      </c>
      <c r="J96" s="970"/>
      <c r="K96" s="861"/>
      <c r="L96" s="1011"/>
      <c r="M96" s="968"/>
      <c r="N96" s="1017"/>
      <c r="O96" s="968"/>
      <c r="P96" s="861"/>
      <c r="Q96" s="233">
        <f>R69</f>
        <v>1</v>
      </c>
      <c r="R96" s="233" t="s">
        <v>326</v>
      </c>
      <c r="S96" s="233">
        <f>R69</f>
        <v>1</v>
      </c>
      <c r="T96" s="952"/>
      <c r="U96" s="14"/>
      <c r="V96" s="97"/>
    </row>
    <row r="97" spans="1:22" ht="18" hidden="1" customHeight="1">
      <c r="A97" s="196"/>
      <c r="V97" s="197"/>
    </row>
    <row r="98" spans="1:22" ht="18" hidden="1" customHeight="1">
      <c r="A98" s="196"/>
      <c r="C98" s="30" t="s">
        <v>138</v>
      </c>
      <c r="D98" s="798" t="e">
        <f>F95*(I95/I96)*(M95+O95+(Q95/(Q96*S96)))</f>
        <v>#VALUE!</v>
      </c>
      <c r="E98" s="799"/>
      <c r="F98" s="30" t="s">
        <v>316</v>
      </c>
      <c r="G98" s="199" t="s">
        <v>389</v>
      </c>
      <c r="H98" s="198" t="str">
        <f>IF(M59="y","Applicable","Not applicable")</f>
        <v>Not applicable</v>
      </c>
      <c r="V98" s="197"/>
    </row>
    <row r="99" spans="1:22" ht="18" customHeight="1">
      <c r="A99" s="196"/>
      <c r="V99" s="197"/>
    </row>
    <row r="100" spans="1:22" ht="18" customHeight="1">
      <c r="A100" s="96" t="s">
        <v>638</v>
      </c>
      <c r="M100" s="705">
        <f>R62</f>
        <v>2500</v>
      </c>
      <c r="N100" s="707"/>
      <c r="O100" s="30" t="s">
        <v>481</v>
      </c>
      <c r="Q100" s="798">
        <f>IF(M59="Y",MAX(D77,D98),MAX(D77,D82))</f>
        <v>241.05670026485819</v>
      </c>
      <c r="R100" s="645"/>
      <c r="S100" s="30" t="s">
        <v>316</v>
      </c>
      <c r="V100" s="197"/>
    </row>
    <row r="101" spans="1:22" ht="18" customHeight="1">
      <c r="A101" s="196"/>
      <c r="M101" s="259"/>
      <c r="N101" s="259"/>
      <c r="Q101" s="223"/>
      <c r="R101" s="27"/>
      <c r="V101" s="197"/>
    </row>
    <row r="102" spans="1:22" ht="18" customHeight="1">
      <c r="A102" s="260" t="s">
        <v>482</v>
      </c>
      <c r="B102" s="14"/>
      <c r="C102" s="14"/>
      <c r="D102" s="261"/>
      <c r="E102" s="14"/>
      <c r="F102" s="14"/>
      <c r="G102" s="47"/>
      <c r="H102" s="14"/>
      <c r="J102" s="14"/>
      <c r="K102" s="14"/>
      <c r="L102" s="14"/>
      <c r="M102" s="14"/>
      <c r="N102" s="14"/>
      <c r="O102" s="14"/>
      <c r="P102" s="262"/>
      <c r="Q102" s="263"/>
      <c r="R102" s="47"/>
      <c r="S102" s="14"/>
      <c r="V102" s="197"/>
    </row>
    <row r="103" spans="1:22" ht="18" customHeight="1">
      <c r="A103" s="260"/>
      <c r="B103" s="14"/>
      <c r="C103" s="14"/>
      <c r="D103" s="261"/>
      <c r="E103" s="14"/>
      <c r="F103" s="14"/>
      <c r="G103" s="47"/>
      <c r="H103" s="14"/>
      <c r="J103" s="14"/>
      <c r="K103" s="14"/>
      <c r="L103" s="14"/>
      <c r="M103" s="14"/>
      <c r="N103" s="14"/>
      <c r="O103" s="14"/>
      <c r="P103" s="262"/>
      <c r="Q103" s="263"/>
      <c r="R103" s="47"/>
      <c r="S103" s="14"/>
      <c r="V103" s="197"/>
    </row>
    <row r="104" spans="1:22" ht="18" hidden="1" customHeight="1">
      <c r="A104" s="96" t="s">
        <v>639</v>
      </c>
      <c r="V104" s="197"/>
    </row>
    <row r="105" spans="1:22" ht="18" customHeight="1">
      <c r="A105" s="196"/>
      <c r="N105" s="14"/>
      <c r="O105" s="14" t="s">
        <v>484</v>
      </c>
      <c r="P105" s="102" t="s">
        <v>138</v>
      </c>
      <c r="Q105" s="906" t="s">
        <v>485</v>
      </c>
      <c r="R105" s="906"/>
      <c r="S105" s="28" t="s">
        <v>326</v>
      </c>
      <c r="T105" s="28">
        <v>0.8</v>
      </c>
      <c r="V105" s="197"/>
    </row>
    <row r="106" spans="1:22" ht="18" customHeight="1">
      <c r="A106" s="196"/>
      <c r="N106" s="264"/>
      <c r="O106" s="14"/>
      <c r="P106" s="102" t="s">
        <v>138</v>
      </c>
      <c r="Q106" s="1026">
        <f>+Q100</f>
        <v>241.05670026485819</v>
      </c>
      <c r="R106" s="661"/>
      <c r="S106" s="234" t="s">
        <v>326</v>
      </c>
      <c r="T106" s="265">
        <f>+T105</f>
        <v>0.8</v>
      </c>
      <c r="V106" s="197"/>
    </row>
    <row r="107" spans="1:22" ht="18" customHeight="1">
      <c r="A107" s="196"/>
      <c r="O107" s="14"/>
      <c r="P107" s="28" t="s">
        <v>138</v>
      </c>
      <c r="Q107" s="1027">
        <f>Q106*T106</f>
        <v>192.84536021188657</v>
      </c>
      <c r="R107" s="707"/>
      <c r="S107" s="28" t="s">
        <v>316</v>
      </c>
      <c r="T107" s="28"/>
      <c r="V107" s="197"/>
    </row>
    <row r="108" spans="1:22" ht="18" customHeight="1">
      <c r="A108" s="196"/>
      <c r="F108" s="28"/>
      <c r="G108" s="28"/>
      <c r="H108" s="14"/>
      <c r="V108" s="197"/>
    </row>
    <row r="109" spans="1:22" ht="18" customHeight="1">
      <c r="A109" s="196"/>
      <c r="D109" s="14" t="s">
        <v>486</v>
      </c>
      <c r="G109" s="28" t="s">
        <v>487</v>
      </c>
      <c r="H109" s="14" t="s">
        <v>488</v>
      </c>
      <c r="V109" s="197"/>
    </row>
    <row r="110" spans="1:22" ht="18" customHeight="1">
      <c r="A110" s="196"/>
      <c r="E110" s="639">
        <f>H13</f>
        <v>400</v>
      </c>
      <c r="F110" s="639"/>
      <c r="G110" s="28" t="s">
        <v>487</v>
      </c>
      <c r="H110" s="637">
        <f>Q107</f>
        <v>192.84536021188657</v>
      </c>
      <c r="I110" s="639"/>
      <c r="V110" s="197"/>
    </row>
    <row r="111" spans="1:22" ht="18" customHeight="1">
      <c r="A111" s="196"/>
      <c r="F111" s="256" t="s">
        <v>489</v>
      </c>
      <c r="H111" s="18" t="str">
        <f>IF(E110&gt;H110,"Suitable Dimensions","Under Dimensioned")</f>
        <v>Suitable Dimensions</v>
      </c>
      <c r="V111" s="197"/>
    </row>
    <row r="112" spans="1:22" ht="18" customHeight="1">
      <c r="A112" s="196"/>
      <c r="F112" s="256"/>
      <c r="H112" s="18"/>
      <c r="V112" s="197"/>
    </row>
    <row r="113" spans="1:22" ht="18" customHeight="1">
      <c r="A113" s="196"/>
      <c r="F113" s="256"/>
      <c r="H113" s="18"/>
      <c r="V113" s="197"/>
    </row>
    <row r="114" spans="1:22" ht="18" customHeight="1">
      <c r="A114" s="196"/>
      <c r="F114" s="256"/>
      <c r="H114" s="18"/>
      <c r="V114" s="197"/>
    </row>
    <row r="115" spans="1:22" ht="18" customHeight="1">
      <c r="A115" s="196"/>
      <c r="F115" s="256"/>
      <c r="H115" s="18"/>
      <c r="V115" s="197"/>
    </row>
    <row r="116" spans="1:22" ht="18" customHeight="1">
      <c r="A116" s="196"/>
      <c r="F116" s="256"/>
      <c r="H116" s="18"/>
      <c r="V116" s="197"/>
    </row>
    <row r="117" spans="1:22" ht="18" customHeight="1">
      <c r="A117" s="196"/>
      <c r="F117" s="256"/>
      <c r="H117" s="18"/>
      <c r="V117" s="197"/>
    </row>
    <row r="118" spans="1:22" ht="18" customHeight="1">
      <c r="A118" s="196"/>
      <c r="F118" s="256"/>
      <c r="H118" s="18"/>
      <c r="V118" s="197"/>
    </row>
    <row r="119" spans="1:22" ht="18" customHeight="1">
      <c r="A119" s="196"/>
      <c r="F119" s="256"/>
      <c r="H119" s="18"/>
      <c r="V119" s="197"/>
    </row>
    <row r="120" spans="1:22" ht="18" customHeight="1">
      <c r="A120" s="196"/>
      <c r="F120" s="256"/>
      <c r="H120" s="18"/>
      <c r="V120" s="197"/>
    </row>
    <row r="121" spans="1:22" ht="18" customHeight="1">
      <c r="A121" s="196"/>
      <c r="F121" s="256"/>
      <c r="H121" s="18"/>
      <c r="V121" s="197"/>
    </row>
    <row r="122" spans="1:22" ht="18" customHeight="1">
      <c r="A122" s="196"/>
      <c r="F122" s="256"/>
      <c r="H122" s="18"/>
      <c r="V122" s="197"/>
    </row>
    <row r="123" spans="1:22" ht="18" customHeight="1">
      <c r="A123" s="196"/>
      <c r="F123" s="256"/>
      <c r="H123" s="18"/>
      <c r="V123" s="197"/>
    </row>
    <row r="124" spans="1:22" ht="18" customHeight="1">
      <c r="A124" s="196"/>
      <c r="F124" s="256"/>
      <c r="H124" s="18"/>
      <c r="V124" s="197"/>
    </row>
    <row r="125" spans="1:22" ht="18" customHeight="1">
      <c r="A125" s="196"/>
      <c r="F125" s="256"/>
      <c r="H125" s="18"/>
      <c r="V125" s="197"/>
    </row>
    <row r="126" spans="1:22" ht="18" customHeight="1">
      <c r="A126" s="196"/>
      <c r="F126" s="256"/>
      <c r="H126" s="18"/>
      <c r="V126" s="197"/>
    </row>
    <row r="127" spans="1:22" ht="18" customHeight="1">
      <c r="A127" s="196"/>
      <c r="F127" s="256"/>
      <c r="H127" s="18"/>
      <c r="V127" s="197"/>
    </row>
    <row r="128" spans="1:22" ht="18" customHeight="1">
      <c r="A128" s="196"/>
      <c r="F128" s="256"/>
      <c r="H128" s="18"/>
      <c r="V128" s="197"/>
    </row>
    <row r="129" spans="1:22" ht="18" customHeight="1">
      <c r="A129" s="196"/>
      <c r="F129" s="256"/>
      <c r="H129" s="18"/>
      <c r="V129" s="197"/>
    </row>
    <row r="130" spans="1:22" ht="18" customHeight="1">
      <c r="A130" s="196"/>
      <c r="F130" s="256"/>
      <c r="H130" s="18"/>
      <c r="V130" s="197"/>
    </row>
    <row r="131" spans="1:22" ht="18" customHeight="1">
      <c r="A131" s="196"/>
      <c r="F131" s="256"/>
      <c r="H131" s="18"/>
      <c r="V131" s="197"/>
    </row>
    <row r="132" spans="1:22" ht="18" customHeight="1">
      <c r="A132" s="196"/>
      <c r="F132" s="256"/>
      <c r="H132" s="18"/>
      <c r="V132" s="197"/>
    </row>
    <row r="133" spans="1:22" ht="18" customHeight="1">
      <c r="A133" s="196"/>
      <c r="F133" s="256"/>
      <c r="H133" s="18"/>
      <c r="V133" s="197"/>
    </row>
    <row r="134" spans="1:22" ht="18" customHeight="1">
      <c r="A134" s="196"/>
      <c r="F134" s="256"/>
      <c r="H134" s="18"/>
      <c r="V134" s="197"/>
    </row>
    <row r="135" spans="1:22" ht="18" customHeight="1">
      <c r="A135" s="196"/>
      <c r="F135" s="256"/>
      <c r="H135" s="18"/>
      <c r="V135" s="197"/>
    </row>
    <row r="136" spans="1:22" ht="18" customHeight="1">
      <c r="A136" s="196"/>
      <c r="F136" s="256"/>
      <c r="H136" s="18"/>
      <c r="V136" s="197"/>
    </row>
    <row r="137" spans="1:22" ht="18" customHeight="1">
      <c r="A137" s="196"/>
      <c r="F137" s="256"/>
      <c r="H137" s="18"/>
      <c r="V137" s="197"/>
    </row>
    <row r="138" spans="1:22" ht="18" customHeight="1">
      <c r="A138" s="196"/>
      <c r="F138" s="256"/>
      <c r="H138" s="18"/>
      <c r="V138" s="197"/>
    </row>
    <row r="139" spans="1:22" ht="18" customHeight="1">
      <c r="A139" s="196"/>
      <c r="V139" s="197"/>
    </row>
    <row r="140" spans="1:22" ht="18" customHeight="1">
      <c r="A140" s="196"/>
      <c r="V140" s="197"/>
    </row>
    <row r="141" spans="1:22" s="14" customFormat="1" ht="18" customHeight="1">
      <c r="A141" s="206"/>
      <c r="B141" s="207"/>
      <c r="C141" s="207"/>
      <c r="D141" s="207"/>
      <c r="E141" s="207"/>
      <c r="F141" s="207"/>
      <c r="G141" s="207"/>
      <c r="H141" s="207"/>
      <c r="I141" s="207"/>
      <c r="J141" s="207"/>
      <c r="K141" s="207"/>
      <c r="L141" s="207"/>
      <c r="M141" s="207"/>
      <c r="N141" s="207"/>
      <c r="O141" s="207"/>
      <c r="P141" s="207"/>
      <c r="Q141" s="236"/>
      <c r="R141" s="194"/>
      <c r="S141" s="237"/>
      <c r="T141" s="207"/>
      <c r="U141" s="207"/>
      <c r="V141" s="140"/>
    </row>
    <row r="142" spans="1:22" ht="18" hidden="1" customHeight="1">
      <c r="A142" s="238"/>
      <c r="B142" s="239"/>
      <c r="C142" s="239"/>
      <c r="D142" s="239"/>
      <c r="E142" s="239"/>
      <c r="F142" s="239"/>
      <c r="G142" s="239"/>
      <c r="H142" s="239"/>
      <c r="I142" s="239"/>
      <c r="J142" s="239"/>
      <c r="K142" s="239"/>
      <c r="L142" s="239"/>
      <c r="M142" s="239"/>
      <c r="N142" s="239"/>
      <c r="O142" s="239"/>
      <c r="P142" s="239"/>
      <c r="Q142" s="239"/>
      <c r="R142" s="239"/>
      <c r="S142" s="239"/>
      <c r="T142" s="239"/>
      <c r="U142" s="239"/>
      <c r="V142" s="240"/>
    </row>
    <row r="143" spans="1:22" ht="18" hidden="1" customHeight="1">
      <c r="A143" s="196"/>
      <c r="B143" s="656" t="str">
        <f>B7</f>
        <v>T1</v>
      </c>
      <c r="C143" s="657"/>
      <c r="D143" s="696" t="str">
        <f>D7</f>
        <v>Core1</v>
      </c>
      <c r="E143" s="697"/>
      <c r="F143" s="198"/>
      <c r="H143" s="639" t="str">
        <f>H7</f>
        <v>(Transformer Differential)</v>
      </c>
      <c r="I143" s="639"/>
      <c r="J143" s="639"/>
      <c r="K143" s="639"/>
      <c r="L143" s="639"/>
      <c r="M143" s="639"/>
      <c r="N143" s="639"/>
      <c r="P143" s="198"/>
      <c r="S143" s="199" t="s">
        <v>398</v>
      </c>
      <c r="T143" s="667" t="str">
        <f>T7</f>
        <v>RET670</v>
      </c>
      <c r="U143" s="668"/>
      <c r="V143" s="197"/>
    </row>
    <row r="144" spans="1:22" ht="18" hidden="1" customHeight="1">
      <c r="A144" s="196"/>
      <c r="B144" s="1114">
        <f>B8</f>
        <v>0</v>
      </c>
      <c r="C144" s="1114"/>
      <c r="D144" s="654"/>
      <c r="E144" s="655"/>
      <c r="F144" s="267"/>
      <c r="T144" s="992">
        <f>T8</f>
        <v>0</v>
      </c>
      <c r="U144" s="993"/>
      <c r="V144" s="197"/>
    </row>
    <row r="145" spans="1:29" ht="18" hidden="1" customHeight="1">
      <c r="A145" s="196"/>
      <c r="H145" s="661" t="s">
        <v>401</v>
      </c>
      <c r="I145" s="661"/>
      <c r="J145" s="662" t="s">
        <v>402</v>
      </c>
      <c r="K145" s="662"/>
      <c r="L145" s="661" t="s">
        <v>403</v>
      </c>
      <c r="M145" s="661"/>
      <c r="T145" s="992">
        <f>T9</f>
        <v>0</v>
      </c>
      <c r="U145" s="993"/>
      <c r="V145" s="197"/>
    </row>
    <row r="146" spans="1:29" ht="18" hidden="1" customHeight="1">
      <c r="A146" s="196"/>
      <c r="B146" s="47" t="s">
        <v>404</v>
      </c>
      <c r="H146" s="656">
        <f>H10</f>
        <v>2500</v>
      </c>
      <c r="I146" s="657"/>
      <c r="J146" s="692" t="str">
        <f>J10</f>
        <v>-</v>
      </c>
      <c r="K146" s="693"/>
      <c r="L146" s="992" t="str">
        <f>L10</f>
        <v>-</v>
      </c>
      <c r="M146" s="993"/>
      <c r="N146" s="102" t="s">
        <v>353</v>
      </c>
      <c r="O146" s="266">
        <f>O10</f>
        <v>1</v>
      </c>
      <c r="P146" s="27" t="s">
        <v>9</v>
      </c>
      <c r="V146" s="197"/>
    </row>
    <row r="147" spans="1:29" ht="18" hidden="1" customHeight="1">
      <c r="A147" s="196"/>
      <c r="B147" s="47" t="s">
        <v>405</v>
      </c>
      <c r="H147" s="14"/>
      <c r="I147" s="14"/>
      <c r="J147" s="656" t="s">
        <v>406</v>
      </c>
      <c r="K147" s="657"/>
      <c r="L147" s="14"/>
      <c r="M147" s="14"/>
      <c r="V147" s="197"/>
    </row>
    <row r="148" spans="1:29" ht="18" hidden="1" customHeight="1">
      <c r="A148" s="196"/>
      <c r="B148" s="47" t="s">
        <v>407</v>
      </c>
      <c r="I148" s="120" t="s">
        <v>508</v>
      </c>
      <c r="J148" s="656">
        <v>6</v>
      </c>
      <c r="K148" s="657"/>
      <c r="L148" s="204" t="s">
        <v>344</v>
      </c>
      <c r="N148" s="14"/>
      <c r="V148" s="197"/>
    </row>
    <row r="149" spans="1:29" ht="18" hidden="1" customHeight="1">
      <c r="A149" s="196"/>
      <c r="B149" s="47" t="s">
        <v>409</v>
      </c>
      <c r="I149" s="120" t="s">
        <v>509</v>
      </c>
      <c r="J149" s="656">
        <v>500</v>
      </c>
      <c r="K149" s="657"/>
      <c r="L149" s="14" t="s">
        <v>316</v>
      </c>
      <c r="N149" s="14"/>
      <c r="V149" s="197"/>
      <c r="W149" s="30" t="s">
        <v>411</v>
      </c>
      <c r="AB149" s="996" t="e">
        <f>Q247</f>
        <v>#VALUE!</v>
      </c>
      <c r="AC149" s="997"/>
    </row>
    <row r="150" spans="1:29" ht="18" hidden="1" customHeight="1">
      <c r="A150" s="196"/>
      <c r="B150" s="14" t="s">
        <v>412</v>
      </c>
      <c r="I150" s="120" t="s">
        <v>413</v>
      </c>
      <c r="J150" s="656">
        <v>60</v>
      </c>
      <c r="K150" s="657"/>
      <c r="L150" s="14" t="s">
        <v>414</v>
      </c>
      <c r="N150" s="14"/>
      <c r="V150" s="197"/>
    </row>
    <row r="151" spans="1:29" ht="18" hidden="1" customHeight="1">
      <c r="A151" s="196"/>
      <c r="V151" s="197"/>
    </row>
    <row r="152" spans="1:29" ht="18" hidden="1" customHeight="1">
      <c r="A152" s="205" t="s">
        <v>415</v>
      </c>
      <c r="V152" s="197"/>
    </row>
    <row r="153" spans="1:29" ht="18" hidden="1" customHeight="1">
      <c r="A153" s="196"/>
      <c r="V153" s="197"/>
    </row>
    <row r="154" spans="1:29" ht="18" hidden="1" customHeight="1">
      <c r="A154" s="196"/>
      <c r="B154" s="206" t="s">
        <v>416</v>
      </c>
      <c r="C154" s="207"/>
      <c r="D154" s="207" t="str">
        <f>T143</f>
        <v>RET670</v>
      </c>
      <c r="E154" s="208"/>
      <c r="F154" s="208"/>
      <c r="G154" s="208"/>
      <c r="H154" s="194" t="s">
        <v>417</v>
      </c>
      <c r="I154" s="195" t="s">
        <v>138</v>
      </c>
      <c r="J154" s="897">
        <f>J18</f>
        <v>0.02</v>
      </c>
      <c r="K154" s="649"/>
      <c r="L154" s="3" t="s">
        <v>168</v>
      </c>
      <c r="N154" s="209" t="s">
        <v>418</v>
      </c>
      <c r="V154" s="197"/>
    </row>
    <row r="155" spans="1:29" ht="18" hidden="1" customHeight="1">
      <c r="A155" s="196"/>
      <c r="B155" s="96" t="s">
        <v>416</v>
      </c>
      <c r="D155" s="30">
        <f>T144</f>
        <v>0</v>
      </c>
      <c r="H155" s="27"/>
      <c r="I155" s="189" t="s">
        <v>138</v>
      </c>
      <c r="J155" s="1042">
        <f>J19</f>
        <v>0</v>
      </c>
      <c r="K155" s="643"/>
      <c r="L155" s="210" t="s">
        <v>168</v>
      </c>
      <c r="V155" s="197"/>
    </row>
    <row r="156" spans="1:29" ht="18" hidden="1" customHeight="1">
      <c r="A156" s="196"/>
      <c r="B156" s="96" t="s">
        <v>416</v>
      </c>
      <c r="D156" s="30">
        <f>T145</f>
        <v>0</v>
      </c>
      <c r="E156" s="14"/>
      <c r="G156" s="211"/>
      <c r="H156" s="27"/>
      <c r="I156" s="189" t="s">
        <v>138</v>
      </c>
      <c r="J156" s="644">
        <f>J20</f>
        <v>0</v>
      </c>
      <c r="K156" s="645"/>
      <c r="L156" s="214" t="s">
        <v>168</v>
      </c>
      <c r="N156" s="30" t="s">
        <v>419</v>
      </c>
      <c r="O156" s="27" t="s">
        <v>138</v>
      </c>
      <c r="P156" s="30" t="s">
        <v>420</v>
      </c>
      <c r="Q156" s="203" t="s">
        <v>421</v>
      </c>
      <c r="R156" s="256" t="s">
        <v>422</v>
      </c>
      <c r="S156" s="27" t="s">
        <v>326</v>
      </c>
      <c r="T156" s="30" t="s">
        <v>422</v>
      </c>
      <c r="U156" s="30" t="s">
        <v>361</v>
      </c>
      <c r="V156" s="197"/>
    </row>
    <row r="157" spans="1:29" ht="18" hidden="1" customHeight="1">
      <c r="A157" s="196"/>
      <c r="B157" s="196" t="s">
        <v>423</v>
      </c>
      <c r="H157" s="27" t="s">
        <v>610</v>
      </c>
      <c r="I157" s="189" t="s">
        <v>138</v>
      </c>
      <c r="J157" s="1042">
        <f>J21</f>
        <v>1.44186744</v>
      </c>
      <c r="K157" s="643"/>
      <c r="L157" s="215" t="s">
        <v>168</v>
      </c>
      <c r="O157" s="27" t="s">
        <v>138</v>
      </c>
      <c r="P157" s="216">
        <f>J158</f>
        <v>1.46186744</v>
      </c>
      <c r="Q157" s="203" t="s">
        <v>421</v>
      </c>
      <c r="R157" s="27">
        <f>O146</f>
        <v>1</v>
      </c>
      <c r="S157" s="27" t="s">
        <v>326</v>
      </c>
      <c r="T157" s="27">
        <f>O146</f>
        <v>1</v>
      </c>
      <c r="U157" s="30" t="s">
        <v>361</v>
      </c>
      <c r="V157" s="197"/>
    </row>
    <row r="158" spans="1:29" ht="18" hidden="1" customHeight="1">
      <c r="A158" s="196"/>
      <c r="B158" s="217" t="s">
        <v>424</v>
      </c>
      <c r="C158" s="218"/>
      <c r="D158" s="218"/>
      <c r="E158" s="218"/>
      <c r="F158" s="219"/>
      <c r="G158" s="219"/>
      <c r="H158" s="202" t="s">
        <v>420</v>
      </c>
      <c r="I158" s="220" t="s">
        <v>138</v>
      </c>
      <c r="J158" s="897">
        <f>J154+J157</f>
        <v>1.46186744</v>
      </c>
      <c r="K158" s="649"/>
      <c r="L158" s="222" t="s">
        <v>168</v>
      </c>
      <c r="O158" s="27" t="s">
        <v>138</v>
      </c>
      <c r="P158" s="637">
        <f>P157/(R157*T157)</f>
        <v>1.46186744</v>
      </c>
      <c r="Q158" s="637"/>
      <c r="R158" s="204" t="s">
        <v>344</v>
      </c>
      <c r="V158" s="197"/>
    </row>
    <row r="159" spans="1:29" ht="18" hidden="1" customHeight="1">
      <c r="A159" s="196"/>
      <c r="V159" s="197"/>
    </row>
    <row r="160" spans="1:29" s="14" customFormat="1" ht="18" hidden="1" customHeight="1">
      <c r="A160" s="205" t="s">
        <v>611</v>
      </c>
      <c r="B160" s="5"/>
      <c r="C160" s="5"/>
      <c r="D160" s="5"/>
      <c r="E160" s="5"/>
      <c r="F160" s="5"/>
      <c r="G160" s="5"/>
      <c r="H160" s="224"/>
      <c r="I160" s="224"/>
      <c r="J160" s="5"/>
      <c r="K160" s="5"/>
      <c r="L160" s="5"/>
      <c r="M160" s="5"/>
      <c r="N160" s="5"/>
      <c r="O160" s="5"/>
      <c r="P160" s="103"/>
      <c r="Q160" s="224"/>
      <c r="R160" s="225"/>
      <c r="S160" s="226"/>
      <c r="T160" s="18"/>
      <c r="U160" s="18"/>
      <c r="V160" s="97"/>
    </row>
    <row r="161" spans="1:27" s="14" customFormat="1" ht="18" hidden="1" customHeight="1">
      <c r="A161" s="96"/>
      <c r="B161" s="47" t="s">
        <v>612</v>
      </c>
      <c r="C161" s="5"/>
      <c r="D161" s="5"/>
      <c r="E161" s="5"/>
      <c r="I161" s="227"/>
      <c r="M161" s="5"/>
      <c r="O161" s="103" t="s">
        <v>138</v>
      </c>
      <c r="P161" s="660">
        <f>P25</f>
        <v>100</v>
      </c>
      <c r="Q161" s="1096"/>
      <c r="R161" s="14" t="s">
        <v>613</v>
      </c>
      <c r="S161" s="226"/>
      <c r="T161" s="18"/>
      <c r="U161" s="18"/>
      <c r="V161" s="97"/>
    </row>
    <row r="162" spans="1:27" s="14" customFormat="1" ht="18" hidden="1" customHeight="1">
      <c r="A162" s="96"/>
      <c r="B162" s="47" t="s">
        <v>614</v>
      </c>
      <c r="C162" s="5"/>
      <c r="D162" s="5"/>
      <c r="E162" s="5"/>
      <c r="I162" s="227"/>
      <c r="M162" s="5"/>
      <c r="O162" s="103" t="s">
        <v>138</v>
      </c>
      <c r="P162" s="660">
        <f>P26</f>
        <v>25</v>
      </c>
      <c r="Q162" s="1096"/>
      <c r="R162" s="14" t="s">
        <v>615</v>
      </c>
      <c r="S162" s="226"/>
      <c r="T162" s="18"/>
      <c r="U162" s="18"/>
      <c r="V162" s="97"/>
    </row>
    <row r="163" spans="1:27" s="14" customFormat="1" ht="18" hidden="1" customHeight="1">
      <c r="A163" s="96"/>
      <c r="B163" s="47" t="s">
        <v>616</v>
      </c>
      <c r="C163" s="5"/>
      <c r="D163" s="5"/>
      <c r="E163" s="5"/>
      <c r="N163" s="120" t="s">
        <v>617</v>
      </c>
      <c r="O163" s="103" t="s">
        <v>618</v>
      </c>
      <c r="P163" s="650">
        <f>P27</f>
        <v>33</v>
      </c>
      <c r="Q163" s="1080"/>
      <c r="R163" s="14" t="s">
        <v>174</v>
      </c>
      <c r="S163" s="226"/>
      <c r="T163" s="18"/>
      <c r="U163" s="18"/>
      <c r="V163" s="97"/>
    </row>
    <row r="164" spans="1:27" s="14" customFormat="1" ht="18" hidden="1" customHeight="1">
      <c r="A164" s="228"/>
      <c r="B164" s="224"/>
      <c r="C164" s="224"/>
      <c r="D164" s="224"/>
      <c r="E164" s="224"/>
      <c r="T164" s="18"/>
      <c r="U164" s="18"/>
      <c r="V164" s="97"/>
    </row>
    <row r="165" spans="1:27" s="14" customFormat="1" ht="18" hidden="1" customHeight="1">
      <c r="A165" s="96"/>
      <c r="B165" s="14" t="s">
        <v>619</v>
      </c>
      <c r="C165" s="225"/>
      <c r="D165" s="225"/>
      <c r="E165" s="225"/>
      <c r="H165" s="120" t="s">
        <v>620</v>
      </c>
      <c r="I165" s="28" t="s">
        <v>138</v>
      </c>
      <c r="J165" s="638" t="s">
        <v>621</v>
      </c>
      <c r="K165" s="638"/>
      <c r="L165" s="28" t="s">
        <v>326</v>
      </c>
      <c r="M165" s="229">
        <v>1000</v>
      </c>
      <c r="N165" s="102" t="s">
        <v>353</v>
      </c>
      <c r="O165" s="14" t="s">
        <v>622</v>
      </c>
      <c r="P165" s="28" t="s">
        <v>326</v>
      </c>
      <c r="Q165" s="28" t="s">
        <v>617</v>
      </c>
      <c r="R165" s="47"/>
      <c r="T165" s="18"/>
      <c r="U165" s="18"/>
      <c r="V165" s="97"/>
    </row>
    <row r="166" spans="1:27" s="14" customFormat="1" ht="18" hidden="1" customHeight="1">
      <c r="A166" s="228"/>
      <c r="B166" s="225"/>
      <c r="C166" s="225"/>
      <c r="D166" s="225"/>
      <c r="E166" s="225"/>
      <c r="F166" s="224"/>
      <c r="G166" s="224"/>
      <c r="H166" s="28"/>
      <c r="I166" s="28" t="s">
        <v>138</v>
      </c>
      <c r="J166" s="638">
        <f>P161</f>
        <v>100</v>
      </c>
      <c r="K166" s="638"/>
      <c r="L166" s="28" t="s">
        <v>326</v>
      </c>
      <c r="M166" s="229">
        <v>1000</v>
      </c>
      <c r="N166" s="102" t="s">
        <v>353</v>
      </c>
      <c r="O166" s="14" t="s">
        <v>622</v>
      </c>
      <c r="P166" s="28" t="s">
        <v>326</v>
      </c>
      <c r="Q166" s="28">
        <f>P163</f>
        <v>33</v>
      </c>
      <c r="R166" s="47"/>
      <c r="T166" s="18"/>
      <c r="U166" s="18"/>
      <c r="V166" s="97"/>
    </row>
    <row r="167" spans="1:27" s="14" customFormat="1" ht="18" hidden="1" customHeight="1">
      <c r="A167" s="228"/>
      <c r="B167" s="224"/>
      <c r="C167" s="224"/>
      <c r="D167" s="224"/>
      <c r="E167" s="224"/>
      <c r="F167" s="224"/>
      <c r="G167" s="224"/>
      <c r="I167" s="28" t="s">
        <v>138</v>
      </c>
      <c r="J167" s="641">
        <f>(P161*1000)/(SQRT(3)*P163)</f>
        <v>1749.5462702715934</v>
      </c>
      <c r="K167" s="641"/>
      <c r="L167" s="14" t="s">
        <v>9</v>
      </c>
      <c r="M167" s="120"/>
      <c r="N167" s="120"/>
      <c r="O167" s="120"/>
      <c r="T167" s="18"/>
      <c r="U167" s="18"/>
      <c r="V167" s="97"/>
    </row>
    <row r="168" spans="1:27" s="14" customFormat="1" ht="18" hidden="1" customHeight="1">
      <c r="A168" s="228"/>
      <c r="B168" s="224"/>
      <c r="C168" s="224"/>
      <c r="D168" s="224"/>
      <c r="E168" s="224"/>
      <c r="G168" s="224"/>
      <c r="H168" s="28"/>
      <c r="I168" s="103"/>
      <c r="J168" s="28"/>
      <c r="M168" s="224"/>
      <c r="N168" s="231"/>
      <c r="O168" s="224"/>
      <c r="T168" s="18"/>
      <c r="U168" s="18"/>
      <c r="V168" s="97"/>
    </row>
    <row r="169" spans="1:27" s="14" customFormat="1" ht="18" hidden="1" customHeight="1">
      <c r="A169" s="159" t="s">
        <v>640</v>
      </c>
      <c r="B169" s="5"/>
      <c r="C169" s="5"/>
      <c r="D169" s="5"/>
      <c r="E169" s="5"/>
      <c r="F169" s="224"/>
      <c r="G169" s="224"/>
      <c r="H169" s="5"/>
      <c r="I169" s="5"/>
      <c r="J169" s="5"/>
      <c r="K169" s="5"/>
      <c r="L169" s="103"/>
      <c r="M169" s="103"/>
      <c r="N169" s="103"/>
      <c r="O169" s="103"/>
      <c r="P169" s="224"/>
      <c r="Q169" s="225"/>
      <c r="S169" s="232"/>
      <c r="T169" s="18"/>
      <c r="U169" s="18"/>
      <c r="V169" s="97"/>
    </row>
    <row r="170" spans="1:27" s="14" customFormat="1" ht="18" hidden="1" customHeight="1">
      <c r="A170" s="159"/>
      <c r="B170" s="5"/>
      <c r="C170" s="5"/>
      <c r="D170" s="5"/>
      <c r="E170" s="5"/>
      <c r="F170" s="224"/>
      <c r="G170" s="224"/>
      <c r="H170" s="5"/>
      <c r="I170" s="5"/>
      <c r="J170" s="5"/>
      <c r="K170" s="5"/>
      <c r="L170" s="103"/>
      <c r="M170" s="103"/>
      <c r="N170" s="103"/>
      <c r="O170" s="103"/>
      <c r="P170" s="224"/>
      <c r="Q170" s="225"/>
      <c r="S170" s="226"/>
      <c r="T170" s="18"/>
      <c r="U170" s="18"/>
      <c r="V170" s="97"/>
    </row>
    <row r="171" spans="1:27" ht="18" hidden="1" customHeight="1">
      <c r="A171" s="196"/>
      <c r="B171" s="14" t="s">
        <v>623</v>
      </c>
      <c r="C171" s="14"/>
      <c r="D171" s="14"/>
      <c r="E171" s="14"/>
      <c r="M171" s="120" t="s">
        <v>624</v>
      </c>
      <c r="N171" s="28" t="s">
        <v>138</v>
      </c>
      <c r="O171" s="638" t="s">
        <v>620</v>
      </c>
      <c r="P171" s="920"/>
      <c r="Q171" s="233" t="s">
        <v>641</v>
      </c>
      <c r="R171" s="233">
        <v>16</v>
      </c>
      <c r="S171" s="226"/>
      <c r="V171" s="197"/>
    </row>
    <row r="172" spans="1:27" ht="18" hidden="1" customHeight="1">
      <c r="A172" s="96"/>
      <c r="B172" s="5"/>
      <c r="C172" s="5"/>
      <c r="D172" s="5"/>
      <c r="E172" s="5"/>
      <c r="M172" s="262"/>
      <c r="N172" s="28" t="s">
        <v>138</v>
      </c>
      <c r="O172" s="641">
        <f>+J167</f>
        <v>1749.5462702715934</v>
      </c>
      <c r="P172" s="1065"/>
      <c r="Q172" s="233" t="s">
        <v>641</v>
      </c>
      <c r="R172" s="233">
        <v>16</v>
      </c>
      <c r="S172" s="226"/>
      <c r="V172" s="197"/>
    </row>
    <row r="173" spans="1:27" ht="18" hidden="1" customHeight="1">
      <c r="A173" s="96"/>
      <c r="B173" s="5"/>
      <c r="C173" s="5"/>
      <c r="D173" s="5"/>
      <c r="E173" s="5"/>
      <c r="M173" s="120" t="s">
        <v>624</v>
      </c>
      <c r="N173" s="28" t="s">
        <v>138</v>
      </c>
      <c r="O173" s="638">
        <f>O172*R172</f>
        <v>27992.740324345494</v>
      </c>
      <c r="P173" s="920"/>
      <c r="Q173" s="253" t="s">
        <v>9</v>
      </c>
      <c r="R173" s="14"/>
      <c r="S173" s="226"/>
      <c r="V173" s="197"/>
      <c r="AA173" s="30">
        <f>O173/3000</f>
        <v>9.330913441448498</v>
      </c>
    </row>
    <row r="174" spans="1:27" ht="18" hidden="1" customHeight="1">
      <c r="A174" s="96"/>
      <c r="B174" s="5"/>
      <c r="C174" s="5"/>
      <c r="D174" s="5"/>
      <c r="E174" s="5"/>
      <c r="M174" s="224"/>
      <c r="N174" s="224"/>
      <c r="O174" s="103"/>
      <c r="Q174" s="235"/>
      <c r="R174" s="14"/>
      <c r="S174" s="226"/>
      <c r="V174" s="197"/>
    </row>
    <row r="175" spans="1:27" ht="18" hidden="1" customHeight="1">
      <c r="A175" s="1002" t="s">
        <v>625</v>
      </c>
      <c r="B175" s="965"/>
      <c r="C175" s="965"/>
      <c r="D175" s="965"/>
      <c r="E175" s="965"/>
      <c r="F175" s="965"/>
      <c r="G175" s="965"/>
      <c r="H175" s="965"/>
      <c r="I175" s="965"/>
      <c r="J175" s="965"/>
      <c r="K175" s="965"/>
      <c r="L175" s="965"/>
      <c r="M175" s="965"/>
      <c r="N175" s="965"/>
      <c r="O175" s="965"/>
      <c r="P175" s="965"/>
      <c r="Q175" s="965"/>
      <c r="R175" s="965"/>
      <c r="S175" s="965"/>
      <c r="T175" s="965"/>
      <c r="U175" s="965"/>
      <c r="V175" s="966"/>
      <c r="X175" s="14" t="s">
        <v>626</v>
      </c>
    </row>
    <row r="176" spans="1:27" ht="18" hidden="1" customHeight="1">
      <c r="A176" s="967"/>
      <c r="B176" s="965"/>
      <c r="C176" s="965"/>
      <c r="D176" s="965"/>
      <c r="E176" s="965"/>
      <c r="F176" s="965"/>
      <c r="G176" s="965"/>
      <c r="H176" s="965"/>
      <c r="I176" s="965"/>
      <c r="J176" s="965"/>
      <c r="K176" s="965"/>
      <c r="L176" s="965"/>
      <c r="M176" s="965"/>
      <c r="N176" s="965"/>
      <c r="O176" s="965"/>
      <c r="P176" s="965"/>
      <c r="Q176" s="965"/>
      <c r="R176" s="965"/>
      <c r="S176" s="965"/>
      <c r="T176" s="965"/>
      <c r="U176" s="965"/>
      <c r="V176" s="966"/>
    </row>
    <row r="177" spans="1:22" ht="18" hidden="1" customHeight="1">
      <c r="A177" s="243"/>
      <c r="B177" s="244"/>
      <c r="C177" s="244"/>
      <c r="D177" s="244"/>
      <c r="E177" s="244"/>
      <c r="F177" s="244"/>
      <c r="G177" s="244"/>
      <c r="H177" s="244"/>
      <c r="I177" s="244"/>
      <c r="J177" s="244"/>
      <c r="K177" s="244"/>
      <c r="L177" s="244"/>
      <c r="M177" s="244"/>
      <c r="N177" s="244"/>
      <c r="O177" s="244"/>
      <c r="P177" s="244"/>
      <c r="Q177" s="244"/>
      <c r="R177" s="244"/>
      <c r="S177" s="244"/>
      <c r="T177" s="244"/>
      <c r="U177" s="244"/>
      <c r="V177" s="245"/>
    </row>
    <row r="178" spans="1:22" ht="18" hidden="1" customHeight="1">
      <c r="A178" s="243"/>
      <c r="B178" s="244"/>
      <c r="C178" s="244"/>
      <c r="D178" s="244"/>
      <c r="E178" s="244"/>
      <c r="F178" s="244"/>
      <c r="G178" s="244"/>
      <c r="H178" s="244"/>
      <c r="I178" s="244"/>
      <c r="J178" s="244"/>
      <c r="K178" s="244"/>
      <c r="L178" s="244"/>
      <c r="M178" s="244"/>
      <c r="N178" s="244"/>
      <c r="O178" s="244"/>
      <c r="P178" s="244"/>
      <c r="Q178" s="244"/>
      <c r="R178" s="244"/>
      <c r="S178" s="244"/>
      <c r="T178" s="244"/>
      <c r="U178" s="244"/>
      <c r="V178" s="245"/>
    </row>
    <row r="179" spans="1:22" ht="18" hidden="1" customHeight="1">
      <c r="A179" s="243"/>
      <c r="B179" s="244"/>
      <c r="C179" s="244"/>
      <c r="D179" s="244"/>
      <c r="E179" s="244"/>
      <c r="F179" s="244"/>
      <c r="G179" s="244"/>
      <c r="H179" s="244"/>
      <c r="I179" s="244"/>
      <c r="J179" s="244"/>
      <c r="K179" s="244"/>
      <c r="L179" s="244"/>
      <c r="M179" s="244"/>
      <c r="N179" s="244"/>
      <c r="O179" s="244"/>
      <c r="P179" s="244"/>
      <c r="Q179" s="244"/>
      <c r="R179" s="244"/>
      <c r="S179" s="244"/>
      <c r="T179" s="244"/>
      <c r="U179" s="244"/>
      <c r="V179" s="245"/>
    </row>
    <row r="180" spans="1:22" ht="18" hidden="1" customHeight="1">
      <c r="A180" s="243"/>
      <c r="B180" s="244"/>
      <c r="C180" s="244"/>
      <c r="D180" s="244"/>
      <c r="E180" s="244"/>
      <c r="F180" s="244"/>
      <c r="G180" s="244"/>
      <c r="H180" s="244"/>
      <c r="I180" s="244"/>
      <c r="J180" s="244"/>
      <c r="K180" s="244"/>
      <c r="L180" s="244"/>
      <c r="M180" s="244"/>
      <c r="N180" s="244"/>
      <c r="O180" s="244"/>
      <c r="P180" s="244"/>
      <c r="Q180" s="244"/>
      <c r="R180" s="244"/>
      <c r="S180" s="244"/>
      <c r="T180" s="244"/>
      <c r="U180" s="244"/>
      <c r="V180" s="245"/>
    </row>
    <row r="181" spans="1:22" ht="18" hidden="1" customHeight="1">
      <c r="A181" s="243"/>
      <c r="B181" s="244"/>
      <c r="C181" s="244"/>
      <c r="D181" s="244"/>
      <c r="E181" s="244"/>
      <c r="F181" s="244"/>
      <c r="G181" s="244"/>
      <c r="H181" s="244"/>
      <c r="I181" s="244"/>
      <c r="J181" s="244"/>
      <c r="K181" s="244"/>
      <c r="L181" s="244"/>
      <c r="M181" s="244"/>
      <c r="N181" s="244"/>
      <c r="O181" s="244"/>
      <c r="P181" s="244"/>
      <c r="Q181" s="244"/>
      <c r="R181" s="244"/>
      <c r="S181" s="244"/>
      <c r="T181" s="244"/>
      <c r="U181" s="244"/>
      <c r="V181" s="245"/>
    </row>
    <row r="182" spans="1:22" ht="18" hidden="1" customHeight="1">
      <c r="A182" s="243"/>
      <c r="B182" s="244"/>
      <c r="C182" s="244"/>
      <c r="D182" s="244"/>
      <c r="E182" s="244"/>
      <c r="F182" s="244"/>
      <c r="G182" s="244"/>
      <c r="H182" s="244"/>
      <c r="I182" s="244"/>
      <c r="J182" s="244"/>
      <c r="K182" s="244"/>
      <c r="L182" s="244"/>
      <c r="M182" s="244"/>
      <c r="N182" s="244"/>
      <c r="O182" s="244"/>
      <c r="P182" s="244"/>
      <c r="Q182" s="244"/>
      <c r="R182" s="244"/>
      <c r="S182" s="244"/>
      <c r="T182" s="244"/>
      <c r="U182" s="244"/>
      <c r="V182" s="245"/>
    </row>
    <row r="183" spans="1:22" s="14" customFormat="1" ht="18" hidden="1" customHeight="1">
      <c r="A183" s="206"/>
      <c r="B183" s="207"/>
      <c r="C183" s="207"/>
      <c r="D183" s="207"/>
      <c r="E183" s="207"/>
      <c r="F183" s="207"/>
      <c r="G183" s="207"/>
      <c r="H183" s="207"/>
      <c r="I183" s="207"/>
      <c r="J183" s="207"/>
      <c r="K183" s="207"/>
      <c r="L183" s="207"/>
      <c r="M183" s="207"/>
      <c r="N183" s="207"/>
      <c r="O183" s="207"/>
      <c r="P183" s="207"/>
      <c r="Q183" s="236"/>
      <c r="R183" s="194"/>
      <c r="S183" s="237"/>
      <c r="T183" s="207"/>
      <c r="U183" s="207"/>
      <c r="V183" s="140"/>
    </row>
    <row r="184" spans="1:22" ht="18" hidden="1" customHeight="1">
      <c r="A184" s="238"/>
      <c r="B184" s="239"/>
      <c r="C184" s="239"/>
      <c r="D184" s="239"/>
      <c r="E184" s="239"/>
      <c r="F184" s="239"/>
      <c r="G184" s="239"/>
      <c r="H184" s="239"/>
      <c r="I184" s="239"/>
      <c r="J184" s="239"/>
      <c r="K184" s="239"/>
      <c r="L184" s="239"/>
      <c r="M184" s="239"/>
      <c r="N184" s="239"/>
      <c r="O184" s="239"/>
      <c r="P184" s="239"/>
      <c r="Q184" s="239"/>
      <c r="R184" s="239"/>
      <c r="S184" s="239"/>
      <c r="T184" s="239"/>
      <c r="U184" s="239"/>
      <c r="V184" s="240"/>
    </row>
    <row r="185" spans="1:22" ht="18" hidden="1" customHeight="1">
      <c r="A185" s="1006" t="s">
        <v>428</v>
      </c>
      <c r="B185" s="1008"/>
      <c r="C185" s="1008"/>
      <c r="D185" s="638">
        <v>30</v>
      </c>
      <c r="E185" s="638" t="s">
        <v>326</v>
      </c>
      <c r="F185" s="638" t="s">
        <v>620</v>
      </c>
      <c r="G185" s="639"/>
      <c r="H185" s="638" t="s">
        <v>326</v>
      </c>
      <c r="I185" s="661" t="s">
        <v>422</v>
      </c>
      <c r="J185" s="1068"/>
      <c r="K185" s="638" t="s">
        <v>326</v>
      </c>
      <c r="L185" s="1008" t="s">
        <v>430</v>
      </c>
      <c r="M185" s="920" t="s">
        <v>431</v>
      </c>
      <c r="N185" s="958" t="s">
        <v>358</v>
      </c>
      <c r="O185" s="920" t="s">
        <v>419</v>
      </c>
      <c r="P185" s="638" t="s">
        <v>358</v>
      </c>
      <c r="Q185" s="953" t="s">
        <v>432</v>
      </c>
      <c r="R185" s="1005"/>
      <c r="S185" s="1005"/>
      <c r="T185" s="952" t="s">
        <v>361</v>
      </c>
      <c r="U185" s="242" t="s">
        <v>433</v>
      </c>
      <c r="V185" s="97"/>
    </row>
    <row r="186" spans="1:22" ht="18" hidden="1" customHeight="1">
      <c r="A186" s="1067"/>
      <c r="B186" s="1008"/>
      <c r="C186" s="1008"/>
      <c r="D186" s="638"/>
      <c r="E186" s="638"/>
      <c r="F186" s="639"/>
      <c r="G186" s="639"/>
      <c r="H186" s="638"/>
      <c r="I186" s="638" t="s">
        <v>434</v>
      </c>
      <c r="J186" s="985"/>
      <c r="K186" s="638"/>
      <c r="L186" s="1008"/>
      <c r="M186" s="920"/>
      <c r="N186" s="958"/>
      <c r="O186" s="920"/>
      <c r="P186" s="638"/>
      <c r="Q186" s="28" t="s">
        <v>157</v>
      </c>
      <c r="R186" s="28" t="s">
        <v>326</v>
      </c>
      <c r="S186" s="28" t="s">
        <v>157</v>
      </c>
      <c r="T186" s="952"/>
      <c r="U186" s="14"/>
      <c r="V186" s="97"/>
    </row>
    <row r="187" spans="1:22" ht="18" hidden="1" customHeight="1">
      <c r="A187" s="196"/>
      <c r="V187" s="197"/>
    </row>
    <row r="188" spans="1:22" ht="18" hidden="1" customHeight="1">
      <c r="A188" s="1006" t="s">
        <v>428</v>
      </c>
      <c r="B188" s="1008"/>
      <c r="C188" s="1008"/>
      <c r="D188" s="638">
        <v>2</v>
      </c>
      <c r="E188" s="638" t="s">
        <v>326</v>
      </c>
      <c r="F188" s="638" t="s">
        <v>624</v>
      </c>
      <c r="G188" s="639"/>
      <c r="H188" s="638" t="s">
        <v>326</v>
      </c>
      <c r="I188" s="661" t="s">
        <v>422</v>
      </c>
      <c r="J188" s="1068"/>
      <c r="K188" s="638" t="s">
        <v>326</v>
      </c>
      <c r="L188" s="1008" t="s">
        <v>430</v>
      </c>
      <c r="M188" s="920" t="s">
        <v>431</v>
      </c>
      <c r="N188" s="958" t="s">
        <v>358</v>
      </c>
      <c r="O188" s="920" t="s">
        <v>419</v>
      </c>
      <c r="P188" s="638" t="s">
        <v>358</v>
      </c>
      <c r="Q188" s="953" t="s">
        <v>432</v>
      </c>
      <c r="R188" s="1005"/>
      <c r="S188" s="1005"/>
      <c r="T188" s="952" t="s">
        <v>361</v>
      </c>
      <c r="U188" s="242" t="s">
        <v>437</v>
      </c>
      <c r="V188" s="97"/>
    </row>
    <row r="189" spans="1:22" ht="18" hidden="1" customHeight="1">
      <c r="A189" s="1067"/>
      <c r="B189" s="1008"/>
      <c r="C189" s="1008"/>
      <c r="D189" s="638"/>
      <c r="E189" s="638"/>
      <c r="F189" s="639"/>
      <c r="G189" s="639"/>
      <c r="H189" s="638"/>
      <c r="I189" s="638" t="s">
        <v>434</v>
      </c>
      <c r="J189" s="985"/>
      <c r="K189" s="638"/>
      <c r="L189" s="1008"/>
      <c r="M189" s="920"/>
      <c r="N189" s="958"/>
      <c r="O189" s="920"/>
      <c r="P189" s="638"/>
      <c r="Q189" s="28" t="s">
        <v>157</v>
      </c>
      <c r="R189" s="28" t="s">
        <v>326</v>
      </c>
      <c r="S189" s="28" t="s">
        <v>157</v>
      </c>
      <c r="T189" s="952"/>
      <c r="U189" s="14"/>
      <c r="V189" s="97"/>
    </row>
    <row r="190" spans="1:22" ht="18" hidden="1" customHeight="1">
      <c r="A190" s="196"/>
      <c r="V190" s="197"/>
    </row>
    <row r="191" spans="1:22" ht="18" hidden="1" customHeight="1">
      <c r="A191" s="1002" t="s">
        <v>627</v>
      </c>
      <c r="B191" s="965"/>
      <c r="C191" s="965"/>
      <c r="D191" s="965"/>
      <c r="E191" s="965"/>
      <c r="F191" s="965"/>
      <c r="G191" s="965"/>
      <c r="H191" s="965"/>
      <c r="I191" s="965"/>
      <c r="J191" s="965"/>
      <c r="K191" s="965"/>
      <c r="L191" s="965"/>
      <c r="M191" s="965"/>
      <c r="N191" s="965"/>
      <c r="O191" s="965"/>
      <c r="P191" s="965"/>
      <c r="Q191" s="965"/>
      <c r="R191" s="965"/>
      <c r="S191" s="965"/>
      <c r="T191" s="965"/>
      <c r="U191" s="965"/>
      <c r="V191" s="966"/>
    </row>
    <row r="192" spans="1:22" ht="18" hidden="1" customHeight="1">
      <c r="A192" s="967"/>
      <c r="B192" s="965"/>
      <c r="C192" s="965"/>
      <c r="D192" s="965"/>
      <c r="E192" s="965"/>
      <c r="F192" s="965"/>
      <c r="G192" s="965"/>
      <c r="H192" s="965"/>
      <c r="I192" s="965"/>
      <c r="J192" s="965"/>
      <c r="K192" s="965"/>
      <c r="L192" s="965"/>
      <c r="M192" s="965"/>
      <c r="N192" s="965"/>
      <c r="O192" s="965"/>
      <c r="P192" s="965"/>
      <c r="Q192" s="965"/>
      <c r="R192" s="965"/>
      <c r="S192" s="965"/>
      <c r="T192" s="965"/>
      <c r="U192" s="965"/>
      <c r="V192" s="966"/>
    </row>
    <row r="193" spans="1:22" ht="18" hidden="1" customHeight="1">
      <c r="A193" s="243"/>
      <c r="B193" s="244"/>
      <c r="C193" s="244"/>
      <c r="D193" s="244"/>
      <c r="E193" s="244"/>
      <c r="F193" s="244"/>
      <c r="G193" s="244"/>
      <c r="H193" s="244"/>
      <c r="I193" s="244"/>
      <c r="J193" s="244"/>
      <c r="K193" s="244"/>
      <c r="L193" s="244"/>
      <c r="M193" s="244"/>
      <c r="N193" s="244"/>
      <c r="O193" s="244"/>
      <c r="P193" s="244"/>
      <c r="Q193" s="244"/>
      <c r="R193" s="244"/>
      <c r="S193" s="244"/>
      <c r="T193" s="244"/>
      <c r="U193" s="244"/>
      <c r="V193" s="245"/>
    </row>
    <row r="194" spans="1:22" ht="18" hidden="1" customHeight="1">
      <c r="A194" s="1006" t="s">
        <v>428</v>
      </c>
      <c r="B194" s="1008"/>
      <c r="C194" s="1008"/>
      <c r="D194" s="638"/>
      <c r="E194" s="638"/>
      <c r="F194" s="638" t="s">
        <v>628</v>
      </c>
      <c r="G194" s="639"/>
      <c r="H194" s="638" t="s">
        <v>326</v>
      </c>
      <c r="I194" s="661" t="s">
        <v>422</v>
      </c>
      <c r="J194" s="1068"/>
      <c r="K194" s="638" t="s">
        <v>326</v>
      </c>
      <c r="L194" s="1008" t="s">
        <v>430</v>
      </c>
      <c r="M194" s="920" t="s">
        <v>431</v>
      </c>
      <c r="N194" s="958" t="s">
        <v>358</v>
      </c>
      <c r="O194" s="920" t="s">
        <v>419</v>
      </c>
      <c r="P194" s="638" t="s">
        <v>358</v>
      </c>
      <c r="Q194" s="953" t="s">
        <v>432</v>
      </c>
      <c r="R194" s="1005"/>
      <c r="S194" s="1005"/>
      <c r="T194" s="952" t="s">
        <v>361</v>
      </c>
      <c r="U194" s="242" t="s">
        <v>629</v>
      </c>
      <c r="V194" s="97"/>
    </row>
    <row r="195" spans="1:22" ht="18" hidden="1" customHeight="1">
      <c r="A195" s="1067"/>
      <c r="B195" s="1008"/>
      <c r="C195" s="1008"/>
      <c r="D195" s="638"/>
      <c r="E195" s="638"/>
      <c r="F195" s="639"/>
      <c r="G195" s="639"/>
      <c r="H195" s="638"/>
      <c r="I195" s="638" t="s">
        <v>434</v>
      </c>
      <c r="J195" s="985"/>
      <c r="K195" s="638"/>
      <c r="L195" s="1008"/>
      <c r="M195" s="920"/>
      <c r="N195" s="958"/>
      <c r="O195" s="920"/>
      <c r="P195" s="638"/>
      <c r="Q195" s="28" t="s">
        <v>157</v>
      </c>
      <c r="R195" s="28" t="s">
        <v>326</v>
      </c>
      <c r="S195" s="28" t="s">
        <v>157</v>
      </c>
      <c r="T195" s="952"/>
      <c r="U195" s="14"/>
      <c r="V195" s="97"/>
    </row>
    <row r="196" spans="1:22" ht="18" hidden="1" customHeight="1">
      <c r="A196" s="96"/>
      <c r="B196" s="14"/>
      <c r="C196" s="14"/>
      <c r="D196" s="28"/>
      <c r="E196" s="28"/>
      <c r="F196" s="27"/>
      <c r="G196" s="27"/>
      <c r="H196" s="28"/>
      <c r="I196" s="28"/>
      <c r="K196" s="28"/>
      <c r="L196" s="120"/>
      <c r="M196" s="14"/>
      <c r="N196" s="102"/>
      <c r="O196" s="14"/>
      <c r="P196" s="28"/>
      <c r="Q196" s="28"/>
      <c r="R196" s="28"/>
      <c r="S196" s="28"/>
      <c r="T196" s="40"/>
      <c r="U196" s="14"/>
      <c r="V196" s="97"/>
    </row>
    <row r="197" spans="1:22" ht="18" hidden="1" customHeight="1">
      <c r="A197" s="196"/>
      <c r="H197" s="30" t="s">
        <v>630</v>
      </c>
      <c r="M197" s="650" t="str">
        <f>M59</f>
        <v>N</v>
      </c>
      <c r="N197" s="651"/>
      <c r="V197" s="197"/>
    </row>
    <row r="198" spans="1:22" ht="18" hidden="1" customHeight="1">
      <c r="A198" s="96"/>
      <c r="B198" s="14"/>
      <c r="C198" s="14"/>
      <c r="D198" s="28"/>
      <c r="E198" s="28"/>
      <c r="F198" s="27"/>
      <c r="G198" s="27"/>
      <c r="H198" s="28"/>
      <c r="I198" s="28"/>
      <c r="K198" s="28"/>
      <c r="L198" s="120"/>
      <c r="M198" s="14"/>
      <c r="N198" s="102"/>
      <c r="O198" s="14"/>
      <c r="P198" s="28"/>
      <c r="Q198" s="28"/>
      <c r="R198" s="28"/>
      <c r="S198" s="28"/>
      <c r="T198" s="40"/>
      <c r="U198" s="14"/>
      <c r="V198" s="97"/>
    </row>
    <row r="199" spans="1:22" ht="18" hidden="1" customHeight="1">
      <c r="A199" s="196"/>
      <c r="B199" s="14" t="s">
        <v>438</v>
      </c>
      <c r="C199" s="14"/>
      <c r="D199" s="103"/>
      <c r="E199" s="103"/>
      <c r="F199" s="14"/>
      <c r="G199" s="14"/>
      <c r="H199" s="5"/>
      <c r="I199" s="5"/>
      <c r="J199" s="5"/>
      <c r="P199" s="120" t="s">
        <v>439</v>
      </c>
      <c r="V199" s="197"/>
    </row>
    <row r="200" spans="1:22" ht="18" hidden="1" customHeight="1">
      <c r="A200" s="196"/>
      <c r="B200" s="14" t="s">
        <v>440</v>
      </c>
      <c r="C200" s="14"/>
      <c r="D200" s="103"/>
      <c r="E200" s="103"/>
      <c r="F200" s="14"/>
      <c r="G200" s="14"/>
      <c r="H200" s="5"/>
      <c r="I200" s="5"/>
      <c r="J200" s="5"/>
      <c r="P200" s="120" t="s">
        <v>441</v>
      </c>
      <c r="Q200" s="246" t="s">
        <v>138</v>
      </c>
      <c r="R200" s="639" t="str">
        <f>J146</f>
        <v>-</v>
      </c>
      <c r="S200" s="639"/>
      <c r="T200" s="14" t="s">
        <v>9</v>
      </c>
      <c r="V200" s="197"/>
    </row>
    <row r="201" spans="1:22" ht="18" hidden="1" customHeight="1">
      <c r="A201" s="196"/>
      <c r="B201" s="14" t="s">
        <v>632</v>
      </c>
      <c r="C201" s="14"/>
      <c r="D201" s="14"/>
      <c r="E201" s="14"/>
      <c r="F201" s="14"/>
      <c r="G201" s="14"/>
      <c r="H201" s="14"/>
      <c r="I201" s="14"/>
      <c r="J201" s="14"/>
      <c r="P201" s="120" t="s">
        <v>620</v>
      </c>
      <c r="Q201" s="246" t="s">
        <v>138</v>
      </c>
      <c r="R201" s="639">
        <f>J167</f>
        <v>1749.5462702715934</v>
      </c>
      <c r="S201" s="639"/>
      <c r="T201" s="14" t="s">
        <v>9</v>
      </c>
      <c r="V201" s="197"/>
    </row>
    <row r="202" spans="1:22" ht="18" hidden="1" customHeight="1">
      <c r="A202" s="196"/>
      <c r="B202" s="14" t="s">
        <v>633</v>
      </c>
      <c r="C202" s="14"/>
      <c r="D202" s="14"/>
      <c r="E202" s="14"/>
      <c r="F202" s="14"/>
      <c r="G202" s="14"/>
      <c r="H202" s="14"/>
      <c r="I202" s="14"/>
      <c r="J202" s="14"/>
      <c r="P202" s="120" t="s">
        <v>624</v>
      </c>
      <c r="Q202" s="246" t="s">
        <v>138</v>
      </c>
      <c r="R202" s="639">
        <f>O173</f>
        <v>27992.740324345494</v>
      </c>
      <c r="S202" s="639"/>
      <c r="T202" s="14" t="s">
        <v>9</v>
      </c>
      <c r="V202" s="197"/>
    </row>
    <row r="203" spans="1:22" ht="18" hidden="1" customHeight="1">
      <c r="A203" s="196"/>
      <c r="B203" s="247" t="s">
        <v>634</v>
      </c>
      <c r="C203" s="14"/>
      <c r="D203" s="14"/>
      <c r="E203" s="14"/>
      <c r="F203" s="14"/>
      <c r="G203" s="14"/>
      <c r="H203" s="14"/>
      <c r="I203" s="14"/>
      <c r="J203" s="14"/>
      <c r="P203" s="120"/>
      <c r="Q203" s="248"/>
      <c r="R203" s="27"/>
      <c r="S203" s="27"/>
      <c r="T203" s="14"/>
      <c r="V203" s="197"/>
    </row>
    <row r="204" spans="1:22" ht="18" hidden="1" customHeight="1">
      <c r="A204" s="196"/>
      <c r="B204" s="14" t="s">
        <v>633</v>
      </c>
      <c r="C204" s="14"/>
      <c r="D204" s="14"/>
      <c r="E204" s="14"/>
      <c r="F204" s="14"/>
      <c r="G204" s="14"/>
      <c r="H204" s="14"/>
      <c r="I204" s="14"/>
      <c r="J204" s="14"/>
      <c r="P204" s="120" t="s">
        <v>628</v>
      </c>
      <c r="Q204" s="246" t="s">
        <v>138</v>
      </c>
      <c r="R204" s="639" t="str">
        <f>R66</f>
        <v>-</v>
      </c>
      <c r="S204" s="639"/>
      <c r="T204" s="14" t="s">
        <v>9</v>
      </c>
      <c r="V204" s="197"/>
    </row>
    <row r="205" spans="1:22" ht="18" hidden="1" customHeight="1">
      <c r="A205" s="196"/>
      <c r="B205" s="247" t="s">
        <v>635</v>
      </c>
      <c r="C205" s="14"/>
      <c r="D205" s="14"/>
      <c r="E205" s="14"/>
      <c r="F205" s="14"/>
      <c r="G205" s="14"/>
      <c r="H205" s="14"/>
      <c r="I205" s="14"/>
      <c r="J205" s="14"/>
      <c r="R205" s="27"/>
      <c r="S205" s="27"/>
      <c r="T205" s="14"/>
      <c r="V205" s="197"/>
    </row>
    <row r="206" spans="1:22" ht="18" hidden="1" customHeight="1">
      <c r="A206" s="196"/>
      <c r="B206" s="14" t="s">
        <v>446</v>
      </c>
      <c r="C206" s="14"/>
      <c r="D206" s="103"/>
      <c r="E206" s="103"/>
      <c r="F206" s="14"/>
      <c r="G206" s="14"/>
      <c r="H206" s="5"/>
      <c r="I206" s="5"/>
      <c r="J206" s="5"/>
      <c r="P206" s="120" t="s">
        <v>447</v>
      </c>
      <c r="Q206" s="246" t="s">
        <v>138</v>
      </c>
      <c r="R206" s="639">
        <f>O146</f>
        <v>1</v>
      </c>
      <c r="S206" s="639"/>
      <c r="T206" s="14" t="s">
        <v>9</v>
      </c>
      <c r="V206" s="197"/>
    </row>
    <row r="207" spans="1:22" ht="18" hidden="1" customHeight="1">
      <c r="A207" s="196"/>
      <c r="B207" s="14" t="s">
        <v>448</v>
      </c>
      <c r="C207" s="14"/>
      <c r="D207" s="103"/>
      <c r="E207" s="103"/>
      <c r="F207" s="14"/>
      <c r="G207" s="14"/>
      <c r="H207" s="5"/>
      <c r="I207" s="5"/>
      <c r="J207" s="5"/>
      <c r="P207" s="120" t="s">
        <v>449</v>
      </c>
      <c r="Q207" s="246" t="s">
        <v>138</v>
      </c>
      <c r="R207" s="639">
        <f>R69</f>
        <v>1</v>
      </c>
      <c r="S207" s="639"/>
      <c r="T207" s="14" t="s">
        <v>9</v>
      </c>
      <c r="V207" s="197"/>
    </row>
    <row r="208" spans="1:22" ht="18" hidden="1" customHeight="1">
      <c r="A208" s="196"/>
      <c r="B208" s="14" t="s">
        <v>450</v>
      </c>
      <c r="C208" s="14"/>
      <c r="D208" s="103"/>
      <c r="E208" s="103"/>
      <c r="F208" s="14"/>
      <c r="G208" s="14"/>
      <c r="H208" s="5"/>
      <c r="I208" s="5"/>
      <c r="J208" s="5"/>
      <c r="P208" s="120" t="s">
        <v>451</v>
      </c>
      <c r="Q208" s="246" t="s">
        <v>138</v>
      </c>
      <c r="R208" s="639">
        <f>J148</f>
        <v>6</v>
      </c>
      <c r="S208" s="639"/>
      <c r="T208" s="204" t="s">
        <v>344</v>
      </c>
      <c r="V208" s="197"/>
    </row>
    <row r="209" spans="1:22" ht="18" hidden="1" customHeight="1">
      <c r="A209" s="196"/>
      <c r="B209" s="14" t="s">
        <v>636</v>
      </c>
      <c r="C209" s="14"/>
      <c r="D209" s="14"/>
      <c r="E209" s="14"/>
      <c r="F209" s="14"/>
      <c r="G209" s="14"/>
      <c r="H209" s="14"/>
      <c r="I209" s="14"/>
      <c r="J209" s="14"/>
      <c r="P209" s="249" t="s">
        <v>452</v>
      </c>
      <c r="Q209" s="246" t="s">
        <v>138</v>
      </c>
      <c r="R209" s="637">
        <f>P158</f>
        <v>1.46186744</v>
      </c>
      <c r="S209" s="639"/>
      <c r="T209" s="204" t="s">
        <v>344</v>
      </c>
      <c r="V209" s="197"/>
    </row>
    <row r="210" spans="1:22" ht="18" hidden="1" customHeight="1">
      <c r="A210" s="196"/>
      <c r="B210" s="40" t="s">
        <v>637</v>
      </c>
      <c r="C210" s="14"/>
      <c r="D210" s="14"/>
      <c r="E210" s="14"/>
      <c r="F210" s="14"/>
      <c r="G210" s="14"/>
      <c r="H210" s="5"/>
      <c r="I210" s="5"/>
      <c r="J210" s="5"/>
      <c r="P210" s="249" t="s">
        <v>454</v>
      </c>
      <c r="Q210" s="246" t="s">
        <v>138</v>
      </c>
      <c r="R210" s="637">
        <f>J154</f>
        <v>0.02</v>
      </c>
      <c r="S210" s="639"/>
      <c r="T210" s="14" t="s">
        <v>168</v>
      </c>
      <c r="V210" s="197"/>
    </row>
    <row r="211" spans="1:22" ht="18" hidden="1" customHeight="1">
      <c r="A211" s="196"/>
      <c r="V211" s="197"/>
    </row>
    <row r="212" spans="1:22" ht="18" hidden="1" customHeight="1">
      <c r="A212" s="1006" t="s">
        <v>428</v>
      </c>
      <c r="B212" s="1008"/>
      <c r="C212" s="1008"/>
      <c r="D212" s="861">
        <v>30</v>
      </c>
      <c r="E212" s="861" t="s">
        <v>326</v>
      </c>
      <c r="F212" s="1113">
        <f>R201</f>
        <v>1749.5462702715934</v>
      </c>
      <c r="G212" s="640"/>
      <c r="H212" s="861" t="s">
        <v>326</v>
      </c>
      <c r="I212" s="862">
        <f>R206</f>
        <v>1</v>
      </c>
      <c r="J212" s="1112"/>
      <c r="K212" s="861" t="s">
        <v>326</v>
      </c>
      <c r="L212" s="968" t="s">
        <v>430</v>
      </c>
      <c r="M212" s="968">
        <f>R208</f>
        <v>6</v>
      </c>
      <c r="N212" s="1017" t="s">
        <v>358</v>
      </c>
      <c r="O212" s="1018">
        <f>R209</f>
        <v>1.46186744</v>
      </c>
      <c r="P212" s="861" t="s">
        <v>358</v>
      </c>
      <c r="Q212" s="1111">
        <f>R210</f>
        <v>0.02</v>
      </c>
      <c r="R212" s="1010"/>
      <c r="S212" s="1010"/>
      <c r="T212" s="952" t="s">
        <v>361</v>
      </c>
      <c r="U212" s="242" t="s">
        <v>433</v>
      </c>
      <c r="V212" s="97"/>
    </row>
    <row r="213" spans="1:22" ht="18" hidden="1" customHeight="1">
      <c r="A213" s="1067"/>
      <c r="B213" s="1008"/>
      <c r="C213" s="1008"/>
      <c r="D213" s="861"/>
      <c r="E213" s="861"/>
      <c r="F213" s="640"/>
      <c r="G213" s="640"/>
      <c r="H213" s="861"/>
      <c r="I213" s="861" t="str">
        <f>R200</f>
        <v>-</v>
      </c>
      <c r="J213" s="970"/>
      <c r="K213" s="861"/>
      <c r="L213" s="968"/>
      <c r="M213" s="968"/>
      <c r="N213" s="1017"/>
      <c r="O213" s="968"/>
      <c r="P213" s="861"/>
      <c r="Q213" s="233">
        <f>R207</f>
        <v>1</v>
      </c>
      <c r="R213" s="233" t="s">
        <v>326</v>
      </c>
      <c r="S213" s="233">
        <f>R207</f>
        <v>1</v>
      </c>
      <c r="T213" s="952"/>
      <c r="U213" s="14"/>
      <c r="V213" s="97"/>
    </row>
    <row r="214" spans="1:22" ht="18" hidden="1" customHeight="1">
      <c r="A214" s="196"/>
      <c r="V214" s="197"/>
    </row>
    <row r="215" spans="1:22" ht="18" hidden="1" customHeight="1">
      <c r="A215" s="196"/>
      <c r="C215" s="30" t="s">
        <v>138</v>
      </c>
      <c r="D215" s="798" t="e">
        <f>D212*F212*(I212/I213)*(M212+O212+(Q212/(Q213*S213)))</f>
        <v>#VALUE!</v>
      </c>
      <c r="E215" s="799"/>
      <c r="F215" s="30" t="s">
        <v>316</v>
      </c>
      <c r="V215" s="197"/>
    </row>
    <row r="216" spans="1:22" ht="18" hidden="1" customHeight="1">
      <c r="A216" s="196"/>
      <c r="V216" s="197"/>
    </row>
    <row r="217" spans="1:22" ht="18" hidden="1" customHeight="1">
      <c r="A217" s="1006" t="s">
        <v>428</v>
      </c>
      <c r="B217" s="1008"/>
      <c r="C217" s="1008"/>
      <c r="D217" s="861">
        <v>2</v>
      </c>
      <c r="E217" s="861" t="s">
        <v>326</v>
      </c>
      <c r="F217" s="1113">
        <f>R202</f>
        <v>27992.740324345494</v>
      </c>
      <c r="G217" s="640"/>
      <c r="H217" s="861" t="s">
        <v>326</v>
      </c>
      <c r="I217" s="862">
        <f>R206</f>
        <v>1</v>
      </c>
      <c r="J217" s="1112"/>
      <c r="K217" s="861" t="s">
        <v>326</v>
      </c>
      <c r="L217" s="1011" t="s">
        <v>430</v>
      </c>
      <c r="M217" s="968">
        <f>R208</f>
        <v>6</v>
      </c>
      <c r="N217" s="1017" t="s">
        <v>358</v>
      </c>
      <c r="O217" s="1018">
        <f>R209</f>
        <v>1.46186744</v>
      </c>
      <c r="P217" s="861" t="s">
        <v>358</v>
      </c>
      <c r="Q217" s="1111">
        <f>R210</f>
        <v>0.02</v>
      </c>
      <c r="R217" s="1010"/>
      <c r="S217" s="1010"/>
      <c r="T217" s="952" t="s">
        <v>361</v>
      </c>
      <c r="U217" s="242" t="s">
        <v>437</v>
      </c>
      <c r="V217" s="97"/>
    </row>
    <row r="218" spans="1:22" ht="18" hidden="1" customHeight="1">
      <c r="A218" s="1067"/>
      <c r="B218" s="1008"/>
      <c r="C218" s="1008"/>
      <c r="D218" s="861"/>
      <c r="E218" s="861"/>
      <c r="F218" s="640"/>
      <c r="G218" s="640"/>
      <c r="H218" s="861"/>
      <c r="I218" s="861" t="str">
        <f>R200</f>
        <v>-</v>
      </c>
      <c r="J218" s="970"/>
      <c r="K218" s="861"/>
      <c r="L218" s="1011"/>
      <c r="M218" s="968"/>
      <c r="N218" s="1017"/>
      <c r="O218" s="968"/>
      <c r="P218" s="861"/>
      <c r="Q218" s="233">
        <f>R207</f>
        <v>1</v>
      </c>
      <c r="R218" s="233" t="s">
        <v>326</v>
      </c>
      <c r="S218" s="233">
        <f>R207</f>
        <v>1</v>
      </c>
      <c r="T218" s="952"/>
      <c r="U218" s="14"/>
      <c r="V218" s="97"/>
    </row>
    <row r="219" spans="1:22" ht="18" hidden="1" customHeight="1">
      <c r="A219" s="196"/>
      <c r="L219" s="256"/>
      <c r="V219" s="197"/>
    </row>
    <row r="220" spans="1:22" ht="18" hidden="1" customHeight="1">
      <c r="A220" s="196"/>
      <c r="C220" s="30" t="s">
        <v>138</v>
      </c>
      <c r="D220" s="798" t="e">
        <f>D217*F217*(I217/I218)*(M217+O217+(Q217/(Q218*S218)))</f>
        <v>#VALUE!</v>
      </c>
      <c r="E220" s="799"/>
      <c r="F220" s="30" t="s">
        <v>316</v>
      </c>
      <c r="L220" s="256"/>
      <c r="V220" s="197"/>
    </row>
    <row r="221" spans="1:22" ht="18" hidden="1" customHeight="1">
      <c r="A221" s="196"/>
      <c r="L221" s="256"/>
      <c r="V221" s="197"/>
    </row>
    <row r="222" spans="1:22" ht="18" hidden="1" customHeight="1">
      <c r="A222" s="1006" t="s">
        <v>428</v>
      </c>
      <c r="B222" s="1008"/>
      <c r="C222" s="1008"/>
      <c r="D222" s="638"/>
      <c r="E222" s="638"/>
      <c r="F222" s="861" t="str">
        <f>R204</f>
        <v>-</v>
      </c>
      <c r="G222" s="969"/>
      <c r="H222" s="861" t="s">
        <v>326</v>
      </c>
      <c r="I222" s="862">
        <f>R206</f>
        <v>1</v>
      </c>
      <c r="J222" s="1112"/>
      <c r="K222" s="861" t="s">
        <v>326</v>
      </c>
      <c r="L222" s="1011" t="s">
        <v>430</v>
      </c>
      <c r="M222" s="968">
        <f>R208</f>
        <v>6</v>
      </c>
      <c r="N222" s="1017" t="s">
        <v>358</v>
      </c>
      <c r="O222" s="1018">
        <f>R209</f>
        <v>1.46186744</v>
      </c>
      <c r="P222" s="861" t="s">
        <v>358</v>
      </c>
      <c r="Q222" s="1111">
        <f>R210</f>
        <v>0.02</v>
      </c>
      <c r="R222" s="1010"/>
      <c r="S222" s="1010"/>
      <c r="T222" s="952" t="s">
        <v>361</v>
      </c>
      <c r="U222" s="242" t="s">
        <v>629</v>
      </c>
      <c r="V222" s="97"/>
    </row>
    <row r="223" spans="1:22" ht="18" hidden="1" customHeight="1">
      <c r="A223" s="1067"/>
      <c r="B223" s="1008"/>
      <c r="C223" s="1008"/>
      <c r="D223" s="638"/>
      <c r="E223" s="638"/>
      <c r="F223" s="969"/>
      <c r="G223" s="969"/>
      <c r="H223" s="861"/>
      <c r="I223" s="861" t="str">
        <f>R200</f>
        <v>-</v>
      </c>
      <c r="J223" s="970"/>
      <c r="K223" s="861"/>
      <c r="L223" s="1011"/>
      <c r="M223" s="968"/>
      <c r="N223" s="1017"/>
      <c r="O223" s="968"/>
      <c r="P223" s="861"/>
      <c r="Q223" s="233">
        <f>R207</f>
        <v>1</v>
      </c>
      <c r="R223" s="233" t="s">
        <v>326</v>
      </c>
      <c r="S223" s="233">
        <f>R207</f>
        <v>1</v>
      </c>
      <c r="T223" s="952"/>
      <c r="U223" s="14"/>
      <c r="V223" s="97"/>
    </row>
    <row r="224" spans="1:22" ht="18" hidden="1" customHeight="1">
      <c r="A224" s="196"/>
      <c r="V224" s="197"/>
    </row>
    <row r="225" spans="1:22" ht="18" hidden="1" customHeight="1">
      <c r="A225" s="196"/>
      <c r="C225" s="30" t="s">
        <v>138</v>
      </c>
      <c r="D225" s="798" t="e">
        <f>F222*(I222/I223)*(M222+O222+(Q222/(Q223*S223)))</f>
        <v>#VALUE!</v>
      </c>
      <c r="E225" s="799"/>
      <c r="F225" s="30" t="s">
        <v>316</v>
      </c>
      <c r="G225" s="199" t="s">
        <v>389</v>
      </c>
      <c r="H225" s="198" t="str">
        <f>IF(M197="y","Applicable","Not applicable")</f>
        <v>Not applicable</v>
      </c>
      <c r="V225" s="197"/>
    </row>
    <row r="226" spans="1:22" ht="18" hidden="1" customHeight="1">
      <c r="A226" s="196"/>
      <c r="D226" s="223"/>
      <c r="E226" s="223"/>
      <c r="G226" s="199"/>
      <c r="H226" s="198"/>
      <c r="V226" s="197"/>
    </row>
    <row r="227" spans="1:22" ht="18" hidden="1" customHeight="1">
      <c r="A227" s="196"/>
      <c r="D227" s="223"/>
      <c r="E227" s="223"/>
      <c r="G227" s="199"/>
      <c r="H227" s="198"/>
      <c r="V227" s="197"/>
    </row>
    <row r="228" spans="1:22" ht="18" hidden="1" customHeight="1">
      <c r="A228" s="196"/>
      <c r="D228" s="223"/>
      <c r="E228" s="223"/>
      <c r="G228" s="199"/>
      <c r="H228" s="198"/>
      <c r="V228" s="197"/>
    </row>
    <row r="229" spans="1:22" ht="18" hidden="1" customHeight="1">
      <c r="A229" s="196"/>
      <c r="D229" s="223"/>
      <c r="E229" s="223"/>
      <c r="G229" s="199"/>
      <c r="H229" s="198"/>
      <c r="V229" s="197"/>
    </row>
    <row r="230" spans="1:22" ht="18" hidden="1" customHeight="1">
      <c r="A230" s="196"/>
      <c r="D230" s="223"/>
      <c r="E230" s="223"/>
      <c r="G230" s="199"/>
      <c r="H230" s="198"/>
      <c r="V230" s="197"/>
    </row>
    <row r="231" spans="1:22" ht="18" hidden="1" customHeight="1">
      <c r="A231" s="196"/>
      <c r="D231" s="223"/>
      <c r="E231" s="223"/>
      <c r="G231" s="199"/>
      <c r="H231" s="198"/>
      <c r="V231" s="197"/>
    </row>
    <row r="232" spans="1:22" ht="18" hidden="1" customHeight="1">
      <c r="A232" s="196"/>
      <c r="D232" s="223"/>
      <c r="E232" s="223"/>
      <c r="G232" s="199"/>
      <c r="H232" s="198"/>
      <c r="V232" s="197"/>
    </row>
    <row r="233" spans="1:22" ht="18" hidden="1" customHeight="1">
      <c r="A233" s="196"/>
      <c r="D233" s="223"/>
      <c r="E233" s="223"/>
      <c r="G233" s="199"/>
      <c r="H233" s="198"/>
      <c r="V233" s="197"/>
    </row>
    <row r="234" spans="1:22" ht="18" hidden="1" customHeight="1">
      <c r="A234" s="196"/>
      <c r="D234" s="223"/>
      <c r="E234" s="223"/>
      <c r="G234" s="199"/>
      <c r="H234" s="198"/>
      <c r="V234" s="197"/>
    </row>
    <row r="235" spans="1:22" ht="18" hidden="1" customHeight="1">
      <c r="A235" s="196"/>
      <c r="D235" s="223"/>
      <c r="E235" s="223"/>
      <c r="G235" s="199"/>
      <c r="H235" s="198"/>
      <c r="V235" s="197"/>
    </row>
    <row r="236" spans="1:22" ht="18" hidden="1" customHeight="1">
      <c r="A236" s="196"/>
      <c r="D236" s="223"/>
      <c r="E236" s="223"/>
      <c r="G236" s="199"/>
      <c r="H236" s="198"/>
      <c r="V236" s="197"/>
    </row>
    <row r="237" spans="1:22" ht="18" hidden="1" customHeight="1">
      <c r="A237" s="196"/>
      <c r="V237" s="197"/>
    </row>
    <row r="238" spans="1:22" s="14" customFormat="1" ht="18" hidden="1" customHeight="1">
      <c r="A238" s="206"/>
      <c r="B238" s="207"/>
      <c r="C238" s="207"/>
      <c r="D238" s="207"/>
      <c r="E238" s="207"/>
      <c r="F238" s="207"/>
      <c r="G238" s="207"/>
      <c r="H238" s="207"/>
      <c r="I238" s="207"/>
      <c r="J238" s="207"/>
      <c r="K238" s="207"/>
      <c r="L238" s="207"/>
      <c r="M238" s="207"/>
      <c r="N238" s="207"/>
      <c r="O238" s="207"/>
      <c r="P238" s="207"/>
      <c r="Q238" s="236"/>
      <c r="R238" s="194"/>
      <c r="S238" s="237"/>
      <c r="T238" s="207"/>
      <c r="U238" s="207"/>
      <c r="V238" s="140"/>
    </row>
    <row r="239" spans="1:22" ht="18" hidden="1" customHeight="1">
      <c r="A239" s="238"/>
      <c r="B239" s="239"/>
      <c r="C239" s="239"/>
      <c r="D239" s="239"/>
      <c r="E239" s="239"/>
      <c r="F239" s="239"/>
      <c r="G239" s="239"/>
      <c r="H239" s="239"/>
      <c r="I239" s="239"/>
      <c r="J239" s="239"/>
      <c r="K239" s="239"/>
      <c r="L239" s="239"/>
      <c r="M239" s="239"/>
      <c r="N239" s="239"/>
      <c r="O239" s="239"/>
      <c r="P239" s="239"/>
      <c r="Q239" s="239"/>
      <c r="R239" s="239"/>
      <c r="S239" s="239"/>
      <c r="T239" s="239"/>
      <c r="U239" s="239"/>
      <c r="V239" s="240"/>
    </row>
    <row r="240" spans="1:22" ht="18" hidden="1" customHeight="1">
      <c r="A240" s="96" t="s">
        <v>638</v>
      </c>
      <c r="M240" s="1023" t="str">
        <f>R200</f>
        <v>-</v>
      </c>
      <c r="N240" s="1024"/>
      <c r="O240" s="30" t="s">
        <v>481</v>
      </c>
      <c r="Q240" s="798" t="e">
        <f>IF(M197="Y",MAX(D215,D225),MAX(D215,D220))</f>
        <v>#VALUE!</v>
      </c>
      <c r="R240" s="645"/>
      <c r="S240" s="30" t="s">
        <v>316</v>
      </c>
      <c r="V240" s="197"/>
    </row>
    <row r="241" spans="1:22" ht="18" hidden="1" customHeight="1">
      <c r="A241" s="196"/>
      <c r="M241" s="259"/>
      <c r="N241" s="259"/>
      <c r="Q241" s="223"/>
      <c r="R241" s="27"/>
      <c r="V241" s="197"/>
    </row>
    <row r="242" spans="1:22" ht="18" hidden="1" customHeight="1">
      <c r="A242" s="260" t="s">
        <v>482</v>
      </c>
      <c r="B242" s="14"/>
      <c r="C242" s="14"/>
      <c r="D242" s="261"/>
      <c r="E242" s="14"/>
      <c r="F242" s="14"/>
      <c r="G242" s="47"/>
      <c r="H242" s="14"/>
      <c r="J242" s="14"/>
      <c r="K242" s="14"/>
      <c r="L242" s="14"/>
      <c r="M242" s="14"/>
      <c r="N242" s="14"/>
      <c r="O242" s="14"/>
      <c r="P242" s="262"/>
      <c r="Q242" s="263"/>
      <c r="R242" s="47"/>
      <c r="S242" s="14"/>
      <c r="V242" s="197"/>
    </row>
    <row r="243" spans="1:22" ht="18" hidden="1" customHeight="1">
      <c r="A243" s="260"/>
      <c r="B243" s="14"/>
      <c r="C243" s="14"/>
      <c r="D243" s="261"/>
      <c r="E243" s="14"/>
      <c r="F243" s="14"/>
      <c r="G243" s="47"/>
      <c r="H243" s="14"/>
      <c r="J243" s="14"/>
      <c r="K243" s="14"/>
      <c r="L243" s="14"/>
      <c r="M243" s="14"/>
      <c r="N243" s="14"/>
      <c r="O243" s="14"/>
      <c r="P243" s="262"/>
      <c r="Q243" s="263"/>
      <c r="R243" s="47"/>
      <c r="S243" s="14"/>
      <c r="V243" s="197"/>
    </row>
    <row r="244" spans="1:22" ht="18" hidden="1" customHeight="1">
      <c r="A244" s="96" t="s">
        <v>639</v>
      </c>
      <c r="V244" s="197"/>
    </row>
    <row r="245" spans="1:22" ht="18" hidden="1" customHeight="1">
      <c r="A245" s="196"/>
      <c r="N245" s="14"/>
      <c r="O245" s="14" t="s">
        <v>484</v>
      </c>
      <c r="P245" s="102" t="s">
        <v>138</v>
      </c>
      <c r="Q245" s="906" t="s">
        <v>485</v>
      </c>
      <c r="R245" s="906"/>
      <c r="S245" s="28" t="s">
        <v>326</v>
      </c>
      <c r="T245" s="28">
        <v>0.8</v>
      </c>
      <c r="V245" s="197"/>
    </row>
    <row r="246" spans="1:22" ht="18" hidden="1" customHeight="1">
      <c r="A246" s="196"/>
      <c r="N246" s="264"/>
      <c r="O246" s="14"/>
      <c r="P246" s="102" t="s">
        <v>138</v>
      </c>
      <c r="Q246" s="1026" t="e">
        <f>+Q240</f>
        <v>#VALUE!</v>
      </c>
      <c r="R246" s="1099"/>
      <c r="S246" s="234" t="s">
        <v>326</v>
      </c>
      <c r="T246" s="265">
        <f>+T245</f>
        <v>0.8</v>
      </c>
      <c r="V246" s="197"/>
    </row>
    <row r="247" spans="1:22" ht="18" hidden="1" customHeight="1">
      <c r="A247" s="196"/>
      <c r="O247" s="14"/>
      <c r="P247" s="28" t="s">
        <v>138</v>
      </c>
      <c r="Q247" s="1027" t="e">
        <f>Q246*T246</f>
        <v>#VALUE!</v>
      </c>
      <c r="R247" s="1080"/>
      <c r="S247" s="47" t="s">
        <v>316</v>
      </c>
      <c r="T247" s="14"/>
      <c r="V247" s="197"/>
    </row>
    <row r="248" spans="1:22" ht="18" hidden="1" customHeight="1">
      <c r="A248" s="196"/>
      <c r="V248" s="197"/>
    </row>
    <row r="249" spans="1:22" ht="18" hidden="1" customHeight="1">
      <c r="A249" s="196"/>
      <c r="D249" s="30" t="s">
        <v>486</v>
      </c>
      <c r="G249" s="28" t="s">
        <v>487</v>
      </c>
      <c r="H249" s="30" t="s">
        <v>488</v>
      </c>
      <c r="V249" s="197"/>
    </row>
    <row r="250" spans="1:22" ht="18" hidden="1" customHeight="1">
      <c r="A250" s="196"/>
      <c r="E250" s="639">
        <f>J149</f>
        <v>500</v>
      </c>
      <c r="F250" s="639"/>
      <c r="G250" s="28" t="s">
        <v>487</v>
      </c>
      <c r="H250" s="637" t="e">
        <f>Q247</f>
        <v>#VALUE!</v>
      </c>
      <c r="I250" s="639"/>
      <c r="V250" s="197"/>
    </row>
    <row r="251" spans="1:22" ht="18" hidden="1" customHeight="1">
      <c r="A251" s="196"/>
      <c r="F251" s="256" t="s">
        <v>489</v>
      </c>
      <c r="H251" s="18" t="e">
        <f>IF(E250&gt;H250,"Suitable Dimensions","Under Dimensioned")</f>
        <v>#VALUE!</v>
      </c>
      <c r="V251" s="197"/>
    </row>
    <row r="252" spans="1:22" ht="18" hidden="1" customHeight="1">
      <c r="A252" s="196"/>
      <c r="F252" s="256"/>
      <c r="H252" s="18"/>
      <c r="V252" s="197"/>
    </row>
    <row r="253" spans="1:22" ht="18" hidden="1" customHeight="1">
      <c r="A253" s="196"/>
      <c r="F253" s="256"/>
      <c r="H253" s="18"/>
      <c r="V253" s="197"/>
    </row>
    <row r="254" spans="1:22" ht="18" hidden="1" customHeight="1">
      <c r="A254" s="196"/>
      <c r="F254" s="256"/>
      <c r="H254" s="18"/>
      <c r="V254" s="197"/>
    </row>
    <row r="255" spans="1:22" ht="18" hidden="1" customHeight="1">
      <c r="A255" s="196"/>
      <c r="F255" s="256"/>
      <c r="H255" s="18"/>
      <c r="V255" s="197"/>
    </row>
    <row r="256" spans="1:22" ht="18" hidden="1" customHeight="1">
      <c r="A256" s="196"/>
      <c r="F256" s="256"/>
      <c r="H256" s="18"/>
      <c r="V256" s="197"/>
    </row>
    <row r="257" spans="1:22" ht="18" hidden="1" customHeight="1">
      <c r="A257" s="196"/>
      <c r="F257" s="256"/>
      <c r="H257" s="18"/>
      <c r="V257" s="197"/>
    </row>
    <row r="258" spans="1:22" ht="18" hidden="1" customHeight="1">
      <c r="A258" s="196"/>
      <c r="F258" s="256"/>
      <c r="H258" s="18"/>
      <c r="V258" s="197"/>
    </row>
    <row r="259" spans="1:22" ht="18" hidden="1" customHeight="1">
      <c r="A259" s="196"/>
      <c r="F259" s="256"/>
      <c r="H259" s="18"/>
      <c r="V259" s="197"/>
    </row>
    <row r="260" spans="1:22" ht="18" hidden="1" customHeight="1">
      <c r="A260" s="196"/>
      <c r="F260" s="256"/>
      <c r="H260" s="18"/>
      <c r="V260" s="197"/>
    </row>
    <row r="261" spans="1:22" ht="18" hidden="1" customHeight="1">
      <c r="A261" s="196"/>
      <c r="F261" s="256"/>
      <c r="H261" s="18"/>
      <c r="V261" s="197"/>
    </row>
    <row r="262" spans="1:22" ht="18" hidden="1" customHeight="1">
      <c r="A262" s="196"/>
      <c r="F262" s="256"/>
      <c r="H262" s="18"/>
      <c r="V262" s="197"/>
    </row>
    <row r="263" spans="1:22" ht="18" hidden="1" customHeight="1">
      <c r="A263" s="196"/>
      <c r="F263" s="256"/>
      <c r="H263" s="18"/>
      <c r="V263" s="197"/>
    </row>
    <row r="264" spans="1:22" ht="18" hidden="1" customHeight="1">
      <c r="A264" s="196"/>
      <c r="F264" s="256"/>
      <c r="H264" s="18"/>
      <c r="V264" s="197"/>
    </row>
    <row r="265" spans="1:22" ht="18" hidden="1" customHeight="1">
      <c r="A265" s="196"/>
      <c r="F265" s="256"/>
      <c r="H265" s="18"/>
      <c r="V265" s="197"/>
    </row>
    <row r="266" spans="1:22" ht="18" hidden="1" customHeight="1">
      <c r="A266" s="196"/>
      <c r="F266" s="256"/>
      <c r="H266" s="18"/>
      <c r="V266" s="197"/>
    </row>
    <row r="267" spans="1:22" ht="18" hidden="1" customHeight="1">
      <c r="A267" s="196"/>
      <c r="F267" s="256"/>
      <c r="H267" s="18"/>
      <c r="V267" s="197"/>
    </row>
    <row r="268" spans="1:22" ht="18" hidden="1" customHeight="1">
      <c r="A268" s="196"/>
      <c r="F268" s="256"/>
      <c r="H268" s="18"/>
      <c r="V268" s="197"/>
    </row>
    <row r="269" spans="1:22" ht="18" hidden="1" customHeight="1">
      <c r="A269" s="196"/>
      <c r="F269" s="256"/>
      <c r="H269" s="18"/>
      <c r="V269" s="197"/>
    </row>
    <row r="270" spans="1:22" ht="18" hidden="1" customHeight="1">
      <c r="A270" s="196"/>
      <c r="F270" s="256"/>
      <c r="H270" s="18"/>
      <c r="V270" s="197"/>
    </row>
    <row r="271" spans="1:22" ht="18" hidden="1" customHeight="1">
      <c r="A271" s="196"/>
      <c r="F271" s="256"/>
      <c r="H271" s="18"/>
      <c r="V271" s="197"/>
    </row>
    <row r="272" spans="1:22" ht="18" hidden="1" customHeight="1">
      <c r="A272" s="196"/>
      <c r="F272" s="256"/>
      <c r="H272" s="18"/>
      <c r="V272" s="197"/>
    </row>
    <row r="273" spans="1:29" ht="18" hidden="1" customHeight="1">
      <c r="A273" s="196"/>
      <c r="F273" s="256"/>
      <c r="H273" s="18"/>
      <c r="V273" s="197"/>
    </row>
    <row r="274" spans="1:29" ht="18" hidden="1" customHeight="1">
      <c r="A274" s="196"/>
      <c r="F274" s="256"/>
      <c r="H274" s="18"/>
      <c r="V274" s="197"/>
    </row>
    <row r="275" spans="1:29" ht="18" hidden="1" customHeight="1">
      <c r="A275" s="196"/>
      <c r="F275" s="256"/>
      <c r="H275" s="18"/>
      <c r="V275" s="197"/>
    </row>
    <row r="276" spans="1:29" ht="18" hidden="1" customHeight="1">
      <c r="A276" s="196"/>
      <c r="F276" s="256"/>
      <c r="H276" s="18"/>
      <c r="V276" s="197"/>
    </row>
    <row r="277" spans="1:29" ht="18" hidden="1" customHeight="1">
      <c r="A277" s="196"/>
      <c r="F277" s="256"/>
      <c r="H277" s="18"/>
      <c r="V277" s="197"/>
    </row>
    <row r="278" spans="1:29" ht="18" hidden="1" customHeight="1">
      <c r="A278" s="196"/>
      <c r="F278" s="256"/>
      <c r="H278" s="18"/>
      <c r="V278" s="197"/>
    </row>
    <row r="279" spans="1:29" s="14" customFormat="1" ht="18" hidden="1" customHeight="1">
      <c r="A279" s="206"/>
      <c r="B279" s="207"/>
      <c r="C279" s="207"/>
      <c r="D279" s="207"/>
      <c r="E279" s="207"/>
      <c r="F279" s="207"/>
      <c r="G279" s="207"/>
      <c r="H279" s="207"/>
      <c r="I279" s="207"/>
      <c r="J279" s="207"/>
      <c r="K279" s="207"/>
      <c r="L279" s="207"/>
      <c r="M279" s="207"/>
      <c r="N279" s="207"/>
      <c r="O279" s="207"/>
      <c r="P279" s="207"/>
      <c r="Q279" s="236"/>
      <c r="R279" s="194"/>
      <c r="S279" s="237"/>
      <c r="T279" s="207"/>
      <c r="U279" s="207"/>
      <c r="V279" s="140"/>
    </row>
    <row r="280" spans="1:29" ht="18" hidden="1" customHeight="1">
      <c r="A280" s="238"/>
      <c r="B280" s="239"/>
      <c r="C280" s="239"/>
      <c r="D280" s="239"/>
      <c r="E280" s="239"/>
      <c r="F280" s="239"/>
      <c r="G280" s="239"/>
      <c r="H280" s="239"/>
      <c r="I280" s="239"/>
      <c r="J280" s="239"/>
      <c r="K280" s="239"/>
      <c r="L280" s="239"/>
      <c r="M280" s="239"/>
      <c r="N280" s="239"/>
      <c r="O280" s="239"/>
      <c r="P280" s="239"/>
      <c r="Q280" s="239"/>
      <c r="R280" s="239"/>
      <c r="S280" s="239"/>
      <c r="T280" s="239"/>
      <c r="U280" s="239"/>
      <c r="V280" s="240"/>
    </row>
    <row r="281" spans="1:29" ht="18" hidden="1" customHeight="1">
      <c r="A281" s="196"/>
      <c r="B281" s="650" t="str">
        <f>B143</f>
        <v>T1</v>
      </c>
      <c r="C281" s="651"/>
      <c r="D281" s="663" t="str">
        <f>D143</f>
        <v>Core1</v>
      </c>
      <c r="E281" s="664"/>
      <c r="F281" s="198" t="s">
        <v>642</v>
      </c>
      <c r="H281" s="639" t="str">
        <f>H143</f>
        <v>(Transformer Differential)</v>
      </c>
      <c r="I281" s="639"/>
      <c r="J281" s="639"/>
      <c r="K281" s="639"/>
      <c r="L281" s="639"/>
      <c r="M281" s="639"/>
      <c r="P281" s="198"/>
      <c r="S281" s="199" t="s">
        <v>398</v>
      </c>
      <c r="T281" s="650" t="str">
        <f>T143</f>
        <v>RET670</v>
      </c>
      <c r="U281" s="651"/>
      <c r="V281" s="197"/>
    </row>
    <row r="282" spans="1:29" ht="18" hidden="1" customHeight="1">
      <c r="A282" s="196"/>
      <c r="B282" s="660">
        <f>B144</f>
        <v>0</v>
      </c>
      <c r="C282" s="660"/>
      <c r="D282" s="665"/>
      <c r="E282" s="666"/>
      <c r="F282" s="267"/>
      <c r="T282" s="650">
        <f>T144</f>
        <v>0</v>
      </c>
      <c r="U282" s="651"/>
      <c r="V282" s="197"/>
    </row>
    <row r="283" spans="1:29" ht="18" hidden="1" customHeight="1">
      <c r="A283" s="196"/>
      <c r="H283" s="661" t="s">
        <v>401</v>
      </c>
      <c r="I283" s="661"/>
      <c r="J283" s="661" t="s">
        <v>402</v>
      </c>
      <c r="K283" s="661"/>
      <c r="L283" s="662" t="s">
        <v>403</v>
      </c>
      <c r="M283" s="662"/>
      <c r="T283" s="650">
        <f>T145</f>
        <v>0</v>
      </c>
      <c r="U283" s="651"/>
      <c r="V283" s="197"/>
    </row>
    <row r="284" spans="1:29" ht="18" hidden="1" customHeight="1">
      <c r="A284" s="196"/>
      <c r="B284" s="47" t="s">
        <v>404</v>
      </c>
      <c r="H284" s="650">
        <f>H146</f>
        <v>2500</v>
      </c>
      <c r="I284" s="651"/>
      <c r="J284" s="650" t="str">
        <f>J146</f>
        <v>-</v>
      </c>
      <c r="K284" s="651"/>
      <c r="L284" s="652" t="str">
        <f>L146</f>
        <v>-</v>
      </c>
      <c r="M284" s="653"/>
      <c r="N284" s="102" t="s">
        <v>353</v>
      </c>
      <c r="O284" s="268">
        <f>O146</f>
        <v>1</v>
      </c>
      <c r="P284" s="27" t="s">
        <v>9</v>
      </c>
      <c r="V284" s="197"/>
    </row>
    <row r="285" spans="1:29" ht="18" hidden="1" customHeight="1">
      <c r="A285" s="196"/>
      <c r="B285" s="47" t="s">
        <v>405</v>
      </c>
      <c r="H285" s="14"/>
      <c r="I285" s="14"/>
      <c r="L285" s="650" t="str">
        <f>J147</f>
        <v>PX</v>
      </c>
      <c r="M285" s="651"/>
      <c r="V285" s="197"/>
    </row>
    <row r="286" spans="1:29" ht="18" hidden="1" customHeight="1">
      <c r="A286" s="196"/>
      <c r="B286" s="47" t="s">
        <v>407</v>
      </c>
      <c r="K286" s="120" t="s">
        <v>508</v>
      </c>
      <c r="L286" s="656" t="s">
        <v>7</v>
      </c>
      <c r="M286" s="657"/>
      <c r="N286" s="204" t="s">
        <v>344</v>
      </c>
      <c r="V286" s="197"/>
    </row>
    <row r="287" spans="1:29" ht="18" hidden="1" customHeight="1">
      <c r="A287" s="196"/>
      <c r="B287" s="47" t="s">
        <v>409</v>
      </c>
      <c r="K287" s="120" t="s">
        <v>509</v>
      </c>
      <c r="L287" s="656" t="s">
        <v>7</v>
      </c>
      <c r="M287" s="657"/>
      <c r="N287" s="14" t="s">
        <v>316</v>
      </c>
      <c r="V287" s="197"/>
      <c r="W287" s="30" t="s">
        <v>411</v>
      </c>
      <c r="AB287" s="996" t="e">
        <f>Q376</f>
        <v>#VALUE!</v>
      </c>
      <c r="AC287" s="997"/>
    </row>
    <row r="288" spans="1:29" ht="18" hidden="1" customHeight="1">
      <c r="A288" s="196"/>
      <c r="B288" s="14" t="s">
        <v>412</v>
      </c>
      <c r="K288" s="120" t="s">
        <v>413</v>
      </c>
      <c r="L288" s="656" t="s">
        <v>7</v>
      </c>
      <c r="M288" s="657"/>
      <c r="N288" s="14" t="s">
        <v>414</v>
      </c>
      <c r="V288" s="197"/>
    </row>
    <row r="289" spans="1:22" ht="18" hidden="1" customHeight="1">
      <c r="A289" s="196"/>
      <c r="V289" s="197"/>
    </row>
    <row r="290" spans="1:22" ht="18" hidden="1" customHeight="1">
      <c r="A290" s="205" t="s">
        <v>415</v>
      </c>
      <c r="V290" s="197"/>
    </row>
    <row r="291" spans="1:22" ht="18" hidden="1" customHeight="1">
      <c r="A291" s="196"/>
      <c r="V291" s="197"/>
    </row>
    <row r="292" spans="1:22" ht="18" hidden="1" customHeight="1">
      <c r="A292" s="196"/>
      <c r="B292" s="206" t="s">
        <v>416</v>
      </c>
      <c r="C292" s="207"/>
      <c r="D292" s="207" t="str">
        <f>T281</f>
        <v>RET670</v>
      </c>
      <c r="E292" s="208"/>
      <c r="F292" s="208"/>
      <c r="G292" s="208"/>
      <c r="H292" s="194" t="s">
        <v>417</v>
      </c>
      <c r="I292" s="195" t="s">
        <v>138</v>
      </c>
      <c r="J292" s="897">
        <f>J154</f>
        <v>0.02</v>
      </c>
      <c r="K292" s="649"/>
      <c r="L292" s="3" t="s">
        <v>168</v>
      </c>
      <c r="N292" s="209" t="s">
        <v>418</v>
      </c>
      <c r="V292" s="197"/>
    </row>
    <row r="293" spans="1:22" ht="18" hidden="1" customHeight="1">
      <c r="A293" s="196"/>
      <c r="B293" s="96" t="s">
        <v>416</v>
      </c>
      <c r="D293" s="30">
        <f>T282</f>
        <v>0</v>
      </c>
      <c r="H293" s="27"/>
      <c r="I293" s="189" t="s">
        <v>138</v>
      </c>
      <c r="J293" s="1042">
        <f>J155</f>
        <v>0</v>
      </c>
      <c r="K293" s="643"/>
      <c r="L293" s="210" t="s">
        <v>168</v>
      </c>
      <c r="V293" s="197"/>
    </row>
    <row r="294" spans="1:22" ht="18" hidden="1" customHeight="1">
      <c r="A294" s="196"/>
      <c r="B294" s="96" t="s">
        <v>416</v>
      </c>
      <c r="D294" s="30">
        <f>T283</f>
        <v>0</v>
      </c>
      <c r="E294" s="14"/>
      <c r="G294" s="211"/>
      <c r="H294" s="27"/>
      <c r="I294" s="189" t="s">
        <v>138</v>
      </c>
      <c r="J294" s="644">
        <f>J156</f>
        <v>0</v>
      </c>
      <c r="K294" s="645"/>
      <c r="L294" s="214" t="s">
        <v>168</v>
      </c>
      <c r="N294" s="30" t="s">
        <v>419</v>
      </c>
      <c r="O294" s="27" t="s">
        <v>138</v>
      </c>
      <c r="P294" s="30" t="s">
        <v>420</v>
      </c>
      <c r="Q294" s="203" t="s">
        <v>421</v>
      </c>
      <c r="R294" s="256" t="s">
        <v>422</v>
      </c>
      <c r="S294" s="27" t="s">
        <v>326</v>
      </c>
      <c r="T294" s="30" t="s">
        <v>422</v>
      </c>
      <c r="U294" s="30" t="s">
        <v>361</v>
      </c>
      <c r="V294" s="197"/>
    </row>
    <row r="295" spans="1:22" ht="18" hidden="1" customHeight="1">
      <c r="A295" s="196"/>
      <c r="B295" s="196" t="s">
        <v>423</v>
      </c>
      <c r="H295" s="27" t="s">
        <v>610</v>
      </c>
      <c r="I295" s="189" t="s">
        <v>138</v>
      </c>
      <c r="J295" s="1042">
        <f>J157</f>
        <v>1.44186744</v>
      </c>
      <c r="K295" s="643"/>
      <c r="L295" s="215" t="s">
        <v>168</v>
      </c>
      <c r="O295" s="27" t="s">
        <v>138</v>
      </c>
      <c r="P295" s="216">
        <f>J296</f>
        <v>1.44186744</v>
      </c>
      <c r="Q295" s="203" t="s">
        <v>421</v>
      </c>
      <c r="R295" s="27">
        <f>O284</f>
        <v>1</v>
      </c>
      <c r="S295" s="27" t="s">
        <v>326</v>
      </c>
      <c r="T295" s="27">
        <f>O284</f>
        <v>1</v>
      </c>
      <c r="U295" s="30" t="s">
        <v>361</v>
      </c>
      <c r="V295" s="197"/>
    </row>
    <row r="296" spans="1:22" ht="18" hidden="1" customHeight="1">
      <c r="A296" s="196"/>
      <c r="B296" s="217" t="s">
        <v>424</v>
      </c>
      <c r="C296" s="218"/>
      <c r="D296" s="218"/>
      <c r="E296" s="218"/>
      <c r="F296" s="219"/>
      <c r="G296" s="219"/>
      <c r="H296" s="202" t="s">
        <v>420</v>
      </c>
      <c r="I296" s="220" t="s">
        <v>138</v>
      </c>
      <c r="J296" s="897">
        <f>J293+J295</f>
        <v>1.44186744</v>
      </c>
      <c r="K296" s="649"/>
      <c r="L296" s="222" t="s">
        <v>168</v>
      </c>
      <c r="O296" s="27" t="s">
        <v>138</v>
      </c>
      <c r="P296" s="637">
        <f>P295/(R295*T295)</f>
        <v>1.44186744</v>
      </c>
      <c r="Q296" s="637"/>
      <c r="R296" s="204" t="s">
        <v>344</v>
      </c>
      <c r="V296" s="197"/>
    </row>
    <row r="297" spans="1:22" ht="18" hidden="1" customHeight="1">
      <c r="A297" s="196"/>
      <c r="V297" s="197"/>
    </row>
    <row r="298" spans="1:22" s="14" customFormat="1" ht="18" hidden="1" customHeight="1">
      <c r="A298" s="205" t="s">
        <v>611</v>
      </c>
      <c r="B298" s="5"/>
      <c r="C298" s="5"/>
      <c r="D298" s="5"/>
      <c r="E298" s="5"/>
      <c r="F298" s="5"/>
      <c r="G298" s="5"/>
      <c r="H298" s="224"/>
      <c r="I298" s="224"/>
      <c r="J298" s="5"/>
      <c r="K298" s="5"/>
      <c r="L298" s="5"/>
      <c r="M298" s="5"/>
      <c r="N298" s="5"/>
      <c r="O298" s="5"/>
      <c r="P298" s="103"/>
      <c r="Q298" s="224"/>
      <c r="R298" s="225"/>
      <c r="S298" s="226"/>
      <c r="T298" s="18"/>
      <c r="U298" s="18"/>
      <c r="V298" s="97"/>
    </row>
    <row r="299" spans="1:22" s="14" customFormat="1" ht="18" hidden="1" customHeight="1">
      <c r="A299" s="96"/>
      <c r="B299" s="47" t="s">
        <v>612</v>
      </c>
      <c r="C299" s="5"/>
      <c r="D299" s="5"/>
      <c r="E299" s="5"/>
      <c r="I299" s="227"/>
      <c r="M299" s="5"/>
      <c r="O299" s="103" t="s">
        <v>138</v>
      </c>
      <c r="P299" s="660">
        <f>P161</f>
        <v>100</v>
      </c>
      <c r="Q299" s="1096"/>
      <c r="R299" s="14" t="s">
        <v>613</v>
      </c>
      <c r="S299" s="226"/>
      <c r="T299" s="18"/>
      <c r="U299" s="18"/>
      <c r="V299" s="97"/>
    </row>
    <row r="300" spans="1:22" s="14" customFormat="1" ht="18" hidden="1" customHeight="1">
      <c r="A300" s="96"/>
      <c r="B300" s="47" t="s">
        <v>614</v>
      </c>
      <c r="C300" s="5"/>
      <c r="D300" s="5"/>
      <c r="E300" s="5"/>
      <c r="I300" s="227"/>
      <c r="M300" s="5"/>
      <c r="O300" s="103" t="s">
        <v>138</v>
      </c>
      <c r="P300" s="660">
        <f>P162</f>
        <v>25</v>
      </c>
      <c r="Q300" s="1096"/>
      <c r="R300" s="14" t="s">
        <v>615</v>
      </c>
      <c r="S300" s="226"/>
      <c r="T300" s="18"/>
      <c r="U300" s="18"/>
      <c r="V300" s="97"/>
    </row>
    <row r="301" spans="1:22" s="14" customFormat="1" ht="18" hidden="1" customHeight="1">
      <c r="A301" s="96"/>
      <c r="B301" s="47" t="s">
        <v>616</v>
      </c>
      <c r="C301" s="5"/>
      <c r="D301" s="5"/>
      <c r="E301" s="5"/>
      <c r="N301" s="120" t="s">
        <v>617</v>
      </c>
      <c r="O301" s="103" t="s">
        <v>618</v>
      </c>
      <c r="P301" s="650">
        <f>P163</f>
        <v>33</v>
      </c>
      <c r="Q301" s="1080"/>
      <c r="R301" s="14" t="s">
        <v>174</v>
      </c>
      <c r="S301" s="226"/>
      <c r="T301" s="18"/>
      <c r="U301" s="18"/>
      <c r="V301" s="97"/>
    </row>
    <row r="302" spans="1:22" s="14" customFormat="1" ht="18" hidden="1" customHeight="1">
      <c r="A302" s="228"/>
      <c r="B302" s="224"/>
      <c r="C302" s="224"/>
      <c r="D302" s="224"/>
      <c r="E302" s="224"/>
      <c r="T302" s="18"/>
      <c r="U302" s="18"/>
      <c r="V302" s="97"/>
    </row>
    <row r="303" spans="1:22" s="14" customFormat="1" ht="18" hidden="1" customHeight="1">
      <c r="A303" s="96"/>
      <c r="B303" s="14" t="s">
        <v>619</v>
      </c>
      <c r="C303" s="225"/>
      <c r="D303" s="225"/>
      <c r="E303" s="225"/>
      <c r="H303" s="120" t="s">
        <v>620</v>
      </c>
      <c r="I303" s="28" t="s">
        <v>138</v>
      </c>
      <c r="J303" s="638" t="s">
        <v>621</v>
      </c>
      <c r="K303" s="638"/>
      <c r="L303" s="28" t="s">
        <v>326</v>
      </c>
      <c r="M303" s="229">
        <v>1000</v>
      </c>
      <c r="N303" s="102" t="s">
        <v>353</v>
      </c>
      <c r="O303" s="28" t="s">
        <v>622</v>
      </c>
      <c r="P303" s="28" t="s">
        <v>326</v>
      </c>
      <c r="Q303" s="28" t="s">
        <v>617</v>
      </c>
      <c r="R303" s="47"/>
      <c r="T303" s="18"/>
      <c r="U303" s="18"/>
      <c r="V303" s="97"/>
    </row>
    <row r="304" spans="1:22" s="14" customFormat="1" ht="18" hidden="1" customHeight="1">
      <c r="A304" s="228"/>
      <c r="B304" s="225"/>
      <c r="C304" s="225"/>
      <c r="D304" s="225"/>
      <c r="E304" s="225"/>
      <c r="F304" s="224"/>
      <c r="G304" s="224"/>
      <c r="H304" s="28"/>
      <c r="I304" s="28" t="s">
        <v>138</v>
      </c>
      <c r="J304" s="638">
        <f>P299</f>
        <v>100</v>
      </c>
      <c r="K304" s="638"/>
      <c r="L304" s="28" t="s">
        <v>326</v>
      </c>
      <c r="M304" s="229">
        <v>1000</v>
      </c>
      <c r="N304" s="102" t="s">
        <v>353</v>
      </c>
      <c r="O304" s="28" t="s">
        <v>622</v>
      </c>
      <c r="P304" s="28" t="s">
        <v>326</v>
      </c>
      <c r="Q304" s="28">
        <f>P301</f>
        <v>33</v>
      </c>
      <c r="R304" s="47"/>
      <c r="T304" s="18"/>
      <c r="U304" s="18"/>
      <c r="V304" s="97"/>
    </row>
    <row r="305" spans="1:22" s="14" customFormat="1" ht="18" hidden="1" customHeight="1">
      <c r="A305" s="228"/>
      <c r="B305" s="224"/>
      <c r="C305" s="224"/>
      <c r="D305" s="224"/>
      <c r="E305" s="224"/>
      <c r="F305" s="224"/>
      <c r="G305" s="224"/>
      <c r="I305" s="28" t="s">
        <v>138</v>
      </c>
      <c r="J305" s="641">
        <f>(P299*1000)/(SQRT(3)*P301)</f>
        <v>1749.5462702715934</v>
      </c>
      <c r="K305" s="641"/>
      <c r="L305" s="14" t="s">
        <v>9</v>
      </c>
      <c r="M305" s="120"/>
      <c r="N305" s="120"/>
      <c r="O305" s="120"/>
      <c r="T305" s="18"/>
      <c r="U305" s="18"/>
      <c r="V305" s="97"/>
    </row>
    <row r="306" spans="1:22" s="14" customFormat="1" ht="18" hidden="1" customHeight="1">
      <c r="A306" s="228"/>
      <c r="B306" s="224"/>
      <c r="C306" s="224"/>
      <c r="D306" s="224"/>
      <c r="E306" s="224"/>
      <c r="G306" s="224"/>
      <c r="H306" s="28"/>
      <c r="I306" s="103"/>
      <c r="J306" s="28"/>
      <c r="M306" s="224"/>
      <c r="N306" s="231"/>
      <c r="O306" s="224"/>
      <c r="T306" s="18"/>
      <c r="U306" s="18"/>
      <c r="V306" s="97"/>
    </row>
    <row r="307" spans="1:22" s="14" customFormat="1" ht="18" hidden="1" customHeight="1">
      <c r="A307" s="159" t="s">
        <v>640</v>
      </c>
      <c r="B307" s="5"/>
      <c r="C307" s="5"/>
      <c r="D307" s="5"/>
      <c r="E307" s="5"/>
      <c r="F307" s="224"/>
      <c r="G307" s="224"/>
      <c r="H307" s="5"/>
      <c r="I307" s="5"/>
      <c r="J307" s="5"/>
      <c r="K307" s="5"/>
      <c r="L307" s="103"/>
      <c r="M307" s="103"/>
      <c r="N307" s="103"/>
      <c r="O307" s="103"/>
      <c r="P307" s="224"/>
      <c r="Q307" s="225"/>
      <c r="S307" s="232"/>
      <c r="T307" s="18"/>
      <c r="U307" s="18"/>
      <c r="V307" s="97"/>
    </row>
    <row r="308" spans="1:22" s="14" customFormat="1" ht="18" hidden="1" customHeight="1">
      <c r="A308" s="159"/>
      <c r="B308" s="5"/>
      <c r="C308" s="5"/>
      <c r="D308" s="5"/>
      <c r="E308" s="5"/>
      <c r="F308" s="224"/>
      <c r="G308" s="224"/>
      <c r="H308" s="5"/>
      <c r="I308" s="5"/>
      <c r="J308" s="5"/>
      <c r="K308" s="5"/>
      <c r="L308" s="103"/>
      <c r="M308" s="103"/>
      <c r="N308" s="103"/>
      <c r="O308" s="103"/>
      <c r="P308" s="224"/>
      <c r="Q308" s="225"/>
      <c r="S308" s="226"/>
      <c r="T308" s="18"/>
      <c r="U308" s="18"/>
      <c r="V308" s="97"/>
    </row>
    <row r="309" spans="1:22" ht="18" hidden="1" customHeight="1">
      <c r="A309" s="196"/>
      <c r="B309" s="14" t="s">
        <v>643</v>
      </c>
      <c r="C309" s="14"/>
      <c r="D309" s="14"/>
      <c r="E309" s="14"/>
      <c r="M309" s="120" t="s">
        <v>624</v>
      </c>
      <c r="N309" s="28" t="s">
        <v>138</v>
      </c>
      <c r="O309" s="638" t="s">
        <v>620</v>
      </c>
      <c r="P309" s="920"/>
      <c r="Q309" s="233" t="s">
        <v>641</v>
      </c>
      <c r="R309" s="233">
        <v>16</v>
      </c>
      <c r="S309" s="198"/>
      <c r="V309" s="197"/>
    </row>
    <row r="310" spans="1:22" ht="18" hidden="1" customHeight="1">
      <c r="A310" s="96"/>
      <c r="B310" s="5"/>
      <c r="C310" s="5"/>
      <c r="D310" s="5"/>
      <c r="E310" s="5"/>
      <c r="M310" s="262"/>
      <c r="N310" s="28" t="s">
        <v>138</v>
      </c>
      <c r="O310" s="641">
        <f>+J305</f>
        <v>1749.5462702715934</v>
      </c>
      <c r="P310" s="1065"/>
      <c r="Q310" s="233" t="s">
        <v>641</v>
      </c>
      <c r="R310" s="233">
        <v>16</v>
      </c>
      <c r="S310" s="198"/>
      <c r="V310" s="197"/>
    </row>
    <row r="311" spans="1:22" ht="18" hidden="1" customHeight="1">
      <c r="A311" s="96"/>
      <c r="B311" s="5"/>
      <c r="C311" s="5"/>
      <c r="D311" s="5"/>
      <c r="E311" s="5"/>
      <c r="M311" s="120" t="s">
        <v>624</v>
      </c>
      <c r="N311" s="28" t="s">
        <v>138</v>
      </c>
      <c r="O311" s="638">
        <f>O310*R310</f>
        <v>27992.740324345494</v>
      </c>
      <c r="P311" s="920"/>
      <c r="Q311" s="253" t="s">
        <v>9</v>
      </c>
      <c r="R311" s="14"/>
      <c r="S311" s="198"/>
      <c r="V311" s="197"/>
    </row>
    <row r="312" spans="1:22" ht="18" hidden="1" customHeight="1">
      <c r="A312" s="96"/>
      <c r="B312" s="5"/>
      <c r="C312" s="5"/>
      <c r="D312" s="5"/>
      <c r="E312" s="5"/>
      <c r="M312" s="224"/>
      <c r="N312" s="224"/>
      <c r="O312" s="103"/>
      <c r="Q312" s="235"/>
      <c r="R312" s="14"/>
      <c r="S312" s="226"/>
      <c r="V312" s="197"/>
    </row>
    <row r="313" spans="1:22" ht="18" hidden="1" customHeight="1">
      <c r="A313" s="1002" t="s">
        <v>644</v>
      </c>
      <c r="B313" s="965"/>
      <c r="C313" s="965"/>
      <c r="D313" s="965"/>
      <c r="E313" s="965"/>
      <c r="F313" s="965"/>
      <c r="G313" s="965"/>
      <c r="H313" s="965"/>
      <c r="I313" s="965"/>
      <c r="J313" s="965"/>
      <c r="K313" s="965"/>
      <c r="L313" s="965"/>
      <c r="M313" s="965"/>
      <c r="N313" s="965"/>
      <c r="O313" s="965"/>
      <c r="P313" s="965"/>
      <c r="Q313" s="965"/>
      <c r="R313" s="965"/>
      <c r="S313" s="965"/>
      <c r="T313" s="965"/>
      <c r="U313" s="965"/>
      <c r="V313" s="966"/>
    </row>
    <row r="314" spans="1:22" ht="18" hidden="1" customHeight="1">
      <c r="A314" s="967"/>
      <c r="B314" s="965"/>
      <c r="C314" s="965"/>
      <c r="D314" s="965"/>
      <c r="E314" s="965"/>
      <c r="F314" s="965"/>
      <c r="G314" s="965"/>
      <c r="H314" s="965"/>
      <c r="I314" s="965"/>
      <c r="J314" s="965"/>
      <c r="K314" s="965"/>
      <c r="L314" s="965"/>
      <c r="M314" s="965"/>
      <c r="N314" s="965"/>
      <c r="O314" s="965"/>
      <c r="P314" s="965"/>
      <c r="Q314" s="965"/>
      <c r="R314" s="965"/>
      <c r="S314" s="965"/>
      <c r="T314" s="965"/>
      <c r="U314" s="965"/>
      <c r="V314" s="966"/>
    </row>
    <row r="315" spans="1:22" ht="18" hidden="1" customHeight="1">
      <c r="A315" s="243"/>
      <c r="B315" s="244"/>
      <c r="C315" s="244"/>
      <c r="D315" s="244"/>
      <c r="E315" s="244"/>
      <c r="F315" s="244"/>
      <c r="G315" s="244"/>
      <c r="H315" s="244"/>
      <c r="I315" s="244"/>
      <c r="J315" s="244"/>
      <c r="K315" s="244"/>
      <c r="L315" s="244"/>
      <c r="M315" s="244"/>
      <c r="N315" s="244"/>
      <c r="O315" s="244"/>
      <c r="P315" s="244"/>
      <c r="Q315" s="244"/>
      <c r="R315" s="244"/>
      <c r="S315" s="244"/>
      <c r="T315" s="244"/>
      <c r="U315" s="244"/>
      <c r="V315" s="245"/>
    </row>
    <row r="316" spans="1:22" ht="18" hidden="1" customHeight="1">
      <c r="A316" s="243"/>
      <c r="B316" s="244"/>
      <c r="C316" s="244"/>
      <c r="D316" s="244"/>
      <c r="E316" s="244"/>
      <c r="F316" s="244"/>
      <c r="G316" s="244"/>
      <c r="H316" s="244"/>
      <c r="I316" s="244"/>
      <c r="J316" s="244"/>
      <c r="K316" s="244"/>
      <c r="L316" s="244"/>
      <c r="M316" s="244"/>
      <c r="N316" s="244"/>
      <c r="O316" s="244"/>
      <c r="P316" s="244"/>
      <c r="Q316" s="244"/>
      <c r="R316" s="244"/>
      <c r="S316" s="244"/>
      <c r="T316" s="244"/>
      <c r="U316" s="244"/>
      <c r="V316" s="245"/>
    </row>
    <row r="317" spans="1:22" ht="18" hidden="1" customHeight="1">
      <c r="A317" s="243"/>
      <c r="B317" s="244"/>
      <c r="C317" s="244"/>
      <c r="D317" s="244"/>
      <c r="E317" s="244"/>
      <c r="F317" s="244"/>
      <c r="G317" s="244"/>
      <c r="H317" s="244"/>
      <c r="I317" s="244"/>
      <c r="J317" s="244"/>
      <c r="K317" s="244"/>
      <c r="L317" s="244"/>
      <c r="M317" s="244"/>
      <c r="N317" s="244"/>
      <c r="O317" s="244"/>
      <c r="P317" s="244"/>
      <c r="Q317" s="244"/>
      <c r="R317" s="244"/>
      <c r="S317" s="244"/>
      <c r="T317" s="244"/>
      <c r="U317" s="244"/>
      <c r="V317" s="245"/>
    </row>
    <row r="318" spans="1:22" ht="18" hidden="1" customHeight="1">
      <c r="A318" s="243"/>
      <c r="B318" s="244"/>
      <c r="C318" s="244"/>
      <c r="D318" s="244"/>
      <c r="E318" s="244"/>
      <c r="F318" s="244"/>
      <c r="G318" s="244"/>
      <c r="H318" s="244"/>
      <c r="I318" s="244"/>
      <c r="J318" s="244"/>
      <c r="K318" s="244"/>
      <c r="L318" s="244"/>
      <c r="M318" s="244"/>
      <c r="N318" s="244"/>
      <c r="O318" s="244"/>
      <c r="P318" s="244"/>
      <c r="Q318" s="244"/>
      <c r="R318" s="244"/>
      <c r="S318" s="244"/>
      <c r="T318" s="244"/>
      <c r="U318" s="244"/>
      <c r="V318" s="245"/>
    </row>
    <row r="319" spans="1:22" ht="18" hidden="1" customHeight="1">
      <c r="A319" s="243"/>
      <c r="B319" s="244"/>
      <c r="C319" s="244"/>
      <c r="D319" s="244"/>
      <c r="E319" s="244"/>
      <c r="F319" s="244"/>
      <c r="G319" s="244"/>
      <c r="H319" s="244"/>
      <c r="I319" s="244"/>
      <c r="J319" s="244"/>
      <c r="K319" s="244"/>
      <c r="L319" s="244"/>
      <c r="M319" s="244"/>
      <c r="N319" s="244"/>
      <c r="O319" s="244"/>
      <c r="P319" s="244"/>
      <c r="Q319" s="244"/>
      <c r="R319" s="244"/>
      <c r="S319" s="244"/>
      <c r="T319" s="244"/>
      <c r="U319" s="244"/>
      <c r="V319" s="245"/>
    </row>
    <row r="320" spans="1:22" ht="18" hidden="1" customHeight="1">
      <c r="A320" s="96"/>
      <c r="B320" s="5"/>
      <c r="C320" s="5"/>
      <c r="D320" s="5"/>
      <c r="E320" s="5"/>
      <c r="M320" s="224"/>
      <c r="N320" s="224"/>
      <c r="O320" s="103"/>
      <c r="Q320" s="235"/>
      <c r="R320" s="14"/>
      <c r="S320" s="226"/>
      <c r="V320" s="197"/>
    </row>
    <row r="321" spans="1:22" ht="18" hidden="1" customHeight="1">
      <c r="A321" s="196"/>
      <c r="V321" s="197"/>
    </row>
    <row r="322" spans="1:22" ht="18" hidden="1" customHeight="1">
      <c r="A322" s="196"/>
      <c r="V322" s="197"/>
    </row>
    <row r="323" spans="1:22" s="14" customFormat="1" ht="18" hidden="1" customHeight="1">
      <c r="A323" s="206"/>
      <c r="B323" s="207"/>
      <c r="C323" s="207"/>
      <c r="D323" s="207"/>
      <c r="E323" s="207"/>
      <c r="F323" s="207"/>
      <c r="G323" s="207"/>
      <c r="H323" s="207"/>
      <c r="I323" s="207"/>
      <c r="J323" s="207"/>
      <c r="K323" s="207"/>
      <c r="L323" s="207"/>
      <c r="M323" s="207"/>
      <c r="N323" s="207"/>
      <c r="O323" s="207"/>
      <c r="P323" s="207"/>
      <c r="Q323" s="236"/>
      <c r="R323" s="194"/>
      <c r="S323" s="237"/>
      <c r="T323" s="207"/>
      <c r="U323" s="207"/>
      <c r="V323" s="140"/>
    </row>
    <row r="324" spans="1:22" ht="18" hidden="1" customHeight="1">
      <c r="A324" s="238"/>
      <c r="B324" s="239"/>
      <c r="C324" s="239"/>
      <c r="D324" s="239"/>
      <c r="E324" s="239"/>
      <c r="F324" s="239"/>
      <c r="G324" s="239"/>
      <c r="H324" s="239"/>
      <c r="I324" s="239"/>
      <c r="J324" s="239"/>
      <c r="K324" s="239"/>
      <c r="L324" s="239"/>
      <c r="M324" s="239"/>
      <c r="N324" s="239"/>
      <c r="O324" s="239"/>
      <c r="P324" s="239"/>
      <c r="Q324" s="239"/>
      <c r="R324" s="239"/>
      <c r="S324" s="239"/>
      <c r="T324" s="239"/>
      <c r="U324" s="239"/>
      <c r="V324" s="240"/>
    </row>
    <row r="325" spans="1:22" ht="18" hidden="1" customHeight="1">
      <c r="A325" s="1006" t="s">
        <v>428</v>
      </c>
      <c r="B325" s="1008"/>
      <c r="C325" s="1008"/>
      <c r="D325" s="638">
        <v>30</v>
      </c>
      <c r="E325" s="638" t="s">
        <v>326</v>
      </c>
      <c r="F325" s="638" t="s">
        <v>620</v>
      </c>
      <c r="G325" s="639"/>
      <c r="H325" s="638" t="s">
        <v>326</v>
      </c>
      <c r="I325" s="661" t="s">
        <v>422</v>
      </c>
      <c r="J325" s="1068"/>
      <c r="K325" s="638" t="s">
        <v>326</v>
      </c>
      <c r="L325" s="1008" t="s">
        <v>430</v>
      </c>
      <c r="M325" s="920" t="s">
        <v>431</v>
      </c>
      <c r="N325" s="958" t="s">
        <v>358</v>
      </c>
      <c r="O325" s="920" t="s">
        <v>419</v>
      </c>
      <c r="P325" s="638" t="s">
        <v>358</v>
      </c>
      <c r="Q325" s="953" t="s">
        <v>432</v>
      </c>
      <c r="R325" s="1005"/>
      <c r="S325" s="1005"/>
      <c r="T325" s="952" t="s">
        <v>361</v>
      </c>
      <c r="U325" s="242" t="s">
        <v>433</v>
      </c>
      <c r="V325" s="97"/>
    </row>
    <row r="326" spans="1:22" ht="18" hidden="1" customHeight="1">
      <c r="A326" s="1067"/>
      <c r="B326" s="1008"/>
      <c r="C326" s="1008"/>
      <c r="D326" s="638"/>
      <c r="E326" s="638"/>
      <c r="F326" s="639"/>
      <c r="G326" s="639"/>
      <c r="H326" s="638"/>
      <c r="I326" s="638" t="s">
        <v>434</v>
      </c>
      <c r="J326" s="985"/>
      <c r="K326" s="638"/>
      <c r="L326" s="1008"/>
      <c r="M326" s="920"/>
      <c r="N326" s="958"/>
      <c r="O326" s="920"/>
      <c r="P326" s="638"/>
      <c r="Q326" s="28" t="s">
        <v>157</v>
      </c>
      <c r="R326" s="28" t="s">
        <v>326</v>
      </c>
      <c r="S326" s="28" t="s">
        <v>157</v>
      </c>
      <c r="T326" s="952"/>
      <c r="U326" s="14"/>
      <c r="V326" s="97"/>
    </row>
    <row r="327" spans="1:22" ht="18" hidden="1" customHeight="1">
      <c r="A327" s="196"/>
      <c r="V327" s="197"/>
    </row>
    <row r="328" spans="1:22" ht="18" hidden="1" customHeight="1">
      <c r="A328" s="1006" t="s">
        <v>428</v>
      </c>
      <c r="B328" s="1008"/>
      <c r="C328" s="1008"/>
      <c r="D328" s="638">
        <v>2</v>
      </c>
      <c r="E328" s="638" t="s">
        <v>326</v>
      </c>
      <c r="F328" s="638" t="s">
        <v>624</v>
      </c>
      <c r="G328" s="639"/>
      <c r="H328" s="638" t="s">
        <v>326</v>
      </c>
      <c r="I328" s="661" t="s">
        <v>422</v>
      </c>
      <c r="J328" s="1068"/>
      <c r="K328" s="638" t="s">
        <v>326</v>
      </c>
      <c r="L328" s="1008" t="s">
        <v>430</v>
      </c>
      <c r="M328" s="920" t="s">
        <v>431</v>
      </c>
      <c r="N328" s="958" t="s">
        <v>358</v>
      </c>
      <c r="O328" s="920" t="s">
        <v>419</v>
      </c>
      <c r="P328" s="638" t="s">
        <v>358</v>
      </c>
      <c r="Q328" s="953" t="s">
        <v>432</v>
      </c>
      <c r="R328" s="1005"/>
      <c r="S328" s="1005"/>
      <c r="T328" s="952" t="s">
        <v>361</v>
      </c>
      <c r="U328" s="242" t="s">
        <v>437</v>
      </c>
      <c r="V328" s="97"/>
    </row>
    <row r="329" spans="1:22" ht="18" hidden="1" customHeight="1">
      <c r="A329" s="1067"/>
      <c r="B329" s="1008"/>
      <c r="C329" s="1008"/>
      <c r="D329" s="638"/>
      <c r="E329" s="638"/>
      <c r="F329" s="639"/>
      <c r="G329" s="639"/>
      <c r="H329" s="638"/>
      <c r="I329" s="638" t="s">
        <v>434</v>
      </c>
      <c r="J329" s="985"/>
      <c r="K329" s="638"/>
      <c r="L329" s="1008"/>
      <c r="M329" s="920"/>
      <c r="N329" s="958"/>
      <c r="O329" s="920"/>
      <c r="P329" s="638"/>
      <c r="Q329" s="28" t="s">
        <v>157</v>
      </c>
      <c r="R329" s="28" t="s">
        <v>326</v>
      </c>
      <c r="S329" s="28" t="s">
        <v>157</v>
      </c>
      <c r="T329" s="952"/>
      <c r="U329" s="14"/>
      <c r="V329" s="97"/>
    </row>
    <row r="330" spans="1:22" ht="18" hidden="1" customHeight="1">
      <c r="A330" s="196"/>
      <c r="V330" s="197"/>
    </row>
    <row r="331" spans="1:22" ht="18" hidden="1" customHeight="1">
      <c r="A331" s="1002" t="s">
        <v>627</v>
      </c>
      <c r="B331" s="965"/>
      <c r="C331" s="965"/>
      <c r="D331" s="965"/>
      <c r="E331" s="965"/>
      <c r="F331" s="965"/>
      <c r="G331" s="965"/>
      <c r="H331" s="965"/>
      <c r="I331" s="965"/>
      <c r="J331" s="965"/>
      <c r="K331" s="965"/>
      <c r="L331" s="965"/>
      <c r="M331" s="965"/>
      <c r="N331" s="965"/>
      <c r="O331" s="965"/>
      <c r="P331" s="965"/>
      <c r="Q331" s="965"/>
      <c r="R331" s="965"/>
      <c r="S331" s="965"/>
      <c r="T331" s="965"/>
      <c r="U331" s="965"/>
      <c r="V331" s="966"/>
    </row>
    <row r="332" spans="1:22" ht="18" hidden="1" customHeight="1">
      <c r="A332" s="967"/>
      <c r="B332" s="965"/>
      <c r="C332" s="965"/>
      <c r="D332" s="965"/>
      <c r="E332" s="965"/>
      <c r="F332" s="965"/>
      <c r="G332" s="965"/>
      <c r="H332" s="965"/>
      <c r="I332" s="965"/>
      <c r="J332" s="965"/>
      <c r="K332" s="965"/>
      <c r="L332" s="965"/>
      <c r="M332" s="965"/>
      <c r="N332" s="965"/>
      <c r="O332" s="965"/>
      <c r="P332" s="965"/>
      <c r="Q332" s="965"/>
      <c r="R332" s="965"/>
      <c r="S332" s="965"/>
      <c r="T332" s="965"/>
      <c r="U332" s="965"/>
      <c r="V332" s="966"/>
    </row>
    <row r="333" spans="1:22" ht="18" hidden="1" customHeight="1">
      <c r="A333" s="243"/>
      <c r="B333" s="244"/>
      <c r="C333" s="244"/>
      <c r="D333" s="244"/>
      <c r="E333" s="244"/>
      <c r="F333" s="244"/>
      <c r="G333" s="244"/>
      <c r="H333" s="244"/>
      <c r="I333" s="244"/>
      <c r="J333" s="244"/>
      <c r="K333" s="244"/>
      <c r="L333" s="244"/>
      <c r="M333" s="244"/>
      <c r="N333" s="244"/>
      <c r="O333" s="244"/>
      <c r="P333" s="244"/>
      <c r="Q333" s="244"/>
      <c r="R333" s="244"/>
      <c r="S333" s="244"/>
      <c r="T333" s="244"/>
      <c r="U333" s="244"/>
      <c r="V333" s="245"/>
    </row>
    <row r="334" spans="1:22" ht="18" hidden="1" customHeight="1">
      <c r="A334" s="1006" t="s">
        <v>428</v>
      </c>
      <c r="B334" s="1008"/>
      <c r="C334" s="1008"/>
      <c r="D334" s="638"/>
      <c r="E334" s="638"/>
      <c r="F334" s="638" t="s">
        <v>628</v>
      </c>
      <c r="G334" s="639"/>
      <c r="H334" s="638" t="s">
        <v>326</v>
      </c>
      <c r="I334" s="661" t="s">
        <v>422</v>
      </c>
      <c r="J334" s="1068"/>
      <c r="K334" s="638" t="s">
        <v>326</v>
      </c>
      <c r="L334" s="1008" t="s">
        <v>430</v>
      </c>
      <c r="M334" s="920" t="s">
        <v>431</v>
      </c>
      <c r="N334" s="958" t="s">
        <v>358</v>
      </c>
      <c r="O334" s="920" t="s">
        <v>419</v>
      </c>
      <c r="P334" s="638" t="s">
        <v>358</v>
      </c>
      <c r="Q334" s="953" t="s">
        <v>432</v>
      </c>
      <c r="R334" s="1005"/>
      <c r="S334" s="1005"/>
      <c r="T334" s="952" t="s">
        <v>361</v>
      </c>
      <c r="U334" s="242" t="s">
        <v>629</v>
      </c>
      <c r="V334" s="97"/>
    </row>
    <row r="335" spans="1:22" ht="18" hidden="1" customHeight="1">
      <c r="A335" s="1067"/>
      <c r="B335" s="1008"/>
      <c r="C335" s="1008"/>
      <c r="D335" s="638"/>
      <c r="E335" s="638"/>
      <c r="F335" s="639"/>
      <c r="G335" s="639"/>
      <c r="H335" s="638"/>
      <c r="I335" s="638" t="s">
        <v>434</v>
      </c>
      <c r="J335" s="985"/>
      <c r="K335" s="638"/>
      <c r="L335" s="1008"/>
      <c r="M335" s="920"/>
      <c r="N335" s="958"/>
      <c r="O335" s="920"/>
      <c r="P335" s="638"/>
      <c r="Q335" s="28" t="s">
        <v>157</v>
      </c>
      <c r="R335" s="28" t="s">
        <v>326</v>
      </c>
      <c r="S335" s="28" t="s">
        <v>157</v>
      </c>
      <c r="T335" s="952"/>
      <c r="U335" s="14"/>
      <c r="V335" s="97"/>
    </row>
    <row r="336" spans="1:22" ht="18" hidden="1" customHeight="1">
      <c r="A336" s="96"/>
      <c r="B336" s="14"/>
      <c r="C336" s="14"/>
      <c r="D336" s="28"/>
      <c r="E336" s="28"/>
      <c r="F336" s="27"/>
      <c r="G336" s="27"/>
      <c r="H336" s="28"/>
      <c r="I336" s="28"/>
      <c r="K336" s="28"/>
      <c r="L336" s="120"/>
      <c r="M336" s="14"/>
      <c r="N336" s="102"/>
      <c r="O336" s="14"/>
      <c r="P336" s="28"/>
      <c r="Q336" s="28"/>
      <c r="R336" s="28"/>
      <c r="S336" s="28"/>
      <c r="T336" s="40"/>
      <c r="U336" s="14"/>
      <c r="V336" s="97"/>
    </row>
    <row r="337" spans="1:22" ht="18" hidden="1" customHeight="1">
      <c r="A337" s="196"/>
      <c r="H337" s="30" t="s">
        <v>630</v>
      </c>
      <c r="M337" s="650" t="str">
        <f>M197</f>
        <v>N</v>
      </c>
      <c r="N337" s="651"/>
      <c r="V337" s="197"/>
    </row>
    <row r="338" spans="1:22" ht="18" hidden="1" customHeight="1">
      <c r="A338" s="96"/>
      <c r="B338" s="14"/>
      <c r="C338" s="14"/>
      <c r="D338" s="28"/>
      <c r="E338" s="28"/>
      <c r="F338" s="27"/>
      <c r="G338" s="27"/>
      <c r="H338" s="28"/>
      <c r="I338" s="28"/>
      <c r="K338" s="28"/>
      <c r="L338" s="120"/>
      <c r="M338" s="14"/>
      <c r="N338" s="102"/>
      <c r="O338" s="14"/>
      <c r="P338" s="28"/>
      <c r="Q338" s="28"/>
      <c r="R338" s="28"/>
      <c r="S338" s="28"/>
      <c r="T338" s="40"/>
      <c r="U338" s="14"/>
      <c r="V338" s="97"/>
    </row>
    <row r="339" spans="1:22" ht="18" hidden="1" customHeight="1">
      <c r="A339" s="196"/>
      <c r="B339" s="14" t="s">
        <v>438</v>
      </c>
      <c r="C339" s="14"/>
      <c r="D339" s="103"/>
      <c r="E339" s="103"/>
      <c r="F339" s="14"/>
      <c r="G339" s="14"/>
      <c r="H339" s="5"/>
      <c r="I339" s="5"/>
      <c r="J339" s="5"/>
      <c r="P339" s="120" t="s">
        <v>439</v>
      </c>
      <c r="V339" s="197"/>
    </row>
    <row r="340" spans="1:22" ht="18" hidden="1" customHeight="1">
      <c r="A340" s="196"/>
      <c r="B340" s="14" t="s">
        <v>440</v>
      </c>
      <c r="C340" s="14"/>
      <c r="D340" s="103"/>
      <c r="E340" s="103"/>
      <c r="F340" s="14"/>
      <c r="G340" s="14"/>
      <c r="H340" s="5"/>
      <c r="I340" s="5"/>
      <c r="J340" s="5"/>
      <c r="P340" s="120" t="s">
        <v>441</v>
      </c>
      <c r="Q340" s="246" t="s">
        <v>138</v>
      </c>
      <c r="R340" s="639" t="str">
        <f>L284</f>
        <v>-</v>
      </c>
      <c r="S340" s="639"/>
      <c r="T340" s="14" t="s">
        <v>9</v>
      </c>
      <c r="V340" s="197"/>
    </row>
    <row r="341" spans="1:22" ht="18" hidden="1" customHeight="1">
      <c r="A341" s="196"/>
      <c r="B341" s="14" t="s">
        <v>632</v>
      </c>
      <c r="C341" s="14"/>
      <c r="D341" s="14"/>
      <c r="E341" s="14"/>
      <c r="F341" s="14"/>
      <c r="G341" s="14"/>
      <c r="H341" s="14"/>
      <c r="I341" s="14"/>
      <c r="J341" s="14"/>
      <c r="P341" s="120" t="s">
        <v>620</v>
      </c>
      <c r="Q341" s="246" t="s">
        <v>138</v>
      </c>
      <c r="R341" s="639">
        <f>J305</f>
        <v>1749.5462702715934</v>
      </c>
      <c r="S341" s="639"/>
      <c r="T341" s="14" t="s">
        <v>9</v>
      </c>
      <c r="V341" s="197"/>
    </row>
    <row r="342" spans="1:22" ht="18" hidden="1" customHeight="1">
      <c r="A342" s="196"/>
      <c r="B342" s="14" t="s">
        <v>633</v>
      </c>
      <c r="C342" s="14"/>
      <c r="D342" s="14"/>
      <c r="E342" s="14"/>
      <c r="F342" s="14"/>
      <c r="G342" s="14"/>
      <c r="H342" s="14"/>
      <c r="I342" s="14"/>
      <c r="J342" s="14"/>
      <c r="P342" s="120" t="s">
        <v>624</v>
      </c>
      <c r="Q342" s="246" t="s">
        <v>138</v>
      </c>
      <c r="R342" s="639">
        <f>O311</f>
        <v>27992.740324345494</v>
      </c>
      <c r="S342" s="639"/>
      <c r="T342" s="14" t="s">
        <v>9</v>
      </c>
      <c r="V342" s="197"/>
    </row>
    <row r="343" spans="1:22" ht="18" hidden="1" customHeight="1">
      <c r="A343" s="196"/>
      <c r="B343" s="247" t="s">
        <v>634</v>
      </c>
      <c r="C343" s="14"/>
      <c r="D343" s="14"/>
      <c r="E343" s="14"/>
      <c r="F343" s="14"/>
      <c r="G343" s="14"/>
      <c r="H343" s="14"/>
      <c r="I343" s="14"/>
      <c r="J343" s="14"/>
      <c r="P343" s="120"/>
      <c r="Q343" s="248"/>
      <c r="R343" s="27"/>
      <c r="S343" s="27"/>
      <c r="T343" s="14"/>
      <c r="V343" s="197"/>
    </row>
    <row r="344" spans="1:22" ht="18" hidden="1" customHeight="1">
      <c r="A344" s="196"/>
      <c r="B344" s="14" t="s">
        <v>633</v>
      </c>
      <c r="C344" s="14"/>
      <c r="D344" s="14"/>
      <c r="E344" s="14"/>
      <c r="F344" s="14"/>
      <c r="G344" s="14"/>
      <c r="H344" s="14"/>
      <c r="I344" s="14"/>
      <c r="J344" s="14"/>
      <c r="P344" s="120" t="s">
        <v>628</v>
      </c>
      <c r="Q344" s="246" t="s">
        <v>138</v>
      </c>
      <c r="R344" s="639" t="str">
        <f>R204</f>
        <v>-</v>
      </c>
      <c r="S344" s="639"/>
      <c r="T344" s="14" t="s">
        <v>9</v>
      </c>
      <c r="V344" s="197"/>
    </row>
    <row r="345" spans="1:22" ht="18" hidden="1" customHeight="1">
      <c r="A345" s="196"/>
      <c r="B345" s="247" t="s">
        <v>635</v>
      </c>
      <c r="C345" s="14"/>
      <c r="D345" s="14"/>
      <c r="E345" s="14"/>
      <c r="F345" s="14"/>
      <c r="G345" s="14"/>
      <c r="H345" s="14"/>
      <c r="I345" s="14"/>
      <c r="J345" s="14"/>
      <c r="R345" s="27"/>
      <c r="S345" s="27"/>
      <c r="T345" s="14"/>
      <c r="V345" s="197"/>
    </row>
    <row r="346" spans="1:22" ht="18" hidden="1" customHeight="1">
      <c r="A346" s="196"/>
      <c r="B346" s="14" t="s">
        <v>446</v>
      </c>
      <c r="C346" s="14"/>
      <c r="D346" s="103"/>
      <c r="E346" s="103"/>
      <c r="F346" s="14"/>
      <c r="G346" s="14"/>
      <c r="H346" s="5"/>
      <c r="I346" s="5"/>
      <c r="J346" s="5"/>
      <c r="P346" s="120" t="s">
        <v>447</v>
      </c>
      <c r="Q346" s="246" t="s">
        <v>138</v>
      </c>
      <c r="R346" s="639">
        <f>O284</f>
        <v>1</v>
      </c>
      <c r="S346" s="639"/>
      <c r="T346" s="14" t="s">
        <v>9</v>
      </c>
      <c r="V346" s="197"/>
    </row>
    <row r="347" spans="1:22" ht="18" hidden="1" customHeight="1">
      <c r="A347" s="196"/>
      <c r="B347" s="14" t="s">
        <v>448</v>
      </c>
      <c r="C347" s="14"/>
      <c r="D347" s="103"/>
      <c r="E347" s="103"/>
      <c r="F347" s="14"/>
      <c r="G347" s="14"/>
      <c r="H347" s="5"/>
      <c r="I347" s="5"/>
      <c r="J347" s="5"/>
      <c r="P347" s="120" t="s">
        <v>449</v>
      </c>
      <c r="Q347" s="246" t="s">
        <v>138</v>
      </c>
      <c r="R347" s="639">
        <f>R207</f>
        <v>1</v>
      </c>
      <c r="S347" s="639"/>
      <c r="T347" s="14" t="s">
        <v>9</v>
      </c>
      <c r="V347" s="197"/>
    </row>
    <row r="348" spans="1:22" ht="18" hidden="1" customHeight="1">
      <c r="A348" s="196"/>
      <c r="B348" s="14" t="s">
        <v>450</v>
      </c>
      <c r="C348" s="14"/>
      <c r="D348" s="103"/>
      <c r="E348" s="103"/>
      <c r="F348" s="14"/>
      <c r="G348" s="14"/>
      <c r="H348" s="5"/>
      <c r="I348" s="5"/>
      <c r="J348" s="5"/>
      <c r="P348" s="120" t="s">
        <v>451</v>
      </c>
      <c r="Q348" s="246" t="s">
        <v>138</v>
      </c>
      <c r="R348" s="639" t="str">
        <f>L286</f>
        <v>-</v>
      </c>
      <c r="S348" s="639"/>
      <c r="T348" s="204" t="s">
        <v>344</v>
      </c>
      <c r="V348" s="197"/>
    </row>
    <row r="349" spans="1:22" ht="18" hidden="1" customHeight="1">
      <c r="A349" s="196"/>
      <c r="B349" s="14" t="s">
        <v>636</v>
      </c>
      <c r="C349" s="14"/>
      <c r="D349" s="14"/>
      <c r="E349" s="14"/>
      <c r="F349" s="14"/>
      <c r="G349" s="14"/>
      <c r="H349" s="14"/>
      <c r="I349" s="14"/>
      <c r="J349" s="14"/>
      <c r="P349" s="249" t="s">
        <v>452</v>
      </c>
      <c r="Q349" s="246" t="s">
        <v>138</v>
      </c>
      <c r="R349" s="637">
        <f>P296</f>
        <v>1.44186744</v>
      </c>
      <c r="S349" s="639"/>
      <c r="T349" s="204" t="s">
        <v>344</v>
      </c>
      <c r="V349" s="197"/>
    </row>
    <row r="350" spans="1:22" ht="18" hidden="1" customHeight="1">
      <c r="A350" s="196"/>
      <c r="B350" s="40" t="s">
        <v>453</v>
      </c>
      <c r="C350" s="14"/>
      <c r="D350" s="14"/>
      <c r="E350" s="14"/>
      <c r="F350" s="14"/>
      <c r="G350" s="14"/>
      <c r="H350" s="5"/>
      <c r="I350" s="5"/>
      <c r="J350" s="5"/>
      <c r="P350" s="249" t="s">
        <v>454</v>
      </c>
      <c r="Q350" s="246" t="s">
        <v>138</v>
      </c>
      <c r="R350" s="637">
        <f>J292</f>
        <v>0.02</v>
      </c>
      <c r="S350" s="639"/>
      <c r="T350" s="14" t="s">
        <v>168</v>
      </c>
      <c r="V350" s="197"/>
    </row>
    <row r="351" spans="1:22" ht="18" hidden="1" customHeight="1">
      <c r="A351" s="196"/>
      <c r="V351" s="197"/>
    </row>
    <row r="352" spans="1:22" ht="18" hidden="1" customHeight="1">
      <c r="A352" s="1006" t="s">
        <v>428</v>
      </c>
      <c r="B352" s="1008"/>
      <c r="C352" s="1008"/>
      <c r="D352" s="861">
        <v>30</v>
      </c>
      <c r="E352" s="861" t="s">
        <v>326</v>
      </c>
      <c r="F352" s="1113">
        <f>R341</f>
        <v>1749.5462702715934</v>
      </c>
      <c r="G352" s="640"/>
      <c r="H352" s="861" t="s">
        <v>326</v>
      </c>
      <c r="I352" s="862">
        <f>R346</f>
        <v>1</v>
      </c>
      <c r="J352" s="1112"/>
      <c r="K352" s="861" t="s">
        <v>326</v>
      </c>
      <c r="L352" s="968" t="s">
        <v>430</v>
      </c>
      <c r="M352" s="968" t="str">
        <f>R348</f>
        <v>-</v>
      </c>
      <c r="N352" s="1017" t="s">
        <v>358</v>
      </c>
      <c r="O352" s="1018">
        <f>R349</f>
        <v>1.44186744</v>
      </c>
      <c r="P352" s="861" t="s">
        <v>358</v>
      </c>
      <c r="Q352" s="1111">
        <f>R350</f>
        <v>0.02</v>
      </c>
      <c r="R352" s="1010"/>
      <c r="S352" s="1010"/>
      <c r="T352" s="952" t="s">
        <v>361</v>
      </c>
      <c r="U352" s="242" t="s">
        <v>433</v>
      </c>
      <c r="V352" s="97"/>
    </row>
    <row r="353" spans="1:22" ht="18" hidden="1" customHeight="1">
      <c r="A353" s="1067"/>
      <c r="B353" s="1008"/>
      <c r="C353" s="1008"/>
      <c r="D353" s="861"/>
      <c r="E353" s="861"/>
      <c r="F353" s="640"/>
      <c r="G353" s="640"/>
      <c r="H353" s="861"/>
      <c r="I353" s="861" t="str">
        <f>R340</f>
        <v>-</v>
      </c>
      <c r="J353" s="970"/>
      <c r="K353" s="861"/>
      <c r="L353" s="968"/>
      <c r="M353" s="968"/>
      <c r="N353" s="1017"/>
      <c r="O353" s="968"/>
      <c r="P353" s="861"/>
      <c r="Q353" s="233">
        <f>R347</f>
        <v>1</v>
      </c>
      <c r="R353" s="233" t="s">
        <v>326</v>
      </c>
      <c r="S353" s="233">
        <f>R347</f>
        <v>1</v>
      </c>
      <c r="T353" s="952"/>
      <c r="U353" s="14"/>
      <c r="V353" s="97"/>
    </row>
    <row r="354" spans="1:22" ht="18" hidden="1" customHeight="1">
      <c r="A354" s="196"/>
      <c r="V354" s="197"/>
    </row>
    <row r="355" spans="1:22" ht="18" hidden="1" customHeight="1">
      <c r="A355" s="196"/>
      <c r="C355" s="30" t="s">
        <v>138</v>
      </c>
      <c r="D355" s="798" t="e">
        <f>D352*F352*(I352/I353)*(M352+O352+(Q352/(Q353*S353)))</f>
        <v>#VALUE!</v>
      </c>
      <c r="E355" s="799"/>
      <c r="F355" s="30" t="s">
        <v>316</v>
      </c>
      <c r="V355" s="197"/>
    </row>
    <row r="356" spans="1:22" ht="18" hidden="1" customHeight="1">
      <c r="A356" s="196"/>
      <c r="V356" s="197"/>
    </row>
    <row r="357" spans="1:22" ht="18" hidden="1" customHeight="1">
      <c r="A357" s="1006" t="s">
        <v>428</v>
      </c>
      <c r="B357" s="1008"/>
      <c r="C357" s="1008"/>
      <c r="D357" s="861">
        <v>2</v>
      </c>
      <c r="E357" s="861" t="s">
        <v>326</v>
      </c>
      <c r="F357" s="1113">
        <f>R342</f>
        <v>27992.740324345494</v>
      </c>
      <c r="G357" s="640"/>
      <c r="H357" s="861" t="s">
        <v>326</v>
      </c>
      <c r="I357" s="862">
        <f>R346</f>
        <v>1</v>
      </c>
      <c r="J357" s="1112"/>
      <c r="K357" s="861" t="s">
        <v>326</v>
      </c>
      <c r="L357" s="1011" t="s">
        <v>430</v>
      </c>
      <c r="M357" s="968" t="str">
        <f>R348</f>
        <v>-</v>
      </c>
      <c r="N357" s="1017" t="s">
        <v>358</v>
      </c>
      <c r="O357" s="1018">
        <f>R349</f>
        <v>1.44186744</v>
      </c>
      <c r="P357" s="861" t="s">
        <v>358</v>
      </c>
      <c r="Q357" s="1111">
        <f>R350</f>
        <v>0.02</v>
      </c>
      <c r="R357" s="1010"/>
      <c r="S357" s="1010"/>
      <c r="T357" s="952" t="s">
        <v>361</v>
      </c>
      <c r="U357" s="242" t="s">
        <v>437</v>
      </c>
      <c r="V357" s="97"/>
    </row>
    <row r="358" spans="1:22" ht="18" hidden="1" customHeight="1">
      <c r="A358" s="1067"/>
      <c r="B358" s="1008"/>
      <c r="C358" s="1008"/>
      <c r="D358" s="861"/>
      <c r="E358" s="861"/>
      <c r="F358" s="640"/>
      <c r="G358" s="640"/>
      <c r="H358" s="861"/>
      <c r="I358" s="861" t="str">
        <f>R340</f>
        <v>-</v>
      </c>
      <c r="J358" s="970"/>
      <c r="K358" s="861"/>
      <c r="L358" s="1011"/>
      <c r="M358" s="968"/>
      <c r="N358" s="1017"/>
      <c r="O358" s="968"/>
      <c r="P358" s="861"/>
      <c r="Q358" s="233">
        <f>R347</f>
        <v>1</v>
      </c>
      <c r="R358" s="233" t="s">
        <v>326</v>
      </c>
      <c r="S358" s="233">
        <f>R347</f>
        <v>1</v>
      </c>
      <c r="T358" s="952"/>
      <c r="U358" s="14"/>
      <c r="V358" s="97"/>
    </row>
    <row r="359" spans="1:22" ht="18" hidden="1" customHeight="1">
      <c r="A359" s="196"/>
      <c r="L359" s="256"/>
      <c r="V359" s="197"/>
    </row>
    <row r="360" spans="1:22" ht="18" hidden="1" customHeight="1">
      <c r="A360" s="196"/>
      <c r="C360" s="30" t="s">
        <v>138</v>
      </c>
      <c r="D360" s="798" t="e">
        <f>D357*F357*(I357/I358)*(M357+O357+(Q357/(Q358*S358)))</f>
        <v>#VALUE!</v>
      </c>
      <c r="E360" s="799"/>
      <c r="F360" s="30" t="s">
        <v>316</v>
      </c>
      <c r="L360" s="256"/>
      <c r="V360" s="197"/>
    </row>
    <row r="361" spans="1:22" ht="18" hidden="1" customHeight="1">
      <c r="A361" s="196"/>
      <c r="L361" s="256"/>
      <c r="V361" s="197"/>
    </row>
    <row r="362" spans="1:22" ht="18" hidden="1" customHeight="1">
      <c r="A362" s="1006" t="s">
        <v>428</v>
      </c>
      <c r="B362" s="1008"/>
      <c r="C362" s="1008"/>
      <c r="D362" s="638"/>
      <c r="E362" s="638"/>
      <c r="F362" s="861" t="str">
        <f>R344</f>
        <v>-</v>
      </c>
      <c r="G362" s="969"/>
      <c r="H362" s="861" t="s">
        <v>326</v>
      </c>
      <c r="I362" s="862">
        <f>R346</f>
        <v>1</v>
      </c>
      <c r="J362" s="1112"/>
      <c r="K362" s="861" t="s">
        <v>326</v>
      </c>
      <c r="L362" s="1011" t="s">
        <v>430</v>
      </c>
      <c r="M362" s="968" t="str">
        <f>R348</f>
        <v>-</v>
      </c>
      <c r="N362" s="1017" t="s">
        <v>358</v>
      </c>
      <c r="O362" s="1018">
        <f>R349</f>
        <v>1.44186744</v>
      </c>
      <c r="P362" s="861" t="s">
        <v>358</v>
      </c>
      <c r="Q362" s="1111">
        <f>R350</f>
        <v>0.02</v>
      </c>
      <c r="R362" s="1010"/>
      <c r="S362" s="1010"/>
      <c r="T362" s="952" t="s">
        <v>361</v>
      </c>
      <c r="U362" s="242" t="s">
        <v>629</v>
      </c>
      <c r="V362" s="97"/>
    </row>
    <row r="363" spans="1:22" ht="18" hidden="1" customHeight="1">
      <c r="A363" s="1067"/>
      <c r="B363" s="1008"/>
      <c r="C363" s="1008"/>
      <c r="D363" s="638"/>
      <c r="E363" s="638"/>
      <c r="F363" s="969"/>
      <c r="G363" s="969"/>
      <c r="H363" s="861"/>
      <c r="I363" s="861" t="str">
        <f>R340</f>
        <v>-</v>
      </c>
      <c r="J363" s="970"/>
      <c r="K363" s="861"/>
      <c r="L363" s="1011"/>
      <c r="M363" s="968"/>
      <c r="N363" s="1017"/>
      <c r="O363" s="968"/>
      <c r="P363" s="861"/>
      <c r="Q363" s="233">
        <f>R347</f>
        <v>1</v>
      </c>
      <c r="R363" s="233" t="s">
        <v>326</v>
      </c>
      <c r="S363" s="233">
        <f>R347</f>
        <v>1</v>
      </c>
      <c r="T363" s="952"/>
      <c r="U363" s="14"/>
      <c r="V363" s="97"/>
    </row>
    <row r="364" spans="1:22" ht="18" hidden="1" customHeight="1">
      <c r="A364" s="196"/>
      <c r="V364" s="197"/>
    </row>
    <row r="365" spans="1:22" ht="18" hidden="1" customHeight="1">
      <c r="A365" s="196"/>
      <c r="C365" s="30" t="s">
        <v>138</v>
      </c>
      <c r="D365" s="798" t="e">
        <f>F362*(I362/I363)*(M362+O362+(Q362/(Q363*S363)))</f>
        <v>#VALUE!</v>
      </c>
      <c r="E365" s="799"/>
      <c r="F365" s="30" t="s">
        <v>316</v>
      </c>
      <c r="G365" s="199" t="s">
        <v>389</v>
      </c>
      <c r="H365" s="198" t="str">
        <f>IF(M337="y","Applicable","Not applicable")</f>
        <v>Not applicable</v>
      </c>
      <c r="V365" s="197"/>
    </row>
    <row r="366" spans="1:22" ht="18" hidden="1" customHeight="1">
      <c r="A366" s="196"/>
      <c r="V366" s="197"/>
    </row>
    <row r="367" spans="1:22" s="14" customFormat="1" ht="18" hidden="1" customHeight="1">
      <c r="A367" s="206"/>
      <c r="B367" s="207"/>
      <c r="C367" s="207"/>
      <c r="D367" s="207"/>
      <c r="E367" s="207"/>
      <c r="F367" s="207"/>
      <c r="G367" s="207"/>
      <c r="H367" s="207"/>
      <c r="I367" s="207"/>
      <c r="J367" s="207"/>
      <c r="K367" s="207"/>
      <c r="L367" s="207"/>
      <c r="M367" s="207"/>
      <c r="N367" s="207"/>
      <c r="O367" s="207"/>
      <c r="P367" s="207"/>
      <c r="Q367" s="236"/>
      <c r="R367" s="194"/>
      <c r="S367" s="237"/>
      <c r="T367" s="207"/>
      <c r="U367" s="207"/>
      <c r="V367" s="140"/>
    </row>
    <row r="368" spans="1:22" ht="18" hidden="1" customHeight="1">
      <c r="A368" s="238"/>
      <c r="B368" s="239"/>
      <c r="C368" s="239"/>
      <c r="D368" s="239"/>
      <c r="E368" s="239"/>
      <c r="F368" s="239"/>
      <c r="G368" s="239"/>
      <c r="H368" s="239"/>
      <c r="I368" s="239"/>
      <c r="J368" s="239"/>
      <c r="K368" s="239"/>
      <c r="L368" s="239"/>
      <c r="M368" s="239"/>
      <c r="N368" s="239"/>
      <c r="O368" s="239"/>
      <c r="P368" s="239"/>
      <c r="Q368" s="239"/>
      <c r="R368" s="239"/>
      <c r="S368" s="239"/>
      <c r="T368" s="239"/>
      <c r="U368" s="239"/>
      <c r="V368" s="240"/>
    </row>
    <row r="369" spans="1:22" ht="18" hidden="1" customHeight="1">
      <c r="A369" s="196" t="s">
        <v>645</v>
      </c>
      <c r="M369" s="1023" t="str">
        <f>R340</f>
        <v>-</v>
      </c>
      <c r="N369" s="1024"/>
      <c r="O369" s="30" t="s">
        <v>481</v>
      </c>
      <c r="Q369" s="798" t="e">
        <f>IF(M337="Y",MAX(D355,D365),MAX(D355,D360))</f>
        <v>#VALUE!</v>
      </c>
      <c r="R369" s="645"/>
      <c r="S369" s="30" t="s">
        <v>316</v>
      </c>
      <c r="V369" s="197"/>
    </row>
    <row r="370" spans="1:22" ht="18" hidden="1" customHeight="1">
      <c r="A370" s="196"/>
      <c r="M370" s="259"/>
      <c r="N370" s="259"/>
      <c r="Q370" s="223"/>
      <c r="R370" s="27"/>
      <c r="V370" s="197"/>
    </row>
    <row r="371" spans="1:22" ht="18" hidden="1" customHeight="1">
      <c r="A371" s="260" t="s">
        <v>482</v>
      </c>
      <c r="B371" s="14"/>
      <c r="C371" s="14"/>
      <c r="D371" s="261"/>
      <c r="E371" s="14"/>
      <c r="F371" s="14"/>
      <c r="G371" s="47"/>
      <c r="H371" s="14"/>
      <c r="J371" s="14"/>
      <c r="K371" s="14"/>
      <c r="L371" s="14"/>
      <c r="M371" s="14"/>
      <c r="N371" s="14"/>
      <c r="O371" s="14"/>
      <c r="P371" s="262"/>
      <c r="Q371" s="263"/>
      <c r="R371" s="47"/>
      <c r="S371" s="14"/>
      <c r="V371" s="197"/>
    </row>
    <row r="372" spans="1:22" ht="18" hidden="1" customHeight="1">
      <c r="A372" s="260"/>
      <c r="B372" s="14"/>
      <c r="C372" s="14"/>
      <c r="D372" s="261"/>
      <c r="E372" s="14"/>
      <c r="F372" s="14"/>
      <c r="G372" s="47"/>
      <c r="H372" s="14"/>
      <c r="J372" s="14"/>
      <c r="K372" s="14"/>
      <c r="L372" s="14"/>
      <c r="M372" s="14"/>
      <c r="N372" s="14"/>
      <c r="O372" s="14"/>
      <c r="P372" s="262"/>
      <c r="Q372" s="263"/>
      <c r="R372" s="47"/>
      <c r="S372" s="14"/>
      <c r="V372" s="197"/>
    </row>
    <row r="373" spans="1:22" ht="18" hidden="1" customHeight="1">
      <c r="A373" s="96" t="s">
        <v>511</v>
      </c>
      <c r="V373" s="197"/>
    </row>
    <row r="374" spans="1:22" ht="18" hidden="1" customHeight="1">
      <c r="A374" s="196"/>
      <c r="N374" s="14"/>
      <c r="O374" s="14" t="s">
        <v>484</v>
      </c>
      <c r="P374" s="102" t="s">
        <v>138</v>
      </c>
      <c r="Q374" s="906" t="s">
        <v>485</v>
      </c>
      <c r="R374" s="906"/>
      <c r="S374" s="28" t="s">
        <v>326</v>
      </c>
      <c r="T374" s="28">
        <v>0.8</v>
      </c>
      <c r="V374" s="197"/>
    </row>
    <row r="375" spans="1:22" ht="18" hidden="1" customHeight="1">
      <c r="A375" s="196"/>
      <c r="N375" s="264"/>
      <c r="O375" s="14"/>
      <c r="P375" s="102" t="s">
        <v>138</v>
      </c>
      <c r="Q375" s="1026" t="e">
        <f>+Q369</f>
        <v>#VALUE!</v>
      </c>
      <c r="R375" s="1099"/>
      <c r="S375" s="234" t="s">
        <v>326</v>
      </c>
      <c r="T375" s="265">
        <f>+T374</f>
        <v>0.8</v>
      </c>
      <c r="V375" s="197"/>
    </row>
    <row r="376" spans="1:22" ht="18" hidden="1" customHeight="1">
      <c r="A376" s="196"/>
      <c r="O376" s="14"/>
      <c r="P376" s="28" t="s">
        <v>138</v>
      </c>
      <c r="Q376" s="1027" t="e">
        <f>Q375*T375</f>
        <v>#VALUE!</v>
      </c>
      <c r="R376" s="1080"/>
      <c r="S376" s="47" t="s">
        <v>316</v>
      </c>
      <c r="T376" s="14"/>
      <c r="V376" s="197"/>
    </row>
    <row r="377" spans="1:22" ht="18" hidden="1" customHeight="1">
      <c r="A377" s="196"/>
      <c r="V377" s="197"/>
    </row>
    <row r="378" spans="1:22" ht="18" hidden="1" customHeight="1">
      <c r="A378" s="196"/>
      <c r="D378" s="30" t="s">
        <v>486</v>
      </c>
      <c r="G378" s="27" t="e">
        <f>IF(E379&gt;H379,"&gt;","&lt;")</f>
        <v>#VALUE!</v>
      </c>
      <c r="H378" s="30" t="s">
        <v>488</v>
      </c>
      <c r="V378" s="197"/>
    </row>
    <row r="379" spans="1:22" ht="18" hidden="1" customHeight="1">
      <c r="A379" s="196"/>
      <c r="E379" s="639" t="str">
        <f>L287</f>
        <v>-</v>
      </c>
      <c r="F379" s="639"/>
      <c r="G379" s="27" t="e">
        <f>G378</f>
        <v>#VALUE!</v>
      </c>
      <c r="H379" s="637" t="e">
        <f>Q376</f>
        <v>#VALUE!</v>
      </c>
      <c r="I379" s="639"/>
      <c r="V379" s="197"/>
    </row>
    <row r="380" spans="1:22" ht="18" hidden="1" customHeight="1">
      <c r="A380" s="196"/>
      <c r="F380" s="256" t="s">
        <v>489</v>
      </c>
      <c r="H380" s="18" t="e">
        <f>IF(G378="&gt;","Suitably Dimensioned","Under Dimensioned")</f>
        <v>#VALUE!</v>
      </c>
      <c r="V380" s="197"/>
    </row>
    <row r="381" spans="1:22" ht="18" hidden="1" customHeight="1">
      <c r="A381" s="196"/>
      <c r="F381" s="256"/>
      <c r="H381" s="18"/>
      <c r="V381" s="197"/>
    </row>
    <row r="382" spans="1:22" ht="18" hidden="1" customHeight="1">
      <c r="A382" s="196"/>
      <c r="F382" s="256"/>
      <c r="H382" s="18"/>
      <c r="V382" s="197"/>
    </row>
    <row r="383" spans="1:22" ht="18" hidden="1" customHeight="1">
      <c r="A383" s="196"/>
      <c r="F383" s="256"/>
      <c r="H383" s="18"/>
      <c r="V383" s="197"/>
    </row>
    <row r="384" spans="1:22" ht="18" hidden="1" customHeight="1">
      <c r="A384" s="196"/>
      <c r="F384" s="256"/>
      <c r="H384" s="18"/>
      <c r="V384" s="197"/>
    </row>
    <row r="385" spans="1:22" ht="18" hidden="1" customHeight="1">
      <c r="A385" s="196"/>
      <c r="F385" s="256"/>
      <c r="H385" s="18"/>
      <c r="V385" s="197"/>
    </row>
    <row r="386" spans="1:22" ht="18" hidden="1" customHeight="1">
      <c r="A386" s="196"/>
      <c r="F386" s="256"/>
      <c r="H386" s="18"/>
      <c r="V386" s="197"/>
    </row>
    <row r="387" spans="1:22" ht="18" hidden="1" customHeight="1">
      <c r="A387" s="196"/>
      <c r="F387" s="256"/>
      <c r="H387" s="18"/>
      <c r="V387" s="197"/>
    </row>
    <row r="388" spans="1:22" ht="18" hidden="1" customHeight="1">
      <c r="A388" s="196"/>
      <c r="F388" s="256"/>
      <c r="H388" s="18"/>
      <c r="V388" s="197"/>
    </row>
    <row r="389" spans="1:22" ht="18" hidden="1" customHeight="1">
      <c r="A389" s="196"/>
      <c r="F389" s="256"/>
      <c r="H389" s="18"/>
      <c r="V389" s="197"/>
    </row>
    <row r="390" spans="1:22" ht="18" hidden="1" customHeight="1">
      <c r="A390" s="196"/>
      <c r="F390" s="256"/>
      <c r="H390" s="18"/>
      <c r="V390" s="197"/>
    </row>
    <row r="391" spans="1:22" ht="18" hidden="1" customHeight="1">
      <c r="A391" s="196"/>
      <c r="F391" s="256"/>
      <c r="H391" s="18"/>
      <c r="V391" s="197"/>
    </row>
    <row r="392" spans="1:22" ht="18" hidden="1" customHeight="1">
      <c r="A392" s="196"/>
      <c r="F392" s="256"/>
      <c r="H392" s="18"/>
      <c r="V392" s="197"/>
    </row>
    <row r="393" spans="1:22" ht="18" hidden="1" customHeight="1">
      <c r="A393" s="196"/>
      <c r="F393" s="256"/>
      <c r="H393" s="18"/>
      <c r="V393" s="197"/>
    </row>
    <row r="394" spans="1:22" ht="18" hidden="1" customHeight="1">
      <c r="A394" s="196"/>
      <c r="F394" s="256"/>
      <c r="H394" s="18"/>
      <c r="V394" s="197"/>
    </row>
    <row r="395" spans="1:22" ht="18" hidden="1" customHeight="1">
      <c r="A395" s="196"/>
      <c r="F395" s="256"/>
      <c r="H395" s="18"/>
      <c r="V395" s="197"/>
    </row>
    <row r="396" spans="1:22" ht="18" hidden="1" customHeight="1">
      <c r="A396" s="196"/>
      <c r="F396" s="256"/>
      <c r="H396" s="18"/>
      <c r="V396" s="197"/>
    </row>
    <row r="397" spans="1:22" ht="18" hidden="1" customHeight="1">
      <c r="A397" s="196"/>
      <c r="F397" s="256"/>
      <c r="H397" s="18"/>
      <c r="V397" s="197"/>
    </row>
    <row r="398" spans="1:22" ht="18" hidden="1" customHeight="1">
      <c r="A398" s="196"/>
      <c r="F398" s="256"/>
      <c r="H398" s="18"/>
      <c r="V398" s="197"/>
    </row>
    <row r="399" spans="1:22" ht="18" hidden="1" customHeight="1">
      <c r="A399" s="196"/>
      <c r="F399" s="256"/>
      <c r="H399" s="18"/>
      <c r="V399" s="197"/>
    </row>
    <row r="400" spans="1:22" ht="18" hidden="1" customHeight="1">
      <c r="A400" s="196"/>
      <c r="F400" s="256"/>
      <c r="H400" s="18"/>
      <c r="V400" s="197"/>
    </row>
    <row r="401" spans="1:22" ht="18" hidden="1" customHeight="1">
      <c r="A401" s="196"/>
      <c r="F401" s="256"/>
      <c r="H401" s="18"/>
      <c r="V401" s="197"/>
    </row>
    <row r="402" spans="1:22" ht="18" hidden="1" customHeight="1">
      <c r="A402" s="196"/>
      <c r="F402" s="256"/>
      <c r="H402" s="18"/>
      <c r="V402" s="197"/>
    </row>
    <row r="403" spans="1:22" ht="18" hidden="1" customHeight="1">
      <c r="A403" s="196"/>
      <c r="F403" s="256"/>
      <c r="H403" s="18"/>
      <c r="V403" s="197"/>
    </row>
    <row r="404" spans="1:22" ht="18" hidden="1" customHeight="1">
      <c r="A404" s="196"/>
      <c r="F404" s="256"/>
      <c r="H404" s="18"/>
      <c r="V404" s="197"/>
    </row>
    <row r="405" spans="1:22" ht="18" hidden="1" customHeight="1">
      <c r="A405" s="196"/>
      <c r="F405" s="256"/>
      <c r="H405" s="18"/>
      <c r="V405" s="197"/>
    </row>
    <row r="406" spans="1:22" ht="18" hidden="1" customHeight="1">
      <c r="A406" s="196"/>
      <c r="F406" s="256"/>
      <c r="H406" s="18"/>
      <c r="V406" s="197"/>
    </row>
    <row r="407" spans="1:22" ht="18" hidden="1" customHeight="1">
      <c r="A407" s="196"/>
      <c r="F407" s="256"/>
      <c r="H407" s="18"/>
      <c r="V407" s="197"/>
    </row>
    <row r="408" spans="1:22" ht="18" hidden="1" customHeight="1">
      <c r="A408" s="196"/>
      <c r="F408" s="256"/>
      <c r="H408" s="18"/>
      <c r="V408" s="197"/>
    </row>
    <row r="409" spans="1:22" ht="18" hidden="1" customHeight="1">
      <c r="A409" s="196"/>
      <c r="F409" s="256"/>
      <c r="H409" s="18"/>
      <c r="V409" s="197"/>
    </row>
    <row r="410" spans="1:22" ht="18" hidden="1" customHeight="1">
      <c r="A410" s="196"/>
      <c r="F410" s="256"/>
      <c r="H410" s="18"/>
      <c r="V410" s="197"/>
    </row>
    <row r="411" spans="1:22" s="14" customFormat="1" ht="18" hidden="1" customHeight="1">
      <c r="A411" s="206"/>
      <c r="B411" s="207"/>
      <c r="C411" s="207"/>
      <c r="D411" s="207"/>
      <c r="E411" s="207"/>
      <c r="F411" s="207"/>
      <c r="G411" s="207"/>
      <c r="H411" s="207"/>
      <c r="I411" s="207"/>
      <c r="J411" s="207"/>
      <c r="K411" s="207"/>
      <c r="L411" s="207"/>
      <c r="M411" s="207"/>
      <c r="N411" s="207"/>
      <c r="O411" s="207"/>
      <c r="P411" s="207"/>
      <c r="Q411" s="236"/>
      <c r="R411" s="194"/>
      <c r="S411" s="237"/>
      <c r="T411" s="207"/>
      <c r="U411" s="207"/>
      <c r="V411" s="140"/>
    </row>
    <row r="412" spans="1:22" ht="18" customHeight="1">
      <c r="A412" s="238"/>
      <c r="B412" s="239"/>
      <c r="C412" s="239"/>
      <c r="D412" s="239"/>
      <c r="E412" s="239"/>
      <c r="F412" s="239"/>
      <c r="G412" s="239"/>
      <c r="H412" s="239"/>
      <c r="I412" s="239"/>
      <c r="J412" s="239"/>
      <c r="K412" s="239"/>
      <c r="L412" s="239"/>
      <c r="M412" s="239"/>
      <c r="N412" s="239"/>
      <c r="O412" s="239"/>
      <c r="P412" s="239"/>
      <c r="Q412" s="239"/>
      <c r="R412" s="239"/>
      <c r="S412" s="239"/>
      <c r="T412" s="239"/>
      <c r="U412" s="239"/>
      <c r="V412" s="240"/>
    </row>
    <row r="413" spans="1:22" ht="18" customHeight="1">
      <c r="A413" s="274" t="s">
        <v>512</v>
      </c>
      <c r="B413" s="14"/>
      <c r="C413" s="14"/>
      <c r="D413" s="120"/>
      <c r="E413" s="120"/>
      <c r="F413" s="18"/>
      <c r="G413" s="18"/>
      <c r="H413" s="14"/>
      <c r="I413" s="14"/>
      <c r="J413" s="14"/>
      <c r="K413" s="14"/>
      <c r="L413" s="14"/>
      <c r="M413" s="14"/>
      <c r="N413" s="14"/>
      <c r="O413" s="14"/>
      <c r="P413" s="28"/>
      <c r="Q413" s="120"/>
      <c r="R413" s="47"/>
      <c r="S413" s="218"/>
      <c r="T413" s="271"/>
      <c r="U413" s="14"/>
      <c r="V413" s="97"/>
    </row>
    <row r="414" spans="1:22" ht="18" customHeight="1">
      <c r="A414" s="614" t="s">
        <v>97</v>
      </c>
      <c r="B414" s="620"/>
      <c r="C414" s="615"/>
      <c r="D414" s="614" t="s">
        <v>98</v>
      </c>
      <c r="E414" s="620"/>
      <c r="F414" s="615"/>
      <c r="G414" s="614" t="s">
        <v>99</v>
      </c>
      <c r="H414" s="615"/>
      <c r="I414" s="614" t="s">
        <v>100</v>
      </c>
      <c r="J414" s="615"/>
      <c r="K414" s="614" t="s">
        <v>513</v>
      </c>
      <c r="L414" s="615"/>
      <c r="M414" s="614" t="s">
        <v>514</v>
      </c>
      <c r="N414" s="615"/>
      <c r="O414" s="614" t="s">
        <v>515</v>
      </c>
      <c r="P414" s="615"/>
      <c r="Q414" s="614" t="s">
        <v>516</v>
      </c>
      <c r="R414" s="615"/>
      <c r="S414" s="614" t="s">
        <v>105</v>
      </c>
      <c r="T414" s="620"/>
      <c r="U414" s="620"/>
      <c r="V414" s="615"/>
    </row>
    <row r="415" spans="1:22" ht="18" customHeight="1">
      <c r="A415" s="616"/>
      <c r="B415" s="621"/>
      <c r="C415" s="617"/>
      <c r="D415" s="616"/>
      <c r="E415" s="621"/>
      <c r="F415" s="617"/>
      <c r="G415" s="616"/>
      <c r="H415" s="617"/>
      <c r="I415" s="616"/>
      <c r="J415" s="617"/>
      <c r="K415" s="616"/>
      <c r="L415" s="617"/>
      <c r="M415" s="616"/>
      <c r="N415" s="617"/>
      <c r="O415" s="616"/>
      <c r="P415" s="617"/>
      <c r="Q415" s="616"/>
      <c r="R415" s="617"/>
      <c r="S415" s="616"/>
      <c r="T415" s="621"/>
      <c r="U415" s="621"/>
      <c r="V415" s="617"/>
    </row>
    <row r="416" spans="1:22" ht="18" customHeight="1">
      <c r="A416" s="616"/>
      <c r="B416" s="621"/>
      <c r="C416" s="617"/>
      <c r="D416" s="616"/>
      <c r="E416" s="621"/>
      <c r="F416" s="617"/>
      <c r="G416" s="616"/>
      <c r="H416" s="617"/>
      <c r="I416" s="616"/>
      <c r="J416" s="617"/>
      <c r="K416" s="616"/>
      <c r="L416" s="617"/>
      <c r="M416" s="616"/>
      <c r="N416" s="617"/>
      <c r="O416" s="616"/>
      <c r="P416" s="617"/>
      <c r="Q416" s="616"/>
      <c r="R416" s="617"/>
      <c r="S416" s="616"/>
      <c r="T416" s="621"/>
      <c r="U416" s="621"/>
      <c r="V416" s="617"/>
    </row>
    <row r="417" spans="1:22" ht="18" customHeight="1">
      <c r="A417" s="618"/>
      <c r="B417" s="622"/>
      <c r="C417" s="619"/>
      <c r="D417" s="618"/>
      <c r="E417" s="622"/>
      <c r="F417" s="619"/>
      <c r="G417" s="618"/>
      <c r="H417" s="619"/>
      <c r="I417" s="618"/>
      <c r="J417" s="619"/>
      <c r="K417" s="618"/>
      <c r="L417" s="619"/>
      <c r="M417" s="618"/>
      <c r="N417" s="619"/>
      <c r="O417" s="618"/>
      <c r="P417" s="619"/>
      <c r="Q417" s="618"/>
      <c r="R417" s="619"/>
      <c r="S417" s="618"/>
      <c r="T417" s="622"/>
      <c r="U417" s="622"/>
      <c r="V417" s="619"/>
    </row>
    <row r="418" spans="1:22" ht="18" customHeight="1">
      <c r="A418" s="623" t="str">
        <f>B7</f>
        <v>T1</v>
      </c>
      <c r="B418" s="623" t="str">
        <f>D7</f>
        <v>Core1</v>
      </c>
      <c r="C418" s="623"/>
      <c r="D418" s="613">
        <f>H10</f>
        <v>2500</v>
      </c>
      <c r="E418" s="613"/>
      <c r="F418" s="624">
        <f>O10</f>
        <v>1</v>
      </c>
      <c r="G418" s="613">
        <f>'CT-VT Burdens'!S19</f>
        <v>80</v>
      </c>
      <c r="H418" s="783">
        <f>'CT-VT Burdens'!S10</f>
        <v>2.5</v>
      </c>
      <c r="I418" s="783" t="str">
        <f>H11</f>
        <v>PX</v>
      </c>
      <c r="J418" s="783"/>
      <c r="K418" s="612">
        <f>H12</f>
        <v>10</v>
      </c>
      <c r="L418" s="612"/>
      <c r="M418" s="612">
        <f>H13</f>
        <v>400</v>
      </c>
      <c r="N418" s="612"/>
      <c r="O418" s="613">
        <f>H14</f>
        <v>50</v>
      </c>
      <c r="P418" s="613"/>
      <c r="Q418" s="629" t="str">
        <f>D154</f>
        <v>RET670</v>
      </c>
      <c r="R418" s="629"/>
      <c r="S418" s="628" t="str">
        <f>H111</f>
        <v>Suitable Dimensions</v>
      </c>
      <c r="T418" s="628"/>
      <c r="U418" s="628"/>
      <c r="V418" s="628"/>
    </row>
    <row r="419" spans="1:22" ht="18" customHeight="1">
      <c r="A419" s="623"/>
      <c r="B419" s="623"/>
      <c r="C419" s="623"/>
      <c r="D419" s="613" t="str">
        <f>J10</f>
        <v>-</v>
      </c>
      <c r="E419" s="613"/>
      <c r="F419" s="625"/>
      <c r="G419" s="613"/>
      <c r="H419" s="613"/>
      <c r="I419" s="783"/>
      <c r="J419" s="783"/>
      <c r="K419" s="785" t="s">
        <v>7</v>
      </c>
      <c r="L419" s="612"/>
      <c r="M419" s="785" t="s">
        <v>7</v>
      </c>
      <c r="N419" s="612"/>
      <c r="O419" s="786" t="s">
        <v>7</v>
      </c>
      <c r="P419" s="613"/>
      <c r="Q419" s="629"/>
      <c r="R419" s="629"/>
      <c r="S419" s="961" t="s">
        <v>7</v>
      </c>
      <c r="T419" s="628"/>
      <c r="U419" s="628"/>
      <c r="V419" s="628"/>
    </row>
    <row r="420" spans="1:22" ht="18" customHeight="1">
      <c r="A420" s="623"/>
      <c r="B420" s="623"/>
      <c r="C420" s="623"/>
      <c r="D420" s="613" t="str">
        <f>L10</f>
        <v>-</v>
      </c>
      <c r="E420" s="613"/>
      <c r="F420" s="626"/>
      <c r="G420" s="613"/>
      <c r="H420" s="613"/>
      <c r="I420" s="783"/>
      <c r="J420" s="783"/>
      <c r="K420" s="612" t="str">
        <f>L286</f>
        <v>-</v>
      </c>
      <c r="L420" s="612"/>
      <c r="M420" s="612" t="str">
        <f>L287</f>
        <v>-</v>
      </c>
      <c r="N420" s="612"/>
      <c r="O420" s="613" t="str">
        <f>L288</f>
        <v>-</v>
      </c>
      <c r="P420" s="613"/>
      <c r="Q420" s="629"/>
      <c r="R420" s="629"/>
      <c r="S420" s="628" t="s">
        <v>7</v>
      </c>
      <c r="T420" s="628"/>
      <c r="U420" s="628"/>
      <c r="V420" s="628"/>
    </row>
    <row r="421" spans="1:22" ht="18" customHeight="1">
      <c r="A421" s="277"/>
      <c r="B421" s="251"/>
      <c r="C421" s="251"/>
      <c r="D421" s="251"/>
      <c r="E421" s="251"/>
      <c r="F421" s="251"/>
      <c r="G421" s="251"/>
      <c r="H421" s="251"/>
      <c r="I421" s="251"/>
      <c r="J421" s="93"/>
      <c r="K421" s="93"/>
      <c r="L421" s="251"/>
      <c r="M421" s="251"/>
      <c r="N421" s="251"/>
      <c r="O421" s="251"/>
      <c r="P421" s="251"/>
      <c r="Q421" s="251"/>
      <c r="R421" s="251"/>
      <c r="S421" s="251"/>
      <c r="T421" s="251"/>
      <c r="U421" s="93"/>
      <c r="V421" s="278"/>
    </row>
    <row r="422" spans="1:22" ht="18" customHeight="1">
      <c r="A422" s="277"/>
      <c r="B422" s="251"/>
      <c r="C422" s="251"/>
      <c r="D422" s="251"/>
      <c r="E422" s="251"/>
      <c r="F422" s="251"/>
      <c r="G422" s="251"/>
      <c r="H422" s="251"/>
      <c r="I422" s="251"/>
      <c r="J422" s="93"/>
      <c r="K422" s="93"/>
      <c r="L422" s="251"/>
      <c r="M422" s="251"/>
      <c r="N422" s="251"/>
      <c r="O422" s="251"/>
      <c r="P422" s="251"/>
      <c r="Q422" s="251"/>
      <c r="R422" s="251"/>
      <c r="S422" s="251"/>
      <c r="T422" s="251"/>
      <c r="U422" s="93"/>
      <c r="V422" s="278"/>
    </row>
    <row r="423" spans="1:22" ht="18" customHeight="1">
      <c r="A423" s="277"/>
      <c r="B423" s="251"/>
      <c r="C423" s="251"/>
      <c r="D423" s="251"/>
      <c r="E423" s="251"/>
      <c r="F423" s="251"/>
      <c r="G423" s="251"/>
      <c r="H423" s="251"/>
      <c r="I423" s="251"/>
      <c r="J423" s="93"/>
      <c r="K423" s="93"/>
      <c r="L423" s="251"/>
      <c r="M423" s="251"/>
      <c r="N423" s="251"/>
      <c r="O423" s="251"/>
      <c r="P423" s="251"/>
      <c r="Q423" s="251"/>
      <c r="R423" s="251"/>
      <c r="S423" s="251"/>
      <c r="T423" s="251"/>
      <c r="U423" s="93"/>
      <c r="V423" s="278"/>
    </row>
    <row r="424" spans="1:22" ht="18" customHeight="1">
      <c r="A424" s="277"/>
      <c r="B424" s="251"/>
      <c r="C424" s="251"/>
      <c r="D424" s="251"/>
      <c r="E424" s="251"/>
      <c r="F424" s="251"/>
      <c r="G424" s="251"/>
      <c r="H424" s="251"/>
      <c r="I424" s="251"/>
      <c r="J424" s="93"/>
      <c r="K424" s="93"/>
      <c r="L424" s="251"/>
      <c r="M424" s="251"/>
      <c r="N424" s="251"/>
      <c r="O424" s="251"/>
      <c r="P424" s="251"/>
      <c r="Q424" s="251"/>
      <c r="R424" s="251"/>
      <c r="S424" s="251"/>
      <c r="T424" s="251"/>
      <c r="U424" s="93"/>
      <c r="V424" s="278"/>
    </row>
    <row r="425" spans="1:22" ht="18" customHeight="1">
      <c r="A425" s="277"/>
      <c r="B425" s="251"/>
      <c r="C425" s="251"/>
      <c r="D425" s="251"/>
      <c r="E425" s="251"/>
      <c r="F425" s="251"/>
      <c r="G425" s="251"/>
      <c r="H425" s="251"/>
      <c r="I425" s="251"/>
      <c r="J425" s="93"/>
      <c r="K425" s="93"/>
      <c r="L425" s="251"/>
      <c r="M425" s="251"/>
      <c r="N425" s="251"/>
      <c r="O425" s="251"/>
      <c r="P425" s="251"/>
      <c r="Q425" s="251"/>
      <c r="R425" s="251"/>
      <c r="S425" s="251"/>
      <c r="T425" s="251"/>
      <c r="U425" s="93"/>
      <c r="V425" s="278"/>
    </row>
    <row r="426" spans="1:22" ht="18" customHeight="1">
      <c r="A426" s="277"/>
      <c r="B426" s="251"/>
      <c r="C426" s="251"/>
      <c r="D426" s="251"/>
      <c r="E426" s="251"/>
      <c r="F426" s="251"/>
      <c r="G426" s="251"/>
      <c r="H426" s="251"/>
      <c r="I426" s="251"/>
      <c r="J426" s="93"/>
      <c r="K426" s="93"/>
      <c r="L426" s="251"/>
      <c r="M426" s="251"/>
      <c r="N426" s="251"/>
      <c r="O426" s="251"/>
      <c r="P426" s="251"/>
      <c r="Q426" s="251"/>
      <c r="R426" s="251"/>
      <c r="S426" s="251"/>
      <c r="T426" s="251"/>
      <c r="U426" s="93"/>
      <c r="V426" s="278"/>
    </row>
    <row r="427" spans="1:22" ht="18" customHeight="1">
      <c r="A427" s="277"/>
      <c r="B427" s="251"/>
      <c r="C427" s="251"/>
      <c r="D427" s="251"/>
      <c r="E427" s="251"/>
      <c r="F427" s="251"/>
      <c r="G427" s="251"/>
      <c r="H427" s="251"/>
      <c r="I427" s="251"/>
      <c r="J427" s="93"/>
      <c r="K427" s="93"/>
      <c r="L427" s="251"/>
      <c r="M427" s="251"/>
      <c r="N427" s="251"/>
      <c r="O427" s="251"/>
      <c r="P427" s="251"/>
      <c r="Q427" s="251"/>
      <c r="R427" s="251"/>
      <c r="S427" s="251"/>
      <c r="T427" s="251"/>
      <c r="U427" s="93"/>
      <c r="V427" s="278"/>
    </row>
    <row r="428" spans="1:22" ht="18" customHeight="1">
      <c r="A428" s="277"/>
      <c r="B428" s="251"/>
      <c r="C428" s="251"/>
      <c r="D428" s="251"/>
      <c r="E428" s="251"/>
      <c r="F428" s="251"/>
      <c r="G428" s="251"/>
      <c r="H428" s="251"/>
      <c r="I428" s="251"/>
      <c r="J428" s="93"/>
      <c r="K428" s="93"/>
      <c r="L428" s="251"/>
      <c r="M428" s="251"/>
      <c r="N428" s="251"/>
      <c r="O428" s="251"/>
      <c r="P428" s="251"/>
      <c r="Q428" s="251"/>
      <c r="R428" s="251"/>
      <c r="S428" s="251"/>
      <c r="T428" s="251"/>
      <c r="U428" s="93"/>
      <c r="V428" s="278"/>
    </row>
    <row r="429" spans="1:22" ht="18" customHeight="1">
      <c r="A429" s="277"/>
      <c r="B429" s="251"/>
      <c r="C429" s="251"/>
      <c r="D429" s="251"/>
      <c r="E429" s="251"/>
      <c r="F429" s="251"/>
      <c r="G429" s="251"/>
      <c r="H429" s="251"/>
      <c r="I429" s="251"/>
      <c r="J429" s="93"/>
      <c r="K429" s="93"/>
      <c r="L429" s="251"/>
      <c r="M429" s="251"/>
      <c r="N429" s="251"/>
      <c r="O429" s="251"/>
      <c r="P429" s="251"/>
      <c r="Q429" s="251"/>
      <c r="R429" s="251"/>
      <c r="S429" s="251"/>
      <c r="T429" s="251"/>
      <c r="U429" s="93"/>
      <c r="V429" s="278"/>
    </row>
    <row r="430" spans="1:22" ht="18" customHeight="1">
      <c r="A430" s="277"/>
      <c r="B430" s="251"/>
      <c r="C430" s="251"/>
      <c r="D430" s="251"/>
      <c r="E430" s="251"/>
      <c r="F430" s="251"/>
      <c r="G430" s="251"/>
      <c r="H430" s="251"/>
      <c r="I430" s="251"/>
      <c r="J430" s="93"/>
      <c r="K430" s="93"/>
      <c r="L430" s="251"/>
      <c r="M430" s="251"/>
      <c r="N430" s="251"/>
      <c r="O430" s="251"/>
      <c r="P430" s="251"/>
      <c r="Q430" s="251"/>
      <c r="R430" s="251"/>
      <c r="S430" s="251"/>
      <c r="T430" s="251"/>
      <c r="U430" s="93"/>
      <c r="V430" s="278"/>
    </row>
    <row r="431" spans="1:22" ht="18" customHeight="1">
      <c r="A431" s="277"/>
      <c r="B431" s="251"/>
      <c r="C431" s="251"/>
      <c r="D431" s="251"/>
      <c r="E431" s="251"/>
      <c r="F431" s="251"/>
      <c r="G431" s="251"/>
      <c r="H431" s="251"/>
      <c r="I431" s="251"/>
      <c r="J431" s="93"/>
      <c r="K431" s="93"/>
      <c r="L431" s="251"/>
      <c r="M431" s="251"/>
      <c r="N431" s="251"/>
      <c r="O431" s="251"/>
      <c r="P431" s="251"/>
      <c r="Q431" s="251"/>
      <c r="R431" s="251"/>
      <c r="S431" s="251"/>
      <c r="T431" s="251"/>
      <c r="U431" s="93"/>
      <c r="V431" s="278"/>
    </row>
    <row r="432" spans="1:22" ht="18" customHeight="1">
      <c r="A432" s="277"/>
      <c r="B432" s="251"/>
      <c r="C432" s="251"/>
      <c r="D432" s="251"/>
      <c r="E432" s="251"/>
      <c r="F432" s="251"/>
      <c r="G432" s="251"/>
      <c r="H432" s="251"/>
      <c r="I432" s="251"/>
      <c r="J432" s="93"/>
      <c r="K432" s="93"/>
      <c r="L432" s="251"/>
      <c r="M432" s="251"/>
      <c r="N432" s="251"/>
      <c r="O432" s="251"/>
      <c r="P432" s="251"/>
      <c r="Q432" s="251"/>
      <c r="R432" s="251"/>
      <c r="S432" s="251"/>
      <c r="T432" s="251"/>
      <c r="U432" s="93"/>
      <c r="V432" s="278"/>
    </row>
    <row r="433" spans="1:22" ht="18" customHeight="1">
      <c r="A433" s="277"/>
      <c r="B433" s="251"/>
      <c r="C433" s="251"/>
      <c r="D433" s="251"/>
      <c r="E433" s="251"/>
      <c r="F433" s="251"/>
      <c r="G433" s="251"/>
      <c r="H433" s="251"/>
      <c r="I433" s="251"/>
      <c r="J433" s="93"/>
      <c r="K433" s="93"/>
      <c r="L433" s="251"/>
      <c r="M433" s="251"/>
      <c r="N433" s="251"/>
      <c r="O433" s="251"/>
      <c r="P433" s="251"/>
      <c r="Q433" s="251"/>
      <c r="R433" s="251"/>
      <c r="S433" s="251"/>
      <c r="T433" s="251"/>
      <c r="U433" s="93"/>
      <c r="V433" s="278"/>
    </row>
    <row r="434" spans="1:22" ht="18" customHeight="1">
      <c r="A434" s="277"/>
      <c r="B434" s="251"/>
      <c r="C434" s="251"/>
      <c r="D434" s="251"/>
      <c r="E434" s="251"/>
      <c r="F434" s="251"/>
      <c r="G434" s="251"/>
      <c r="H434" s="251"/>
      <c r="I434" s="251"/>
      <c r="J434" s="93"/>
      <c r="K434" s="93"/>
      <c r="L434" s="251"/>
      <c r="M434" s="251"/>
      <c r="N434" s="251"/>
      <c r="O434" s="251"/>
      <c r="P434" s="251"/>
      <c r="Q434" s="251"/>
      <c r="R434" s="251"/>
      <c r="S434" s="251"/>
      <c r="T434" s="251"/>
      <c r="U434" s="93"/>
      <c r="V434" s="278"/>
    </row>
    <row r="435" spans="1:22" ht="18" customHeight="1">
      <c r="A435" s="277"/>
      <c r="B435" s="251"/>
      <c r="C435" s="251"/>
      <c r="D435" s="251"/>
      <c r="E435" s="251"/>
      <c r="F435" s="251"/>
      <c r="G435" s="251"/>
      <c r="H435" s="251"/>
      <c r="I435" s="251"/>
      <c r="J435" s="93"/>
      <c r="K435" s="93"/>
      <c r="L435" s="251"/>
      <c r="M435" s="251"/>
      <c r="N435" s="251"/>
      <c r="O435" s="251"/>
      <c r="P435" s="251"/>
      <c r="Q435" s="251"/>
      <c r="R435" s="251"/>
      <c r="S435" s="251"/>
      <c r="T435" s="251"/>
      <c r="U435" s="93"/>
      <c r="V435" s="278"/>
    </row>
    <row r="436" spans="1:22" ht="18" customHeight="1">
      <c r="A436" s="277"/>
      <c r="B436" s="251"/>
      <c r="C436" s="251"/>
      <c r="D436" s="251"/>
      <c r="E436" s="251"/>
      <c r="F436" s="251"/>
      <c r="G436" s="251"/>
      <c r="H436" s="251"/>
      <c r="I436" s="251"/>
      <c r="J436" s="93"/>
      <c r="K436" s="93"/>
      <c r="L436" s="251"/>
      <c r="M436" s="251"/>
      <c r="N436" s="251"/>
      <c r="O436" s="251"/>
      <c r="P436" s="251"/>
      <c r="Q436" s="251"/>
      <c r="R436" s="251"/>
      <c r="S436" s="251"/>
      <c r="T436" s="251"/>
      <c r="U436" s="93"/>
      <c r="V436" s="278"/>
    </row>
    <row r="437" spans="1:22" ht="18" customHeight="1">
      <c r="A437" s="277"/>
      <c r="B437" s="251"/>
      <c r="C437" s="251"/>
      <c r="D437" s="251"/>
      <c r="E437" s="251"/>
      <c r="F437" s="251"/>
      <c r="G437" s="251"/>
      <c r="H437" s="251"/>
      <c r="I437" s="251"/>
      <c r="J437" s="93"/>
      <c r="K437" s="93"/>
      <c r="L437" s="251"/>
      <c r="M437" s="251"/>
      <c r="N437" s="251"/>
      <c r="O437" s="251"/>
      <c r="P437" s="251"/>
      <c r="Q437" s="251"/>
      <c r="R437" s="251"/>
      <c r="S437" s="251"/>
      <c r="T437" s="251"/>
      <c r="U437" s="93"/>
      <c r="V437" s="278"/>
    </row>
    <row r="438" spans="1:22" ht="18" customHeight="1">
      <c r="A438" s="277"/>
      <c r="B438" s="251"/>
      <c r="C438" s="251"/>
      <c r="D438" s="251"/>
      <c r="E438" s="251"/>
      <c r="F438" s="251"/>
      <c r="G438" s="251"/>
      <c r="H438" s="251"/>
      <c r="I438" s="251"/>
      <c r="J438" s="93"/>
      <c r="K438" s="93"/>
      <c r="L438" s="251"/>
      <c r="M438" s="251"/>
      <c r="N438" s="251"/>
      <c r="O438" s="251"/>
      <c r="P438" s="251"/>
      <c r="Q438" s="251"/>
      <c r="R438" s="251"/>
      <c r="S438" s="251"/>
      <c r="T438" s="251"/>
      <c r="U438" s="93"/>
      <c r="V438" s="278"/>
    </row>
    <row r="439" spans="1:22" ht="18" customHeight="1">
      <c r="A439" s="277"/>
      <c r="B439" s="251"/>
      <c r="C439" s="251"/>
      <c r="D439" s="251"/>
      <c r="E439" s="251"/>
      <c r="F439" s="251"/>
      <c r="G439" s="251"/>
      <c r="H439" s="251"/>
      <c r="I439" s="251"/>
      <c r="J439" s="93"/>
      <c r="K439" s="93"/>
      <c r="L439" s="251"/>
      <c r="M439" s="251"/>
      <c r="N439" s="251"/>
      <c r="O439" s="251"/>
      <c r="P439" s="251"/>
      <c r="Q439" s="251"/>
      <c r="R439" s="251"/>
      <c r="S439" s="251"/>
      <c r="T439" s="251"/>
      <c r="U439" s="93"/>
      <c r="V439" s="278"/>
    </row>
    <row r="440" spans="1:22" ht="18" customHeight="1">
      <c r="A440" s="277"/>
      <c r="B440" s="251"/>
      <c r="C440" s="251"/>
      <c r="D440" s="251"/>
      <c r="E440" s="251"/>
      <c r="F440" s="251"/>
      <c r="G440" s="251"/>
      <c r="H440" s="251"/>
      <c r="I440" s="251"/>
      <c r="J440" s="93"/>
      <c r="K440" s="93"/>
      <c r="L440" s="251"/>
      <c r="M440" s="251"/>
      <c r="N440" s="251"/>
      <c r="O440" s="251"/>
      <c r="P440" s="251"/>
      <c r="Q440" s="251"/>
      <c r="R440" s="251"/>
      <c r="S440" s="251"/>
      <c r="T440" s="251"/>
      <c r="U440" s="93"/>
      <c r="V440" s="278"/>
    </row>
    <row r="441" spans="1:22" ht="18" customHeight="1">
      <c r="A441" s="277"/>
      <c r="B441" s="251"/>
      <c r="C441" s="251"/>
      <c r="D441" s="251"/>
      <c r="E441" s="251"/>
      <c r="F441" s="251"/>
      <c r="G441" s="251"/>
      <c r="H441" s="251"/>
      <c r="I441" s="251"/>
      <c r="J441" s="93"/>
      <c r="K441" s="93"/>
      <c r="L441" s="251"/>
      <c r="M441" s="251"/>
      <c r="N441" s="251"/>
      <c r="O441" s="251"/>
      <c r="P441" s="251"/>
      <c r="Q441" s="251"/>
      <c r="R441" s="251"/>
      <c r="S441" s="251"/>
      <c r="T441" s="251"/>
      <c r="U441" s="93"/>
      <c r="V441" s="278"/>
    </row>
    <row r="442" spans="1:22" ht="18" customHeight="1">
      <c r="A442" s="277"/>
      <c r="B442" s="251"/>
      <c r="C442" s="251"/>
      <c r="D442" s="251"/>
      <c r="E442" s="251"/>
      <c r="F442" s="251"/>
      <c r="G442" s="251"/>
      <c r="H442" s="251"/>
      <c r="I442" s="251"/>
      <c r="J442" s="93"/>
      <c r="K442" s="93"/>
      <c r="L442" s="251"/>
      <c r="M442" s="251"/>
      <c r="N442" s="251"/>
      <c r="O442" s="251"/>
      <c r="P442" s="251"/>
      <c r="Q442" s="251"/>
      <c r="R442" s="251"/>
      <c r="S442" s="251"/>
      <c r="T442" s="251"/>
      <c r="U442" s="93"/>
      <c r="V442" s="278"/>
    </row>
    <row r="443" spans="1:22" ht="18" customHeight="1">
      <c r="A443" s="277"/>
      <c r="B443" s="251"/>
      <c r="C443" s="251"/>
      <c r="D443" s="251"/>
      <c r="E443" s="251"/>
      <c r="F443" s="251"/>
      <c r="G443" s="251"/>
      <c r="H443" s="251"/>
      <c r="I443" s="251"/>
      <c r="J443" s="93"/>
      <c r="K443" s="93"/>
      <c r="L443" s="251"/>
      <c r="M443" s="251"/>
      <c r="N443" s="251"/>
      <c r="O443" s="251"/>
      <c r="P443" s="251"/>
      <c r="Q443" s="251"/>
      <c r="R443" s="251"/>
      <c r="S443" s="251"/>
      <c r="T443" s="251"/>
      <c r="U443" s="93"/>
      <c r="V443" s="278"/>
    </row>
    <row r="444" spans="1:22" ht="18" customHeight="1">
      <c r="A444" s="277"/>
      <c r="B444" s="251"/>
      <c r="C444" s="251"/>
      <c r="D444" s="251"/>
      <c r="E444" s="251"/>
      <c r="F444" s="251"/>
      <c r="G444" s="251"/>
      <c r="H444" s="251"/>
      <c r="I444" s="251"/>
      <c r="J444" s="93"/>
      <c r="K444" s="93"/>
      <c r="L444" s="251"/>
      <c r="M444" s="251"/>
      <c r="N444" s="251"/>
      <c r="O444" s="251"/>
      <c r="P444" s="251"/>
      <c r="Q444" s="251"/>
      <c r="R444" s="251"/>
      <c r="S444" s="251"/>
      <c r="T444" s="251"/>
      <c r="U444" s="93"/>
      <c r="V444" s="278"/>
    </row>
    <row r="445" spans="1:22" ht="18" customHeight="1">
      <c r="A445" s="196"/>
      <c r="V445" s="197"/>
    </row>
    <row r="446" spans="1:22" ht="18" customHeight="1">
      <c r="A446" s="196"/>
      <c r="V446" s="197"/>
    </row>
    <row r="447" spans="1:22" ht="18" customHeight="1">
      <c r="A447" s="196"/>
      <c r="V447" s="197"/>
    </row>
    <row r="448" spans="1:22" ht="18" customHeight="1">
      <c r="A448" s="196"/>
      <c r="V448" s="197"/>
    </row>
    <row r="449" spans="1:29" ht="18" customHeight="1">
      <c r="A449" s="196"/>
      <c r="V449" s="197"/>
    </row>
    <row r="450" spans="1:29" ht="18" customHeight="1">
      <c r="A450" s="196"/>
      <c r="V450" s="197"/>
    </row>
    <row r="451" spans="1:29" s="14" customFormat="1" ht="18" customHeight="1">
      <c r="A451" s="206"/>
      <c r="B451" s="207"/>
      <c r="C451" s="207"/>
      <c r="D451" s="207"/>
      <c r="E451" s="207"/>
      <c r="F451" s="207"/>
      <c r="G451" s="207"/>
      <c r="H451" s="207"/>
      <c r="I451" s="207"/>
      <c r="J451" s="207"/>
      <c r="K451" s="207"/>
      <c r="L451" s="207"/>
      <c r="M451" s="207"/>
      <c r="N451" s="207"/>
      <c r="O451" s="207"/>
      <c r="P451" s="207"/>
      <c r="Q451" s="236"/>
      <c r="R451" s="194"/>
      <c r="S451" s="237"/>
      <c r="T451" s="207"/>
      <c r="U451" s="207"/>
      <c r="V451" s="140"/>
    </row>
    <row r="452" spans="1:29" ht="18" hidden="1" customHeight="1">
      <c r="A452" s="1105" t="str">
        <f>A1</f>
        <v>HITACHI</v>
      </c>
      <c r="B452" s="1106"/>
      <c r="C452" s="1106"/>
      <c r="D452" s="1106"/>
      <c r="E452" s="1106"/>
      <c r="F452" s="1106"/>
      <c r="G452" s="1107"/>
      <c r="H452" s="726" t="str">
        <f>H1</f>
        <v>CT / VT</v>
      </c>
      <c r="I452" s="727"/>
      <c r="J452" s="727"/>
      <c r="K452" s="727"/>
      <c r="L452" s="727"/>
      <c r="M452" s="727"/>
      <c r="N452" s="728"/>
      <c r="O452" s="702" t="str">
        <f>O1</f>
        <v>Contract No.</v>
      </c>
      <c r="P452" s="703"/>
      <c r="Q452" s="704"/>
      <c r="R452" s="705" t="str">
        <f>R1</f>
        <v>N-19957.1-DF5W</v>
      </c>
      <c r="S452" s="706"/>
      <c r="T452" s="706"/>
      <c r="U452" s="706"/>
      <c r="V452" s="707"/>
    </row>
    <row r="453" spans="1:29" ht="18" hidden="1" customHeight="1">
      <c r="A453" s="1108"/>
      <c r="B453" s="1109"/>
      <c r="C453" s="1109"/>
      <c r="D453" s="1109"/>
      <c r="E453" s="1109"/>
      <c r="F453" s="1109"/>
      <c r="G453" s="1110"/>
      <c r="H453" s="729" t="str">
        <f>H2</f>
        <v>ADEQUACY CHECK</v>
      </c>
      <c r="I453" s="730"/>
      <c r="J453" s="730"/>
      <c r="K453" s="730"/>
      <c r="L453" s="730"/>
      <c r="M453" s="730"/>
      <c r="N453" s="731"/>
      <c r="O453" s="702" t="str">
        <f>O2</f>
        <v>Date</v>
      </c>
      <c r="P453" s="703"/>
      <c r="Q453" s="704"/>
      <c r="R453" s="705">
        <f>R2</f>
        <v>46106</v>
      </c>
      <c r="S453" s="706"/>
      <c r="T453" s="706"/>
      <c r="U453" s="706"/>
      <c r="V453" s="707"/>
    </row>
    <row r="454" spans="1:29" ht="18" hidden="1" customHeight="1">
      <c r="A454" s="614">
        <f>A3</f>
        <v>0</v>
      </c>
      <c r="B454" s="620"/>
      <c r="C454" s="620"/>
      <c r="D454" s="620"/>
      <c r="E454" s="620"/>
      <c r="F454" s="620"/>
      <c r="G454" s="615"/>
      <c r="H454" s="735" t="str">
        <f>H3</f>
        <v>LT14 - LEWIS
400/132kV SUBSTATION</v>
      </c>
      <c r="I454" s="736"/>
      <c r="J454" s="736"/>
      <c r="K454" s="736"/>
      <c r="L454" s="736"/>
      <c r="M454" s="736"/>
      <c r="N454" s="737"/>
      <c r="O454" s="702" t="str">
        <f>O3</f>
        <v>Document No.</v>
      </c>
      <c r="P454" s="703"/>
      <c r="Q454" s="704"/>
      <c r="R454" s="705" t="str">
        <f>R3</f>
        <v>-</v>
      </c>
      <c r="S454" s="706"/>
      <c r="T454" s="706"/>
      <c r="U454" s="706"/>
      <c r="V454" s="707"/>
    </row>
    <row r="455" spans="1:29" ht="18" hidden="1" customHeight="1">
      <c r="A455" s="618"/>
      <c r="B455" s="622"/>
      <c r="C455" s="622"/>
      <c r="D455" s="622"/>
      <c r="E455" s="622"/>
      <c r="F455" s="622"/>
      <c r="G455" s="619"/>
      <c r="H455" s="738"/>
      <c r="I455" s="739"/>
      <c r="J455" s="739"/>
      <c r="K455" s="739"/>
      <c r="L455" s="739"/>
      <c r="M455" s="739"/>
      <c r="N455" s="740"/>
      <c r="O455" s="702" t="str">
        <f>O4</f>
        <v>Revision No.</v>
      </c>
      <c r="P455" s="703"/>
      <c r="Q455" s="704"/>
      <c r="R455" s="705" t="str">
        <f>R4</f>
        <v>A</v>
      </c>
      <c r="S455" s="706"/>
      <c r="T455" s="706"/>
      <c r="U455" s="706"/>
      <c r="V455" s="707"/>
    </row>
    <row r="456" spans="1:29" ht="18" hidden="1" customHeight="1">
      <c r="A456" s="708" t="str">
        <f>A5</f>
        <v>Prep. By</v>
      </c>
      <c r="B456" s="709"/>
      <c r="C456" s="25" t="str">
        <f>C5</f>
        <v>AP</v>
      </c>
      <c r="D456" s="708" t="str">
        <f>D5</f>
        <v>Checked By</v>
      </c>
      <c r="E456" s="710"/>
      <c r="F456" s="709"/>
      <c r="G456" s="25" t="str">
        <f>G5</f>
        <v>RB</v>
      </c>
      <c r="H456" s="1100" t="str">
        <f>H5</f>
        <v xml:space="preserve">33kV Incomer Transformer Feeder </v>
      </c>
      <c r="I456" s="1101"/>
      <c r="J456" s="1101"/>
      <c r="K456" s="1101"/>
      <c r="L456" s="1101"/>
      <c r="M456" s="1101"/>
      <c r="N456" s="1102"/>
      <c r="O456" s="714" t="str">
        <f>O5</f>
        <v>Contractor</v>
      </c>
      <c r="P456" s="715"/>
      <c r="Q456" s="716"/>
      <c r="R456" s="705" t="str">
        <f>R5</f>
        <v>HITACHI</v>
      </c>
      <c r="S456" s="706"/>
      <c r="T456" s="706"/>
      <c r="U456" s="706"/>
      <c r="V456" s="707"/>
    </row>
    <row r="457" spans="1:29" ht="18" hidden="1" customHeight="1">
      <c r="A457" s="196"/>
      <c r="V457" s="197"/>
    </row>
    <row r="458" spans="1:29" ht="18" hidden="1" customHeight="1">
      <c r="A458" s="196"/>
      <c r="B458" s="1103" t="s">
        <v>646</v>
      </c>
      <c r="C458" s="1104"/>
      <c r="D458" s="696" t="s">
        <v>517</v>
      </c>
      <c r="E458" s="698"/>
      <c r="F458" s="198" t="s">
        <v>647</v>
      </c>
      <c r="H458" s="639" t="str">
        <f>H281</f>
        <v>(Transformer Differential)</v>
      </c>
      <c r="I458" s="639"/>
      <c r="J458" s="639"/>
      <c r="K458" s="639"/>
      <c r="L458" s="639"/>
      <c r="M458" s="639"/>
      <c r="P458" s="198"/>
      <c r="S458" s="199" t="s">
        <v>398</v>
      </c>
      <c r="T458" s="656" t="str">
        <f>T143</f>
        <v>RET670</v>
      </c>
      <c r="U458" s="657"/>
      <c r="V458" s="197"/>
    </row>
    <row r="459" spans="1:29" ht="18" hidden="1" customHeight="1">
      <c r="A459" s="196"/>
      <c r="B459" s="894"/>
      <c r="C459" s="894"/>
      <c r="D459" s="699"/>
      <c r="E459" s="700"/>
      <c r="F459" s="267"/>
      <c r="T459" s="656"/>
      <c r="U459" s="657"/>
      <c r="V459" s="197"/>
    </row>
    <row r="460" spans="1:29" ht="18" hidden="1" customHeight="1">
      <c r="A460" s="196"/>
      <c r="H460" s="662" t="s">
        <v>401</v>
      </c>
      <c r="I460" s="662"/>
      <c r="J460" s="701" t="s">
        <v>402</v>
      </c>
      <c r="K460" s="701"/>
      <c r="L460" s="701" t="s">
        <v>403</v>
      </c>
      <c r="M460" s="701"/>
      <c r="T460" s="656"/>
      <c r="U460" s="657"/>
      <c r="V460" s="197"/>
    </row>
    <row r="461" spans="1:29" ht="18" hidden="1" customHeight="1">
      <c r="A461" s="196"/>
      <c r="B461" s="47" t="s">
        <v>404</v>
      </c>
      <c r="H461" s="692">
        <v>1200</v>
      </c>
      <c r="I461" s="693"/>
      <c r="J461" s="656" t="s">
        <v>7</v>
      </c>
      <c r="K461" s="657"/>
      <c r="L461" s="656" t="s">
        <v>7</v>
      </c>
      <c r="M461" s="657"/>
      <c r="N461" s="203" t="s">
        <v>353</v>
      </c>
      <c r="O461" s="279">
        <v>1</v>
      </c>
      <c r="P461" s="27" t="s">
        <v>9</v>
      </c>
      <c r="V461" s="197"/>
    </row>
    <row r="462" spans="1:29" ht="18" hidden="1" customHeight="1">
      <c r="A462" s="196"/>
      <c r="B462" s="47" t="s">
        <v>405</v>
      </c>
      <c r="H462" s="656" t="s">
        <v>648</v>
      </c>
      <c r="I462" s="657"/>
      <c r="V462" s="197"/>
    </row>
    <row r="463" spans="1:29" ht="18" hidden="1" customHeight="1">
      <c r="A463" s="196"/>
      <c r="B463" s="47" t="s">
        <v>407</v>
      </c>
      <c r="G463" s="120" t="s">
        <v>408</v>
      </c>
      <c r="H463" s="656">
        <v>5</v>
      </c>
      <c r="I463" s="657"/>
      <c r="J463" s="204" t="s">
        <v>344</v>
      </c>
      <c r="V463" s="197"/>
    </row>
    <row r="464" spans="1:29" ht="18" hidden="1" customHeight="1">
      <c r="A464" s="196"/>
      <c r="B464" s="47" t="s">
        <v>409</v>
      </c>
      <c r="G464" s="120" t="s">
        <v>649</v>
      </c>
      <c r="H464" s="656">
        <v>430</v>
      </c>
      <c r="I464" s="657"/>
      <c r="J464" s="14" t="s">
        <v>316</v>
      </c>
      <c r="V464" s="197"/>
      <c r="W464" s="30" t="s">
        <v>411</v>
      </c>
      <c r="AB464" s="996">
        <f>Q548</f>
        <v>60.295125752754394</v>
      </c>
      <c r="AC464" s="997"/>
    </row>
    <row r="465" spans="1:22" ht="18" hidden="1" customHeight="1">
      <c r="A465" s="196"/>
      <c r="B465" s="14" t="s">
        <v>412</v>
      </c>
      <c r="G465" s="120" t="s">
        <v>413</v>
      </c>
      <c r="H465" s="656">
        <v>20</v>
      </c>
      <c r="I465" s="657"/>
      <c r="J465" s="14" t="s">
        <v>414</v>
      </c>
      <c r="V465" s="197"/>
    </row>
    <row r="466" spans="1:22" ht="18" hidden="1" customHeight="1">
      <c r="A466" s="196"/>
      <c r="V466" s="197"/>
    </row>
    <row r="467" spans="1:22" ht="18" hidden="1" customHeight="1">
      <c r="A467" s="205" t="s">
        <v>415</v>
      </c>
      <c r="V467" s="197"/>
    </row>
    <row r="468" spans="1:22" ht="18" hidden="1" customHeight="1">
      <c r="A468" s="196"/>
      <c r="V468" s="197"/>
    </row>
    <row r="469" spans="1:22" ht="18" hidden="1" customHeight="1">
      <c r="A469" s="196"/>
      <c r="B469" s="206" t="s">
        <v>416</v>
      </c>
      <c r="C469" s="207"/>
      <c r="D469" s="207" t="str">
        <f>T458</f>
        <v>RET670</v>
      </c>
      <c r="E469" s="208"/>
      <c r="F469" s="208"/>
      <c r="G469" s="208"/>
      <c r="H469" s="194" t="s">
        <v>417</v>
      </c>
      <c r="I469" s="195" t="s">
        <v>138</v>
      </c>
      <c r="J469" s="1095">
        <f>J292</f>
        <v>0.02</v>
      </c>
      <c r="K469" s="1079"/>
      <c r="L469" s="3" t="s">
        <v>168</v>
      </c>
      <c r="N469" s="209" t="s">
        <v>418</v>
      </c>
      <c r="V469" s="197"/>
    </row>
    <row r="470" spans="1:22" s="14" customFormat="1" ht="18" hidden="1" customHeight="1">
      <c r="A470" s="196"/>
      <c r="B470" s="96" t="s">
        <v>416</v>
      </c>
      <c r="C470" s="30"/>
      <c r="D470" s="30">
        <f>T459</f>
        <v>0</v>
      </c>
      <c r="E470" s="30"/>
      <c r="F470" s="30"/>
      <c r="G470" s="30"/>
      <c r="H470" s="27"/>
      <c r="I470" s="189" t="s">
        <v>138</v>
      </c>
      <c r="J470" s="1097"/>
      <c r="K470" s="1098"/>
      <c r="L470" s="210" t="s">
        <v>168</v>
      </c>
      <c r="M470" s="30"/>
      <c r="N470" s="30"/>
      <c r="O470" s="30"/>
      <c r="P470" s="30"/>
      <c r="Q470" s="30"/>
      <c r="R470" s="30"/>
      <c r="S470" s="30"/>
      <c r="T470" s="30"/>
      <c r="U470" s="30"/>
      <c r="V470" s="197"/>
    </row>
    <row r="471" spans="1:22" s="14" customFormat="1" ht="18" hidden="1" customHeight="1">
      <c r="A471" s="196"/>
      <c r="B471" s="96" t="s">
        <v>416</v>
      </c>
      <c r="C471" s="30"/>
      <c r="D471" s="30">
        <f>T460</f>
        <v>0</v>
      </c>
      <c r="F471" s="30"/>
      <c r="G471" s="211"/>
      <c r="H471" s="27"/>
      <c r="I471" s="189" t="s">
        <v>138</v>
      </c>
      <c r="J471" s="644"/>
      <c r="K471" s="645"/>
      <c r="L471" s="214" t="s">
        <v>168</v>
      </c>
      <c r="M471" s="30"/>
      <c r="N471" s="30" t="s">
        <v>419</v>
      </c>
      <c r="O471" s="27" t="s">
        <v>138</v>
      </c>
      <c r="P471" s="30" t="s">
        <v>420</v>
      </c>
      <c r="Q471" s="203" t="s">
        <v>421</v>
      </c>
      <c r="R471" s="256" t="s">
        <v>422</v>
      </c>
      <c r="S471" s="27" t="s">
        <v>326</v>
      </c>
      <c r="T471" s="30" t="s">
        <v>422</v>
      </c>
      <c r="U471" s="30" t="s">
        <v>361</v>
      </c>
      <c r="V471" s="197"/>
    </row>
    <row r="472" spans="1:22" s="14" customFormat="1" ht="18" hidden="1" customHeight="1">
      <c r="A472" s="196"/>
      <c r="B472" s="196" t="s">
        <v>423</v>
      </c>
      <c r="C472" s="30"/>
      <c r="D472" s="30"/>
      <c r="E472" s="30"/>
      <c r="F472" s="30"/>
      <c r="G472" s="30"/>
      <c r="H472" s="27" t="s">
        <v>610</v>
      </c>
      <c r="I472" s="189" t="s">
        <v>138</v>
      </c>
      <c r="J472" s="1097">
        <f>J295</f>
        <v>1.44186744</v>
      </c>
      <c r="K472" s="1098"/>
      <c r="L472" s="215" t="s">
        <v>168</v>
      </c>
      <c r="M472" s="30"/>
      <c r="N472" s="30"/>
      <c r="O472" s="27" t="s">
        <v>138</v>
      </c>
      <c r="P472" s="216">
        <f>J473</f>
        <v>1.44186744</v>
      </c>
      <c r="Q472" s="203" t="s">
        <v>421</v>
      </c>
      <c r="R472" s="27">
        <f>O461</f>
        <v>1</v>
      </c>
      <c r="S472" s="27" t="s">
        <v>326</v>
      </c>
      <c r="T472" s="27">
        <f>O461</f>
        <v>1</v>
      </c>
      <c r="U472" s="30" t="s">
        <v>361</v>
      </c>
      <c r="V472" s="197"/>
    </row>
    <row r="473" spans="1:22" s="14" customFormat="1" ht="18" hidden="1" customHeight="1">
      <c r="A473" s="196"/>
      <c r="B473" s="217" t="s">
        <v>424</v>
      </c>
      <c r="C473" s="218"/>
      <c r="D473" s="218"/>
      <c r="E473" s="218"/>
      <c r="F473" s="219"/>
      <c r="G473" s="219"/>
      <c r="H473" s="202" t="s">
        <v>420</v>
      </c>
      <c r="I473" s="220" t="s">
        <v>138</v>
      </c>
      <c r="J473" s="1095">
        <f>J470+J472</f>
        <v>1.44186744</v>
      </c>
      <c r="K473" s="1079"/>
      <c r="L473" s="222" t="s">
        <v>168</v>
      </c>
      <c r="M473" s="30"/>
      <c r="N473" s="30"/>
      <c r="O473" s="27" t="s">
        <v>138</v>
      </c>
      <c r="P473" s="637">
        <f>P472/(R472*T472)</f>
        <v>1.44186744</v>
      </c>
      <c r="Q473" s="637"/>
      <c r="R473" s="204" t="s">
        <v>344</v>
      </c>
      <c r="S473" s="30"/>
      <c r="T473" s="30"/>
      <c r="U473" s="30"/>
      <c r="V473" s="197"/>
    </row>
    <row r="474" spans="1:22" s="14" customFormat="1" ht="18" hidden="1" customHeight="1">
      <c r="A474" s="196"/>
      <c r="B474" s="30"/>
      <c r="C474" s="30"/>
      <c r="D474" s="30"/>
      <c r="E474" s="30"/>
      <c r="F474" s="30"/>
      <c r="G474" s="30"/>
      <c r="H474" s="30"/>
      <c r="I474" s="30"/>
      <c r="J474" s="30"/>
      <c r="K474" s="30"/>
      <c r="L474" s="30"/>
      <c r="M474" s="30"/>
      <c r="N474" s="30"/>
      <c r="O474" s="30"/>
      <c r="P474" s="30"/>
      <c r="Q474" s="30"/>
      <c r="R474" s="30"/>
      <c r="S474" s="30"/>
      <c r="T474" s="30"/>
      <c r="U474" s="30"/>
      <c r="V474" s="197"/>
    </row>
    <row r="475" spans="1:22" s="14" customFormat="1" ht="18" hidden="1" customHeight="1">
      <c r="A475" s="205" t="s">
        <v>611</v>
      </c>
      <c r="B475" s="5"/>
      <c r="C475" s="5"/>
      <c r="D475" s="5"/>
      <c r="E475" s="5"/>
      <c r="F475" s="5"/>
      <c r="G475" s="5"/>
      <c r="H475" s="224"/>
      <c r="I475" s="224"/>
      <c r="J475" s="5"/>
      <c r="K475" s="5"/>
      <c r="L475" s="5"/>
      <c r="M475" s="5"/>
      <c r="N475" s="5"/>
      <c r="O475" s="5"/>
      <c r="P475" s="103"/>
      <c r="Q475" s="224"/>
      <c r="R475" s="225"/>
      <c r="S475" s="226"/>
      <c r="T475" s="18"/>
      <c r="U475" s="18"/>
      <c r="V475" s="97"/>
    </row>
    <row r="476" spans="1:22" s="14" customFormat="1" ht="18" hidden="1" customHeight="1">
      <c r="A476" s="96"/>
      <c r="B476" s="47" t="s">
        <v>612</v>
      </c>
      <c r="C476" s="5"/>
      <c r="D476" s="5"/>
      <c r="E476" s="5"/>
      <c r="I476" s="227"/>
      <c r="M476" s="5"/>
      <c r="O476" s="103" t="s">
        <v>138</v>
      </c>
      <c r="P476" s="660">
        <f>P161</f>
        <v>100</v>
      </c>
      <c r="Q476" s="1096"/>
      <c r="R476" s="14" t="s">
        <v>613</v>
      </c>
      <c r="S476" s="226"/>
      <c r="T476" s="18"/>
      <c r="U476" s="18"/>
      <c r="V476" s="97"/>
    </row>
    <row r="477" spans="1:22" s="14" customFormat="1" ht="18" hidden="1" customHeight="1">
      <c r="A477" s="96"/>
      <c r="B477" s="47" t="s">
        <v>614</v>
      </c>
      <c r="C477" s="5"/>
      <c r="D477" s="5"/>
      <c r="E477" s="5"/>
      <c r="I477" s="227"/>
      <c r="M477" s="5"/>
      <c r="O477" s="103" t="s">
        <v>138</v>
      </c>
      <c r="P477" s="660">
        <f>P162</f>
        <v>25</v>
      </c>
      <c r="Q477" s="1096"/>
      <c r="R477" s="14" t="s">
        <v>615</v>
      </c>
      <c r="S477" s="226"/>
      <c r="T477" s="18" t="s">
        <v>140</v>
      </c>
      <c r="U477" s="18"/>
      <c r="V477" s="97"/>
    </row>
    <row r="478" spans="1:22" s="14" customFormat="1" ht="18" hidden="1" customHeight="1">
      <c r="A478" s="96"/>
      <c r="B478" s="47" t="s">
        <v>616</v>
      </c>
      <c r="C478" s="5"/>
      <c r="D478" s="5"/>
      <c r="E478" s="5"/>
      <c r="N478" s="120" t="s">
        <v>617</v>
      </c>
      <c r="O478" s="103" t="s">
        <v>618</v>
      </c>
      <c r="P478" s="650">
        <f>'[2]Parameters &amp; Fault Cal.'!Q12</f>
        <v>132</v>
      </c>
      <c r="Q478" s="1080"/>
      <c r="R478" s="14" t="s">
        <v>174</v>
      </c>
      <c r="S478" s="226"/>
      <c r="T478" s="18"/>
      <c r="U478" s="18"/>
      <c r="V478" s="97"/>
    </row>
    <row r="479" spans="1:22" s="14" customFormat="1" ht="18" hidden="1" customHeight="1">
      <c r="A479" s="228"/>
      <c r="B479" s="224"/>
      <c r="C479" s="224"/>
      <c r="D479" s="224"/>
      <c r="E479" s="224"/>
      <c r="T479" s="18"/>
      <c r="U479" s="18"/>
      <c r="V479" s="97"/>
    </row>
    <row r="480" spans="1:22" s="14" customFormat="1" ht="18" hidden="1" customHeight="1">
      <c r="A480" s="96"/>
      <c r="B480" s="14" t="s">
        <v>619</v>
      </c>
      <c r="C480" s="225"/>
      <c r="D480" s="225"/>
      <c r="E480" s="225"/>
      <c r="H480" s="120" t="s">
        <v>620</v>
      </c>
      <c r="I480" s="28" t="s">
        <v>138</v>
      </c>
      <c r="J480" s="638" t="s">
        <v>621</v>
      </c>
      <c r="K480" s="638"/>
      <c r="L480" s="28" t="s">
        <v>326</v>
      </c>
      <c r="M480" s="229">
        <v>1000</v>
      </c>
      <c r="N480" s="102" t="s">
        <v>353</v>
      </c>
      <c r="O480" s="28" t="s">
        <v>622</v>
      </c>
      <c r="P480" s="28" t="s">
        <v>326</v>
      </c>
      <c r="Q480" s="28" t="s">
        <v>617</v>
      </c>
      <c r="R480" s="47"/>
      <c r="T480" s="18"/>
      <c r="U480" s="18"/>
      <c r="V480" s="97"/>
    </row>
    <row r="481" spans="1:22" ht="18" hidden="1" customHeight="1">
      <c r="A481" s="228"/>
      <c r="B481" s="225"/>
      <c r="C481" s="225"/>
      <c r="D481" s="225"/>
      <c r="E481" s="225"/>
      <c r="F481" s="224"/>
      <c r="G481" s="224"/>
      <c r="H481" s="28"/>
      <c r="I481" s="28" t="s">
        <v>138</v>
      </c>
      <c r="J481" s="638">
        <f>P476</f>
        <v>100</v>
      </c>
      <c r="K481" s="638"/>
      <c r="L481" s="28" t="s">
        <v>326</v>
      </c>
      <c r="M481" s="229">
        <v>1000</v>
      </c>
      <c r="N481" s="102" t="s">
        <v>353</v>
      </c>
      <c r="O481" s="28" t="s">
        <v>622</v>
      </c>
      <c r="P481" s="28" t="s">
        <v>326</v>
      </c>
      <c r="Q481" s="28">
        <f>P478</f>
        <v>132</v>
      </c>
      <c r="R481" s="47"/>
      <c r="S481" s="14"/>
      <c r="T481" s="18"/>
      <c r="U481" s="18"/>
      <c r="V481" s="97"/>
    </row>
    <row r="482" spans="1:22" ht="18" hidden="1" customHeight="1">
      <c r="A482" s="228"/>
      <c r="B482" s="224"/>
      <c r="C482" s="224"/>
      <c r="D482" s="224"/>
      <c r="E482" s="224"/>
      <c r="F482" s="224"/>
      <c r="G482" s="224"/>
      <c r="H482" s="14"/>
      <c r="I482" s="28" t="s">
        <v>138</v>
      </c>
      <c r="J482" s="641">
        <f>(P476*1000)/(SQRT(3)*P478)</f>
        <v>437.38656756789834</v>
      </c>
      <c r="K482" s="641"/>
      <c r="L482" s="14" t="s">
        <v>9</v>
      </c>
      <c r="M482" s="120"/>
      <c r="N482" s="120"/>
      <c r="O482" s="120"/>
      <c r="P482" s="14"/>
      <c r="Q482" s="14"/>
      <c r="R482" s="14"/>
      <c r="S482" s="14"/>
      <c r="T482" s="18"/>
      <c r="U482" s="18"/>
      <c r="V482" s="97"/>
    </row>
    <row r="483" spans="1:22" ht="18" hidden="1" customHeight="1">
      <c r="A483" s="228"/>
      <c r="B483" s="224"/>
      <c r="C483" s="224"/>
      <c r="D483" s="224"/>
      <c r="E483" s="224"/>
      <c r="F483" s="14"/>
      <c r="G483" s="224"/>
      <c r="H483" s="28"/>
      <c r="I483" s="103"/>
      <c r="J483" s="28"/>
      <c r="K483" s="14"/>
      <c r="L483" s="14"/>
      <c r="M483" s="224"/>
      <c r="N483" s="231"/>
      <c r="O483" s="224"/>
      <c r="P483" s="14"/>
      <c r="Q483" s="14"/>
      <c r="R483" s="14"/>
      <c r="S483" s="14"/>
      <c r="T483" s="18"/>
      <c r="U483" s="18"/>
      <c r="V483" s="97"/>
    </row>
    <row r="484" spans="1:22" ht="18" hidden="1" customHeight="1">
      <c r="A484" s="159" t="s">
        <v>640</v>
      </c>
      <c r="B484" s="5"/>
      <c r="C484" s="5"/>
      <c r="D484" s="5"/>
      <c r="E484" s="5"/>
      <c r="F484" s="224"/>
      <c r="G484" s="224"/>
      <c r="H484" s="5"/>
      <c r="I484" s="5"/>
      <c r="J484" s="5"/>
      <c r="K484" s="5"/>
      <c r="L484" s="103"/>
      <c r="M484" s="103"/>
      <c r="N484" s="103"/>
      <c r="O484" s="103"/>
      <c r="P484" s="224"/>
      <c r="Q484" s="225"/>
      <c r="R484" s="14"/>
      <c r="S484" s="232"/>
      <c r="T484" s="18"/>
      <c r="U484" s="18"/>
      <c r="V484" s="97"/>
    </row>
    <row r="485" spans="1:22" ht="18" hidden="1" customHeight="1">
      <c r="A485" s="159"/>
      <c r="B485" s="5"/>
      <c r="C485" s="5"/>
      <c r="D485" s="5"/>
      <c r="E485" s="5"/>
      <c r="F485" s="224"/>
      <c r="G485" s="224"/>
      <c r="H485" s="5"/>
      <c r="I485" s="5"/>
      <c r="J485" s="5"/>
      <c r="K485" s="5"/>
      <c r="L485" s="103"/>
      <c r="M485" s="103"/>
      <c r="N485" s="103"/>
      <c r="O485" s="103"/>
      <c r="P485" s="224"/>
      <c r="Q485" s="225"/>
      <c r="R485" s="14"/>
      <c r="S485" s="226"/>
      <c r="T485" s="18"/>
      <c r="U485" s="18"/>
      <c r="V485" s="97"/>
    </row>
    <row r="486" spans="1:22" ht="18" hidden="1" customHeight="1">
      <c r="A486" s="196"/>
      <c r="B486" s="14" t="s">
        <v>623</v>
      </c>
      <c r="C486" s="14"/>
      <c r="D486" s="14"/>
      <c r="E486" s="14"/>
      <c r="M486" s="120" t="s">
        <v>624</v>
      </c>
      <c r="N486" s="28" t="s">
        <v>138</v>
      </c>
      <c r="O486" s="638" t="s">
        <v>620</v>
      </c>
      <c r="P486" s="920"/>
      <c r="Q486" s="233" t="s">
        <v>641</v>
      </c>
      <c r="R486" s="233">
        <v>16</v>
      </c>
      <c r="S486" s="226"/>
      <c r="V486" s="197"/>
    </row>
    <row r="487" spans="1:22" ht="18" hidden="1" customHeight="1">
      <c r="A487" s="96"/>
      <c r="B487" s="5"/>
      <c r="C487" s="5"/>
      <c r="D487" s="5"/>
      <c r="E487" s="5"/>
      <c r="M487" s="262"/>
      <c r="N487" s="28" t="s">
        <v>138</v>
      </c>
      <c r="O487" s="638">
        <f>+J482</f>
        <v>437.38656756789834</v>
      </c>
      <c r="P487" s="920"/>
      <c r="Q487" s="233" t="s">
        <v>641</v>
      </c>
      <c r="R487" s="233">
        <v>16</v>
      </c>
      <c r="S487" s="226"/>
      <c r="V487" s="197"/>
    </row>
    <row r="488" spans="1:22" ht="18" hidden="1" customHeight="1">
      <c r="A488" s="96"/>
      <c r="B488" s="5"/>
      <c r="C488" s="5"/>
      <c r="D488" s="5"/>
      <c r="E488" s="5"/>
      <c r="M488" s="120" t="s">
        <v>624</v>
      </c>
      <c r="N488" s="28" t="s">
        <v>138</v>
      </c>
      <c r="O488" s="638">
        <f>O487*R487</f>
        <v>6998.1850810863734</v>
      </c>
      <c r="P488" s="920"/>
      <c r="Q488" s="253" t="s">
        <v>9</v>
      </c>
      <c r="R488" s="14"/>
      <c r="S488" s="226"/>
      <c r="V488" s="197"/>
    </row>
    <row r="489" spans="1:22" ht="18" hidden="1" customHeight="1">
      <c r="A489" s="96"/>
      <c r="B489" s="5"/>
      <c r="C489" s="5"/>
      <c r="D489" s="5"/>
      <c r="E489" s="5"/>
      <c r="M489" s="224"/>
      <c r="N489" s="224"/>
      <c r="O489" s="103"/>
      <c r="Q489" s="235"/>
      <c r="R489" s="14"/>
      <c r="S489" s="226"/>
      <c r="V489" s="197"/>
    </row>
    <row r="490" spans="1:22" ht="18" hidden="1" customHeight="1">
      <c r="A490" s="1002" t="s">
        <v>650</v>
      </c>
      <c r="B490" s="965"/>
      <c r="C490" s="965"/>
      <c r="D490" s="965"/>
      <c r="E490" s="965"/>
      <c r="F490" s="965"/>
      <c r="G490" s="965"/>
      <c r="H490" s="965"/>
      <c r="I490" s="965"/>
      <c r="J490" s="965"/>
      <c r="K490" s="965"/>
      <c r="L490" s="965"/>
      <c r="M490" s="965"/>
      <c r="N490" s="965"/>
      <c r="O490" s="965"/>
      <c r="P490" s="965"/>
      <c r="Q490" s="965"/>
      <c r="R490" s="965"/>
      <c r="S490" s="965"/>
      <c r="T490" s="965"/>
      <c r="U490" s="965"/>
      <c r="V490" s="966"/>
    </row>
    <row r="491" spans="1:22" ht="18" hidden="1" customHeight="1">
      <c r="A491" s="967"/>
      <c r="B491" s="965"/>
      <c r="C491" s="965"/>
      <c r="D491" s="965"/>
      <c r="E491" s="965"/>
      <c r="F491" s="965"/>
      <c r="G491" s="965"/>
      <c r="H491" s="965"/>
      <c r="I491" s="965"/>
      <c r="J491" s="965"/>
      <c r="K491" s="965"/>
      <c r="L491" s="965"/>
      <c r="M491" s="965"/>
      <c r="N491" s="965"/>
      <c r="O491" s="965"/>
      <c r="P491" s="965"/>
      <c r="Q491" s="965"/>
      <c r="R491" s="965"/>
      <c r="S491" s="965"/>
      <c r="T491" s="965"/>
      <c r="U491" s="965"/>
      <c r="V491" s="966"/>
    </row>
    <row r="492" spans="1:22" ht="18" hidden="1" customHeight="1">
      <c r="A492" s="243"/>
      <c r="B492" s="244"/>
      <c r="C492" s="244"/>
      <c r="D492" s="244"/>
      <c r="E492" s="244"/>
      <c r="F492" s="244"/>
      <c r="G492" s="244"/>
      <c r="H492" s="244"/>
      <c r="I492" s="244"/>
      <c r="J492" s="244"/>
      <c r="K492" s="244"/>
      <c r="L492" s="244"/>
      <c r="M492" s="244"/>
      <c r="N492" s="244"/>
      <c r="O492" s="244"/>
      <c r="P492" s="244"/>
      <c r="Q492" s="244"/>
      <c r="R492" s="244"/>
      <c r="S492" s="244"/>
      <c r="T492" s="244"/>
      <c r="U492" s="244"/>
      <c r="V492" s="245"/>
    </row>
    <row r="493" spans="1:22" ht="18" hidden="1" customHeight="1">
      <c r="A493" s="196"/>
      <c r="V493" s="197"/>
    </row>
    <row r="494" spans="1:22" ht="18" hidden="1" customHeight="1">
      <c r="A494" s="196"/>
      <c r="I494" s="14" t="s">
        <v>140</v>
      </c>
      <c r="J494" s="14" t="s">
        <v>181</v>
      </c>
      <c r="V494" s="197"/>
    </row>
    <row r="495" spans="1:22" ht="18" hidden="1" customHeight="1">
      <c r="A495" s="206"/>
      <c r="B495" s="207"/>
      <c r="C495" s="207"/>
      <c r="D495" s="207"/>
      <c r="E495" s="207"/>
      <c r="F495" s="207"/>
      <c r="G495" s="207"/>
      <c r="H495" s="207"/>
      <c r="I495" s="207"/>
      <c r="J495" s="207"/>
      <c r="K495" s="207"/>
      <c r="L495" s="207"/>
      <c r="M495" s="207"/>
      <c r="N495" s="207"/>
      <c r="O495" s="207"/>
      <c r="P495" s="207"/>
      <c r="Q495" s="236"/>
      <c r="R495" s="194"/>
      <c r="S495" s="237"/>
      <c r="T495" s="207"/>
      <c r="U495" s="207"/>
      <c r="V495" s="140"/>
    </row>
    <row r="496" spans="1:22" ht="18" hidden="1" customHeight="1">
      <c r="A496" s="238"/>
      <c r="B496" s="239"/>
      <c r="C496" s="239"/>
      <c r="D496" s="239"/>
      <c r="E496" s="239"/>
      <c r="F496" s="239"/>
      <c r="G496" s="239"/>
      <c r="H496" s="239"/>
      <c r="I496" s="239"/>
      <c r="J496" s="239"/>
      <c r="K496" s="239"/>
      <c r="L496" s="239"/>
      <c r="M496" s="239"/>
      <c r="N496" s="239"/>
      <c r="O496" s="239"/>
      <c r="P496" s="239"/>
      <c r="Q496" s="239"/>
      <c r="R496" s="239"/>
      <c r="S496" s="239"/>
      <c r="T496" s="239"/>
      <c r="U496" s="239"/>
      <c r="V496" s="240"/>
    </row>
    <row r="497" spans="1:22" ht="18" hidden="1" customHeight="1">
      <c r="A497" s="1006" t="s">
        <v>428</v>
      </c>
      <c r="B497" s="1008"/>
      <c r="C497" s="1008"/>
      <c r="D497" s="638">
        <v>30</v>
      </c>
      <c r="E497" s="638" t="s">
        <v>326</v>
      </c>
      <c r="F497" s="638" t="s">
        <v>620</v>
      </c>
      <c r="G497" s="639"/>
      <c r="H497" s="638" t="s">
        <v>326</v>
      </c>
      <c r="I497" s="661" t="s">
        <v>422</v>
      </c>
      <c r="J497" s="1068"/>
      <c r="K497" s="638" t="s">
        <v>326</v>
      </c>
      <c r="L497" s="1008" t="s">
        <v>430</v>
      </c>
      <c r="M497" s="920" t="s">
        <v>431</v>
      </c>
      <c r="N497" s="958" t="s">
        <v>358</v>
      </c>
      <c r="O497" s="920" t="s">
        <v>419</v>
      </c>
      <c r="P497" s="638" t="s">
        <v>358</v>
      </c>
      <c r="Q497" s="953" t="s">
        <v>432</v>
      </c>
      <c r="R497" s="1005"/>
      <c r="S497" s="1005"/>
      <c r="T497" s="952" t="s">
        <v>361</v>
      </c>
      <c r="U497" s="242" t="s">
        <v>433</v>
      </c>
      <c r="V497" s="97"/>
    </row>
    <row r="498" spans="1:22" ht="18" hidden="1" customHeight="1">
      <c r="A498" s="1067"/>
      <c r="B498" s="1008"/>
      <c r="C498" s="1008"/>
      <c r="D498" s="638"/>
      <c r="E498" s="638"/>
      <c r="F498" s="639"/>
      <c r="G498" s="639"/>
      <c r="H498" s="638"/>
      <c r="I498" s="638" t="s">
        <v>434</v>
      </c>
      <c r="J498" s="985"/>
      <c r="K498" s="638"/>
      <c r="L498" s="1008"/>
      <c r="M498" s="920"/>
      <c r="N498" s="958"/>
      <c r="O498" s="920"/>
      <c r="P498" s="638"/>
      <c r="Q498" s="28" t="s">
        <v>157</v>
      </c>
      <c r="R498" s="28" t="s">
        <v>326</v>
      </c>
      <c r="S498" s="28" t="s">
        <v>157</v>
      </c>
      <c r="T498" s="952"/>
      <c r="U498" s="14"/>
      <c r="V498" s="97"/>
    </row>
    <row r="499" spans="1:22" ht="18" hidden="1" customHeight="1">
      <c r="A499" s="196"/>
      <c r="V499" s="197"/>
    </row>
    <row r="500" spans="1:22" ht="18" hidden="1" customHeight="1">
      <c r="A500" s="1006" t="s">
        <v>428</v>
      </c>
      <c r="B500" s="1008"/>
      <c r="C500" s="1008"/>
      <c r="D500" s="638">
        <v>2</v>
      </c>
      <c r="E500" s="638" t="s">
        <v>326</v>
      </c>
      <c r="F500" s="638" t="s">
        <v>624</v>
      </c>
      <c r="G500" s="639"/>
      <c r="H500" s="638" t="s">
        <v>326</v>
      </c>
      <c r="I500" s="661" t="s">
        <v>422</v>
      </c>
      <c r="J500" s="1068"/>
      <c r="K500" s="638" t="s">
        <v>326</v>
      </c>
      <c r="L500" s="1008" t="s">
        <v>430</v>
      </c>
      <c r="M500" s="920" t="s">
        <v>431</v>
      </c>
      <c r="N500" s="958" t="s">
        <v>358</v>
      </c>
      <c r="O500" s="920" t="s">
        <v>419</v>
      </c>
      <c r="P500" s="638" t="s">
        <v>358</v>
      </c>
      <c r="Q500" s="953" t="s">
        <v>432</v>
      </c>
      <c r="R500" s="1005"/>
      <c r="S500" s="1005"/>
      <c r="T500" s="952" t="s">
        <v>361</v>
      </c>
      <c r="U500" s="242" t="s">
        <v>437</v>
      </c>
      <c r="V500" s="97"/>
    </row>
    <row r="501" spans="1:22" ht="18" hidden="1" customHeight="1">
      <c r="A501" s="1067"/>
      <c r="B501" s="1008"/>
      <c r="C501" s="1008"/>
      <c r="D501" s="638"/>
      <c r="E501" s="638"/>
      <c r="F501" s="639"/>
      <c r="G501" s="639"/>
      <c r="H501" s="638"/>
      <c r="I501" s="638" t="s">
        <v>434</v>
      </c>
      <c r="J501" s="985"/>
      <c r="K501" s="638"/>
      <c r="L501" s="1008"/>
      <c r="M501" s="920"/>
      <c r="N501" s="958"/>
      <c r="O501" s="920"/>
      <c r="P501" s="638"/>
      <c r="Q501" s="28" t="s">
        <v>157</v>
      </c>
      <c r="R501" s="28" t="s">
        <v>326</v>
      </c>
      <c r="S501" s="28" t="s">
        <v>157</v>
      </c>
      <c r="T501" s="952"/>
      <c r="U501" s="14"/>
      <c r="V501" s="97"/>
    </row>
    <row r="502" spans="1:22" ht="18" hidden="1" customHeight="1">
      <c r="A502" s="196"/>
      <c r="V502" s="197"/>
    </row>
    <row r="503" spans="1:22" ht="18" hidden="1" customHeight="1">
      <c r="A503" s="1002" t="s">
        <v>627</v>
      </c>
      <c r="B503" s="965"/>
      <c r="C503" s="965"/>
      <c r="D503" s="965"/>
      <c r="E503" s="965"/>
      <c r="F503" s="965"/>
      <c r="G503" s="965"/>
      <c r="H503" s="965"/>
      <c r="I503" s="965"/>
      <c r="J503" s="965"/>
      <c r="K503" s="965"/>
      <c r="L503" s="965"/>
      <c r="M503" s="965"/>
      <c r="N503" s="965"/>
      <c r="O503" s="965"/>
      <c r="P503" s="965"/>
      <c r="Q503" s="965"/>
      <c r="R503" s="965"/>
      <c r="S503" s="965"/>
      <c r="T503" s="965"/>
      <c r="U503" s="965"/>
      <c r="V503" s="966"/>
    </row>
    <row r="504" spans="1:22" ht="18" hidden="1" customHeight="1">
      <c r="A504" s="967"/>
      <c r="B504" s="965"/>
      <c r="C504" s="965"/>
      <c r="D504" s="965"/>
      <c r="E504" s="965"/>
      <c r="F504" s="965"/>
      <c r="G504" s="965"/>
      <c r="H504" s="965"/>
      <c r="I504" s="965"/>
      <c r="J504" s="965"/>
      <c r="K504" s="965"/>
      <c r="L504" s="965"/>
      <c r="M504" s="965"/>
      <c r="N504" s="965"/>
      <c r="O504" s="965"/>
      <c r="P504" s="965"/>
      <c r="Q504" s="965"/>
      <c r="R504" s="965"/>
      <c r="S504" s="965"/>
      <c r="T504" s="965"/>
      <c r="U504" s="965"/>
      <c r="V504" s="966"/>
    </row>
    <row r="505" spans="1:22" ht="18" hidden="1" customHeight="1">
      <c r="A505" s="243"/>
      <c r="B505" s="244"/>
      <c r="C505" s="244"/>
      <c r="D505" s="244"/>
      <c r="E505" s="244"/>
      <c r="F505" s="244"/>
      <c r="G505" s="244"/>
      <c r="H505" s="244"/>
      <c r="I505" s="244"/>
      <c r="J505" s="244"/>
      <c r="K505" s="244"/>
      <c r="L505" s="244"/>
      <c r="M505" s="244"/>
      <c r="N505" s="244"/>
      <c r="O505" s="244"/>
      <c r="P505" s="244"/>
      <c r="Q505" s="244"/>
      <c r="R505" s="244"/>
      <c r="S505" s="244"/>
      <c r="T505" s="244"/>
      <c r="U505" s="244"/>
      <c r="V505" s="245"/>
    </row>
    <row r="506" spans="1:22" ht="18" hidden="1" customHeight="1">
      <c r="A506" s="1006" t="s">
        <v>428</v>
      </c>
      <c r="B506" s="1008"/>
      <c r="C506" s="1008"/>
      <c r="D506" s="638"/>
      <c r="E506" s="638"/>
      <c r="F506" s="638" t="s">
        <v>628</v>
      </c>
      <c r="G506" s="639"/>
      <c r="H506" s="638" t="s">
        <v>326</v>
      </c>
      <c r="I506" s="661" t="s">
        <v>422</v>
      </c>
      <c r="J506" s="1068"/>
      <c r="K506" s="638" t="s">
        <v>326</v>
      </c>
      <c r="L506" s="1008" t="s">
        <v>430</v>
      </c>
      <c r="M506" s="920" t="s">
        <v>431</v>
      </c>
      <c r="N506" s="958" t="s">
        <v>358</v>
      </c>
      <c r="O506" s="920" t="s">
        <v>419</v>
      </c>
      <c r="P506" s="638" t="s">
        <v>358</v>
      </c>
      <c r="Q506" s="953" t="s">
        <v>432</v>
      </c>
      <c r="R506" s="1005"/>
      <c r="S506" s="1005"/>
      <c r="T506" s="952" t="s">
        <v>361</v>
      </c>
      <c r="U506" s="242" t="s">
        <v>629</v>
      </c>
      <c r="V506" s="97"/>
    </row>
    <row r="507" spans="1:22" ht="18" hidden="1" customHeight="1">
      <c r="A507" s="1067"/>
      <c r="B507" s="1008"/>
      <c r="C507" s="1008"/>
      <c r="D507" s="638"/>
      <c r="E507" s="638"/>
      <c r="F507" s="639"/>
      <c r="G507" s="639"/>
      <c r="H507" s="638"/>
      <c r="I507" s="638" t="s">
        <v>434</v>
      </c>
      <c r="J507" s="985"/>
      <c r="K507" s="638"/>
      <c r="L507" s="1008"/>
      <c r="M507" s="920"/>
      <c r="N507" s="958"/>
      <c r="O507" s="920"/>
      <c r="P507" s="638"/>
      <c r="Q507" s="28" t="s">
        <v>157</v>
      </c>
      <c r="R507" s="28" t="s">
        <v>326</v>
      </c>
      <c r="S507" s="28" t="s">
        <v>157</v>
      </c>
      <c r="T507" s="952"/>
      <c r="U507" s="14"/>
      <c r="V507" s="97"/>
    </row>
    <row r="508" spans="1:22" ht="18" hidden="1" customHeight="1">
      <c r="A508" s="96"/>
      <c r="B508" s="14"/>
      <c r="C508" s="14"/>
      <c r="D508" s="28"/>
      <c r="E508" s="28"/>
      <c r="F508" s="27"/>
      <c r="G508" s="27"/>
      <c r="H508" s="28"/>
      <c r="I508" s="28"/>
      <c r="K508" s="28"/>
      <c r="L508" s="120"/>
      <c r="M508" s="14"/>
      <c r="N508" s="102"/>
      <c r="O508" s="14"/>
      <c r="P508" s="28"/>
      <c r="Q508" s="28"/>
      <c r="R508" s="28"/>
      <c r="S508" s="28"/>
      <c r="T508" s="40"/>
      <c r="U508" s="14"/>
      <c r="V508" s="97"/>
    </row>
    <row r="509" spans="1:22" ht="18" hidden="1" customHeight="1">
      <c r="A509" s="196"/>
      <c r="H509" s="30" t="s">
        <v>630</v>
      </c>
      <c r="M509" s="656" t="s">
        <v>631</v>
      </c>
      <c r="N509" s="657"/>
      <c r="V509" s="197"/>
    </row>
    <row r="510" spans="1:22" ht="18" hidden="1" customHeight="1">
      <c r="A510" s="96"/>
      <c r="B510" s="14"/>
      <c r="C510" s="14"/>
      <c r="D510" s="28"/>
      <c r="E510" s="28"/>
      <c r="F510" s="27"/>
      <c r="G510" s="27"/>
      <c r="H510" s="28"/>
      <c r="I510" s="28"/>
      <c r="K510" s="28"/>
      <c r="L510" s="120"/>
      <c r="M510" s="14"/>
      <c r="N510" s="102"/>
      <c r="O510" s="14"/>
      <c r="P510" s="28"/>
      <c r="Q510" s="28"/>
      <c r="R510" s="28"/>
      <c r="S510" s="28"/>
      <c r="T510" s="40"/>
      <c r="U510" s="14"/>
      <c r="V510" s="97"/>
    </row>
    <row r="511" spans="1:22" ht="18" hidden="1" customHeight="1">
      <c r="A511" s="196"/>
      <c r="B511" s="14" t="s">
        <v>438</v>
      </c>
      <c r="C511" s="14"/>
      <c r="D511" s="103"/>
      <c r="E511" s="103"/>
      <c r="F511" s="14"/>
      <c r="G511" s="14"/>
      <c r="H511" s="5"/>
      <c r="I511" s="5"/>
      <c r="J511" s="5"/>
      <c r="P511" s="120" t="s">
        <v>439</v>
      </c>
      <c r="V511" s="197"/>
    </row>
    <row r="512" spans="1:22" ht="18" hidden="1" customHeight="1">
      <c r="A512" s="196"/>
      <c r="B512" s="14" t="s">
        <v>440</v>
      </c>
      <c r="C512" s="14"/>
      <c r="D512" s="103"/>
      <c r="E512" s="103"/>
      <c r="F512" s="14"/>
      <c r="G512" s="14"/>
      <c r="H512" s="5"/>
      <c r="I512" s="5"/>
      <c r="J512" s="5"/>
      <c r="P512" s="120" t="s">
        <v>441</v>
      </c>
      <c r="Q512" s="246" t="s">
        <v>138</v>
      </c>
      <c r="R512" s="639">
        <f>H461</f>
        <v>1200</v>
      </c>
      <c r="S512" s="639"/>
      <c r="T512" s="14" t="s">
        <v>9</v>
      </c>
      <c r="V512" s="197"/>
    </row>
    <row r="513" spans="1:22" ht="18" hidden="1" customHeight="1">
      <c r="A513" s="196"/>
      <c r="B513" s="14" t="s">
        <v>632</v>
      </c>
      <c r="C513" s="14"/>
      <c r="D513" s="14"/>
      <c r="E513" s="14"/>
      <c r="F513" s="14"/>
      <c r="G513" s="14"/>
      <c r="H513" s="14"/>
      <c r="I513" s="14"/>
      <c r="J513" s="14"/>
      <c r="P513" s="120" t="s">
        <v>620</v>
      </c>
      <c r="Q513" s="246" t="s">
        <v>138</v>
      </c>
      <c r="R513" s="637">
        <f>J482</f>
        <v>437.38656756789834</v>
      </c>
      <c r="S513" s="639"/>
      <c r="T513" s="14" t="s">
        <v>9</v>
      </c>
      <c r="V513" s="197"/>
    </row>
    <row r="514" spans="1:22" ht="18" hidden="1" customHeight="1">
      <c r="A514" s="196"/>
      <c r="B514" s="14" t="s">
        <v>633</v>
      </c>
      <c r="C514" s="14"/>
      <c r="D514" s="14"/>
      <c r="E514" s="14"/>
      <c r="F514" s="14"/>
      <c r="G514" s="14"/>
      <c r="H514" s="14"/>
      <c r="I514" s="14"/>
      <c r="J514" s="14"/>
      <c r="P514" s="120" t="s">
        <v>624</v>
      </c>
      <c r="Q514" s="246" t="s">
        <v>138</v>
      </c>
      <c r="R514" s="639">
        <f>O488</f>
        <v>6998.1850810863734</v>
      </c>
      <c r="S514" s="639"/>
      <c r="T514" s="14" t="s">
        <v>9</v>
      </c>
      <c r="V514" s="197"/>
    </row>
    <row r="515" spans="1:22" ht="18" hidden="1" customHeight="1">
      <c r="A515" s="196"/>
      <c r="B515" s="247" t="s">
        <v>634</v>
      </c>
      <c r="C515" s="14"/>
      <c r="D515" s="14"/>
      <c r="E515" s="14"/>
      <c r="F515" s="14"/>
      <c r="G515" s="14"/>
      <c r="H515" s="14"/>
      <c r="I515" s="14"/>
      <c r="J515" s="14"/>
      <c r="P515" s="120"/>
      <c r="Q515" s="248"/>
      <c r="R515" s="27"/>
      <c r="S515" s="27"/>
      <c r="T515" s="14"/>
      <c r="V515" s="197"/>
    </row>
    <row r="516" spans="1:22" ht="18" hidden="1" customHeight="1">
      <c r="A516" s="196"/>
      <c r="B516" s="14" t="s">
        <v>633</v>
      </c>
      <c r="C516" s="14"/>
      <c r="D516" s="14"/>
      <c r="E516" s="14"/>
      <c r="F516" s="14"/>
      <c r="G516" s="14"/>
      <c r="H516" s="14"/>
      <c r="I516" s="14"/>
      <c r="J516" s="14"/>
      <c r="P516" s="120" t="s">
        <v>628</v>
      </c>
      <c r="Q516" s="246" t="s">
        <v>138</v>
      </c>
      <c r="R516" s="639" t="str">
        <f>IF(M509="Y",'[2]Parameters &amp; Fault Cal.'!Q33,"-")</f>
        <v>-</v>
      </c>
      <c r="S516" s="639"/>
      <c r="T516" s="14" t="s">
        <v>9</v>
      </c>
      <c r="V516" s="197"/>
    </row>
    <row r="517" spans="1:22" ht="18" hidden="1" customHeight="1">
      <c r="A517" s="196"/>
      <c r="B517" s="247" t="s">
        <v>635</v>
      </c>
      <c r="C517" s="14"/>
      <c r="D517" s="14"/>
      <c r="E517" s="14"/>
      <c r="F517" s="14"/>
      <c r="G517" s="14"/>
      <c r="H517" s="14"/>
      <c r="I517" s="14"/>
      <c r="J517" s="14"/>
      <c r="R517" s="27"/>
      <c r="S517" s="27"/>
      <c r="T517" s="14"/>
      <c r="V517" s="197"/>
    </row>
    <row r="518" spans="1:22" ht="18" hidden="1" customHeight="1">
      <c r="A518" s="196"/>
      <c r="B518" s="14" t="s">
        <v>446</v>
      </c>
      <c r="C518" s="14"/>
      <c r="D518" s="103"/>
      <c r="E518" s="103"/>
      <c r="F518" s="14"/>
      <c r="G518" s="14"/>
      <c r="H518" s="5"/>
      <c r="I518" s="5"/>
      <c r="J518" s="5"/>
      <c r="P518" s="120" t="s">
        <v>447</v>
      </c>
      <c r="Q518" s="246" t="s">
        <v>138</v>
      </c>
      <c r="R518" s="639">
        <f>O461</f>
        <v>1</v>
      </c>
      <c r="S518" s="639"/>
      <c r="T518" s="14" t="s">
        <v>9</v>
      </c>
      <c r="V518" s="197"/>
    </row>
    <row r="519" spans="1:22" ht="18" hidden="1" customHeight="1">
      <c r="A519" s="196"/>
      <c r="B519" s="14" t="s">
        <v>448</v>
      </c>
      <c r="C519" s="14"/>
      <c r="D519" s="103"/>
      <c r="E519" s="103"/>
      <c r="F519" s="14"/>
      <c r="G519" s="14"/>
      <c r="H519" s="5"/>
      <c r="I519" s="5"/>
      <c r="J519" s="5"/>
      <c r="P519" s="120" t="s">
        <v>449</v>
      </c>
      <c r="Q519" s="246" t="s">
        <v>138</v>
      </c>
      <c r="R519" s="639">
        <f>'CT-VT Burdens'!S18</f>
        <v>1</v>
      </c>
      <c r="S519" s="639"/>
      <c r="T519" s="14" t="s">
        <v>9</v>
      </c>
      <c r="V519" s="197"/>
    </row>
    <row r="520" spans="1:22" ht="18" hidden="1" customHeight="1">
      <c r="A520" s="196"/>
      <c r="B520" s="14" t="s">
        <v>450</v>
      </c>
      <c r="C520" s="14"/>
      <c r="D520" s="103"/>
      <c r="E520" s="103"/>
      <c r="F520" s="14"/>
      <c r="G520" s="14"/>
      <c r="H520" s="5"/>
      <c r="I520" s="5"/>
      <c r="J520" s="5"/>
      <c r="P520" s="120" t="s">
        <v>451</v>
      </c>
      <c r="Q520" s="246" t="s">
        <v>138</v>
      </c>
      <c r="R520" s="639">
        <f>H463</f>
        <v>5</v>
      </c>
      <c r="S520" s="639"/>
      <c r="T520" s="204" t="s">
        <v>344</v>
      </c>
      <c r="V520" s="197"/>
    </row>
    <row r="521" spans="1:22" ht="18" hidden="1" customHeight="1">
      <c r="A521" s="196"/>
      <c r="B521" s="14" t="s">
        <v>636</v>
      </c>
      <c r="C521" s="14"/>
      <c r="D521" s="14"/>
      <c r="E521" s="14"/>
      <c r="F521" s="14"/>
      <c r="G521" s="14"/>
      <c r="H521" s="14"/>
      <c r="I521" s="14"/>
      <c r="J521" s="14"/>
      <c r="P521" s="249" t="s">
        <v>452</v>
      </c>
      <c r="Q521" s="246" t="s">
        <v>138</v>
      </c>
      <c r="R521" s="637">
        <f>P473</f>
        <v>1.44186744</v>
      </c>
      <c r="S521" s="639"/>
      <c r="T521" s="204" t="s">
        <v>344</v>
      </c>
      <c r="V521" s="197"/>
    </row>
    <row r="522" spans="1:22" ht="18" hidden="1" customHeight="1">
      <c r="A522" s="196"/>
      <c r="B522" s="40" t="s">
        <v>453</v>
      </c>
      <c r="C522" s="14"/>
      <c r="D522" s="14"/>
      <c r="E522" s="14"/>
      <c r="F522" s="14"/>
      <c r="G522" s="14"/>
      <c r="H522" s="5"/>
      <c r="I522" s="5"/>
      <c r="J522" s="5"/>
      <c r="P522" s="249" t="s">
        <v>454</v>
      </c>
      <c r="Q522" s="246" t="s">
        <v>138</v>
      </c>
      <c r="R522" s="637">
        <f>J469</f>
        <v>0.02</v>
      </c>
      <c r="S522" s="639"/>
      <c r="T522" s="14" t="s">
        <v>168</v>
      </c>
      <c r="V522" s="197"/>
    </row>
    <row r="523" spans="1:22" ht="18" hidden="1" customHeight="1">
      <c r="A523" s="196"/>
      <c r="V523" s="197"/>
    </row>
    <row r="524" spans="1:22" ht="18" hidden="1" customHeight="1">
      <c r="A524" s="1006" t="s">
        <v>428</v>
      </c>
      <c r="B524" s="1008"/>
      <c r="C524" s="1008"/>
      <c r="D524" s="638">
        <v>30</v>
      </c>
      <c r="E524" s="638" t="s">
        <v>326</v>
      </c>
      <c r="F524" s="638">
        <f>R513</f>
        <v>437.38656756789834</v>
      </c>
      <c r="G524" s="639"/>
      <c r="H524" s="638" t="s">
        <v>326</v>
      </c>
      <c r="I524" s="661">
        <f>R518</f>
        <v>1</v>
      </c>
      <c r="J524" s="1068"/>
      <c r="K524" s="638" t="s">
        <v>326</v>
      </c>
      <c r="L524" s="920" t="s">
        <v>430</v>
      </c>
      <c r="M524" s="920">
        <f>R520</f>
        <v>5</v>
      </c>
      <c r="N524" s="958" t="s">
        <v>358</v>
      </c>
      <c r="O524" s="1065">
        <f>R521</f>
        <v>1.44186744</v>
      </c>
      <c r="P524" s="638" t="s">
        <v>358</v>
      </c>
      <c r="Q524" s="1066">
        <f>R522</f>
        <v>0.02</v>
      </c>
      <c r="R524" s="1005"/>
      <c r="S524" s="1005"/>
      <c r="T524" s="952" t="s">
        <v>361</v>
      </c>
      <c r="U524" s="242" t="s">
        <v>433</v>
      </c>
      <c r="V524" s="97"/>
    </row>
    <row r="525" spans="1:22" ht="18" hidden="1" customHeight="1">
      <c r="A525" s="1067"/>
      <c r="B525" s="1008"/>
      <c r="C525" s="1008"/>
      <c r="D525" s="638"/>
      <c r="E525" s="638"/>
      <c r="F525" s="639"/>
      <c r="G525" s="639"/>
      <c r="H525" s="638"/>
      <c r="I525" s="638">
        <f>R512</f>
        <v>1200</v>
      </c>
      <c r="J525" s="985"/>
      <c r="K525" s="638"/>
      <c r="L525" s="920"/>
      <c r="M525" s="920"/>
      <c r="N525" s="958"/>
      <c r="O525" s="920"/>
      <c r="P525" s="638"/>
      <c r="Q525" s="28">
        <f>R519</f>
        <v>1</v>
      </c>
      <c r="R525" s="28" t="s">
        <v>326</v>
      </c>
      <c r="S525" s="28">
        <f>R519</f>
        <v>1</v>
      </c>
      <c r="T525" s="952"/>
      <c r="U525" s="14"/>
      <c r="V525" s="97"/>
    </row>
    <row r="526" spans="1:22" ht="18" hidden="1" customHeight="1">
      <c r="A526" s="196"/>
      <c r="V526" s="197"/>
    </row>
    <row r="527" spans="1:22" ht="18" hidden="1" customHeight="1">
      <c r="A527" s="196"/>
      <c r="C527" s="30" t="s">
        <v>138</v>
      </c>
      <c r="D527" s="798">
        <f>D524*F524*(I524/I525)*(M524+O524+(Q524/(Q525*S525)))</f>
        <v>70.658350491509054</v>
      </c>
      <c r="E527" s="799"/>
      <c r="F527" s="30" t="s">
        <v>316</v>
      </c>
      <c r="V527" s="197"/>
    </row>
    <row r="528" spans="1:22" ht="18" hidden="1" customHeight="1">
      <c r="A528" s="196"/>
      <c r="V528" s="197"/>
    </row>
    <row r="529" spans="1:22" ht="18" hidden="1" customHeight="1">
      <c r="A529" s="1006" t="s">
        <v>428</v>
      </c>
      <c r="B529" s="1008"/>
      <c r="C529" s="1008"/>
      <c r="D529" s="638">
        <v>2</v>
      </c>
      <c r="E529" s="638" t="s">
        <v>326</v>
      </c>
      <c r="F529" s="638">
        <f>R514</f>
        <v>6998.1850810863734</v>
      </c>
      <c r="G529" s="639"/>
      <c r="H529" s="638" t="s">
        <v>326</v>
      </c>
      <c r="I529" s="661">
        <f>R518</f>
        <v>1</v>
      </c>
      <c r="J529" s="1068"/>
      <c r="K529" s="638" t="s">
        <v>326</v>
      </c>
      <c r="L529" s="1008" t="s">
        <v>430</v>
      </c>
      <c r="M529" s="920">
        <f>R520</f>
        <v>5</v>
      </c>
      <c r="N529" s="958" t="s">
        <v>358</v>
      </c>
      <c r="O529" s="1065">
        <f>R521</f>
        <v>1.44186744</v>
      </c>
      <c r="P529" s="638" t="s">
        <v>358</v>
      </c>
      <c r="Q529" s="1066">
        <f>R522</f>
        <v>0.02</v>
      </c>
      <c r="R529" s="1005"/>
      <c r="S529" s="1005"/>
      <c r="T529" s="952" t="s">
        <v>361</v>
      </c>
      <c r="U529" s="242" t="s">
        <v>437</v>
      </c>
      <c r="V529" s="97"/>
    </row>
    <row r="530" spans="1:22" ht="18" hidden="1" customHeight="1">
      <c r="A530" s="1067"/>
      <c r="B530" s="1008"/>
      <c r="C530" s="1008"/>
      <c r="D530" s="638"/>
      <c r="E530" s="638"/>
      <c r="F530" s="639"/>
      <c r="G530" s="639"/>
      <c r="H530" s="638"/>
      <c r="I530" s="638">
        <f>R512</f>
        <v>1200</v>
      </c>
      <c r="J530" s="985"/>
      <c r="K530" s="638"/>
      <c r="L530" s="1008"/>
      <c r="M530" s="920"/>
      <c r="N530" s="958"/>
      <c r="O530" s="920"/>
      <c r="P530" s="638"/>
      <c r="Q530" s="28">
        <f>R519</f>
        <v>1</v>
      </c>
      <c r="R530" s="28" t="s">
        <v>326</v>
      </c>
      <c r="S530" s="28">
        <f>R519</f>
        <v>1</v>
      </c>
      <c r="T530" s="952"/>
      <c r="U530" s="14"/>
      <c r="V530" s="97"/>
    </row>
    <row r="531" spans="1:22" ht="18" hidden="1" customHeight="1">
      <c r="A531" s="196"/>
      <c r="L531" s="256"/>
      <c r="V531" s="197"/>
    </row>
    <row r="532" spans="1:22" ht="18" hidden="1" customHeight="1">
      <c r="A532" s="196"/>
      <c r="C532" s="30" t="s">
        <v>138</v>
      </c>
      <c r="D532" s="798">
        <f>D529*F529*(I529/I530)*(M529+O529+(Q529/(Q530*S530)))</f>
        <v>75.368907190942991</v>
      </c>
      <c r="E532" s="799"/>
      <c r="F532" s="30" t="s">
        <v>316</v>
      </c>
      <c r="L532" s="256"/>
      <c r="V532" s="197"/>
    </row>
    <row r="533" spans="1:22" ht="18" hidden="1" customHeight="1">
      <c r="A533" s="196"/>
      <c r="L533" s="256"/>
      <c r="V533" s="197"/>
    </row>
    <row r="534" spans="1:22" s="14" customFormat="1" ht="18" hidden="1" customHeight="1">
      <c r="A534" s="1006" t="s">
        <v>428</v>
      </c>
      <c r="B534" s="1008"/>
      <c r="C534" s="1008"/>
      <c r="D534" s="638"/>
      <c r="E534" s="638"/>
      <c r="F534" s="638" t="str">
        <f>R516</f>
        <v>-</v>
      </c>
      <c r="G534" s="639"/>
      <c r="H534" s="638" t="s">
        <v>326</v>
      </c>
      <c r="I534" s="661">
        <f>R518</f>
        <v>1</v>
      </c>
      <c r="J534" s="1068"/>
      <c r="K534" s="638" t="s">
        <v>326</v>
      </c>
      <c r="L534" s="1008" t="s">
        <v>430</v>
      </c>
      <c r="M534" s="920">
        <f>R520</f>
        <v>5</v>
      </c>
      <c r="N534" s="958" t="s">
        <v>358</v>
      </c>
      <c r="O534" s="1065">
        <f>R521</f>
        <v>1.44186744</v>
      </c>
      <c r="P534" s="638" t="s">
        <v>358</v>
      </c>
      <c r="Q534" s="1066">
        <f>R522</f>
        <v>0.02</v>
      </c>
      <c r="R534" s="1005"/>
      <c r="S534" s="1005"/>
      <c r="T534" s="952" t="s">
        <v>361</v>
      </c>
      <c r="U534" s="242" t="s">
        <v>629</v>
      </c>
      <c r="V534" s="97"/>
    </row>
    <row r="535" spans="1:22" ht="18" hidden="1" customHeight="1">
      <c r="A535" s="1067"/>
      <c r="B535" s="1008"/>
      <c r="C535" s="1008"/>
      <c r="D535" s="638"/>
      <c r="E535" s="638"/>
      <c r="F535" s="639"/>
      <c r="G535" s="639"/>
      <c r="H535" s="638"/>
      <c r="I535" s="638">
        <f>R512</f>
        <v>1200</v>
      </c>
      <c r="J535" s="985"/>
      <c r="K535" s="638"/>
      <c r="L535" s="1008"/>
      <c r="M535" s="920"/>
      <c r="N535" s="958"/>
      <c r="O535" s="920"/>
      <c r="P535" s="638"/>
      <c r="Q535" s="28">
        <f>R519</f>
        <v>1</v>
      </c>
      <c r="R535" s="28" t="s">
        <v>326</v>
      </c>
      <c r="S535" s="28">
        <f>R519</f>
        <v>1</v>
      </c>
      <c r="T535" s="952"/>
      <c r="U535" s="14"/>
      <c r="V535" s="97"/>
    </row>
    <row r="536" spans="1:22" ht="18" hidden="1" customHeight="1">
      <c r="A536" s="196"/>
      <c r="V536" s="197"/>
    </row>
    <row r="537" spans="1:22" ht="18" hidden="1" customHeight="1">
      <c r="A537" s="196"/>
      <c r="C537" s="30" t="s">
        <v>138</v>
      </c>
      <c r="D537" s="798" t="e">
        <f>F534*(I534/I535)*(M534+O534+(Q534/(Q535*S535)))</f>
        <v>#VALUE!</v>
      </c>
      <c r="E537" s="799"/>
      <c r="F537" s="30" t="s">
        <v>316</v>
      </c>
      <c r="G537" s="199" t="s">
        <v>389</v>
      </c>
      <c r="H537" s="198" t="str">
        <f>IF(M509="y","Applicable","Not applicable")</f>
        <v>Not applicable</v>
      </c>
      <c r="V537" s="197"/>
    </row>
    <row r="538" spans="1:22" ht="18" hidden="1" customHeight="1">
      <c r="A538" s="196"/>
      <c r="V538" s="197"/>
    </row>
    <row r="539" spans="1:22" ht="18" hidden="1" customHeight="1">
      <c r="A539" s="206"/>
      <c r="B539" s="207"/>
      <c r="C539" s="207"/>
      <c r="D539" s="207"/>
      <c r="E539" s="207"/>
      <c r="F539" s="207"/>
      <c r="G539" s="207"/>
      <c r="H539" s="207"/>
      <c r="I539" s="207"/>
      <c r="J539" s="207"/>
      <c r="K539" s="207"/>
      <c r="L539" s="207"/>
      <c r="M539" s="207"/>
      <c r="N539" s="207"/>
      <c r="O539" s="207"/>
      <c r="P539" s="207"/>
      <c r="Q539" s="236"/>
      <c r="R539" s="194"/>
      <c r="S539" s="237"/>
      <c r="T539" s="207"/>
      <c r="U539" s="207"/>
      <c r="V539" s="140"/>
    </row>
    <row r="540" spans="1:22" ht="18" hidden="1" customHeight="1">
      <c r="A540" s="238"/>
      <c r="B540" s="239"/>
      <c r="C540" s="239"/>
      <c r="D540" s="239"/>
      <c r="E540" s="239"/>
      <c r="F540" s="239"/>
      <c r="G540" s="239"/>
      <c r="H540" s="239"/>
      <c r="I540" s="239"/>
      <c r="J540" s="239"/>
      <c r="K540" s="239"/>
      <c r="L540" s="239"/>
      <c r="M540" s="239"/>
      <c r="N540" s="239"/>
      <c r="O540" s="239"/>
      <c r="P540" s="239"/>
      <c r="Q540" s="239"/>
      <c r="R540" s="239"/>
      <c r="S540" s="239"/>
      <c r="T540" s="239"/>
      <c r="U540" s="239"/>
      <c r="V540" s="240"/>
    </row>
    <row r="541" spans="1:22" ht="18" hidden="1" customHeight="1">
      <c r="A541" s="96" t="s">
        <v>651</v>
      </c>
      <c r="M541" s="1023">
        <f>R512</f>
        <v>1200</v>
      </c>
      <c r="N541" s="1024"/>
      <c r="O541" s="30" t="s">
        <v>481</v>
      </c>
      <c r="Q541" s="798">
        <f>IF(M509="Y",MAX(D527,D537),MAX(D527,D532))</f>
        <v>75.368907190942991</v>
      </c>
      <c r="R541" s="645"/>
      <c r="S541" s="30" t="s">
        <v>316</v>
      </c>
      <c r="V541" s="197"/>
    </row>
    <row r="542" spans="1:22" ht="18" hidden="1" customHeight="1">
      <c r="A542" s="196"/>
      <c r="M542" s="259"/>
      <c r="N542" s="259"/>
      <c r="Q542" s="223"/>
      <c r="R542" s="27"/>
      <c r="V542" s="197"/>
    </row>
    <row r="543" spans="1:22" ht="18" hidden="1" customHeight="1">
      <c r="A543" s="260" t="s">
        <v>482</v>
      </c>
      <c r="B543" s="14"/>
      <c r="C543" s="14"/>
      <c r="D543" s="261"/>
      <c r="E543" s="14"/>
      <c r="F543" s="14"/>
      <c r="G543" s="47"/>
      <c r="H543" s="14"/>
      <c r="J543" s="14"/>
      <c r="K543" s="14"/>
      <c r="L543" s="14"/>
      <c r="M543" s="14"/>
      <c r="N543" s="14"/>
      <c r="O543" s="14"/>
      <c r="P543" s="262"/>
      <c r="Q543" s="263"/>
      <c r="R543" s="47"/>
      <c r="S543" s="14"/>
      <c r="V543" s="197"/>
    </row>
    <row r="544" spans="1:22" ht="18" hidden="1" customHeight="1">
      <c r="A544" s="260"/>
      <c r="B544" s="14"/>
      <c r="C544" s="14"/>
      <c r="D544" s="261"/>
      <c r="E544" s="14"/>
      <c r="F544" s="14"/>
      <c r="G544" s="47"/>
      <c r="H544" s="14"/>
      <c r="J544" s="14"/>
      <c r="K544" s="14"/>
      <c r="L544" s="14"/>
      <c r="M544" s="14"/>
      <c r="N544" s="14"/>
      <c r="O544" s="14"/>
      <c r="P544" s="262"/>
      <c r="Q544" s="263"/>
      <c r="R544" s="47"/>
      <c r="S544" s="14"/>
      <c r="V544" s="197"/>
    </row>
    <row r="545" spans="1:22" ht="18" hidden="1" customHeight="1">
      <c r="A545" s="96" t="s">
        <v>652</v>
      </c>
      <c r="V545" s="197"/>
    </row>
    <row r="546" spans="1:22" ht="18" hidden="1" customHeight="1">
      <c r="A546" s="196"/>
      <c r="N546" s="14"/>
      <c r="O546" s="14" t="s">
        <v>484</v>
      </c>
      <c r="P546" s="280" t="s">
        <v>138</v>
      </c>
      <c r="Q546" s="261" t="s">
        <v>485</v>
      </c>
      <c r="R546" s="14"/>
      <c r="S546" s="28" t="s">
        <v>326</v>
      </c>
      <c r="T546" s="28">
        <v>0.8</v>
      </c>
      <c r="V546" s="197"/>
    </row>
    <row r="547" spans="1:22" ht="18" hidden="1" customHeight="1">
      <c r="A547" s="196"/>
      <c r="N547" s="264"/>
      <c r="O547" s="14"/>
      <c r="P547" s="280" t="s">
        <v>138</v>
      </c>
      <c r="Q547" s="1026">
        <f>+Q541</f>
        <v>75.368907190942991</v>
      </c>
      <c r="R547" s="1099"/>
      <c r="S547" s="234" t="s">
        <v>326</v>
      </c>
      <c r="T547" s="265">
        <f>+T546</f>
        <v>0.8</v>
      </c>
      <c r="V547" s="197"/>
    </row>
    <row r="548" spans="1:22" ht="18" hidden="1" customHeight="1">
      <c r="A548" s="196"/>
      <c r="O548" s="14"/>
      <c r="P548" s="14" t="s">
        <v>138</v>
      </c>
      <c r="Q548" s="1027">
        <f>Q547*T547</f>
        <v>60.295125752754394</v>
      </c>
      <c r="R548" s="1080"/>
      <c r="S548" s="47" t="s">
        <v>316</v>
      </c>
      <c r="T548" s="14"/>
      <c r="V548" s="197"/>
    </row>
    <row r="549" spans="1:22" ht="18" hidden="1" customHeight="1">
      <c r="A549" s="196"/>
      <c r="F549" s="28"/>
      <c r="G549" s="28"/>
      <c r="H549" s="14"/>
      <c r="V549" s="197"/>
    </row>
    <row r="550" spans="1:22" ht="18" hidden="1" customHeight="1">
      <c r="A550" s="196"/>
      <c r="D550" s="14" t="s">
        <v>653</v>
      </c>
      <c r="G550" s="27" t="str">
        <f>IF(E551&gt;H551,"&gt;","&lt;")</f>
        <v>&gt;</v>
      </c>
      <c r="H550" s="14" t="s">
        <v>654</v>
      </c>
      <c r="V550" s="197"/>
    </row>
    <row r="551" spans="1:22" ht="18" hidden="1" customHeight="1">
      <c r="A551" s="196"/>
      <c r="E551" s="639">
        <f>H464</f>
        <v>430</v>
      </c>
      <c r="F551" s="639"/>
      <c r="G551" s="27" t="str">
        <f>G550</f>
        <v>&gt;</v>
      </c>
      <c r="H551" s="637">
        <f>Q548</f>
        <v>60.295125752754394</v>
      </c>
      <c r="I551" s="639"/>
      <c r="V551" s="197"/>
    </row>
    <row r="552" spans="1:22" ht="18" hidden="1" customHeight="1">
      <c r="A552" s="196"/>
      <c r="F552" s="256" t="s">
        <v>489</v>
      </c>
      <c r="H552" s="18" t="str">
        <f>IF(G550="&gt;","Suitably Dimensioned","Under Dimensioned")</f>
        <v>Suitably Dimensioned</v>
      </c>
      <c r="V552" s="197"/>
    </row>
    <row r="553" spans="1:22" ht="18" hidden="1" customHeight="1">
      <c r="A553" s="196"/>
      <c r="F553" s="256"/>
      <c r="H553" s="18"/>
      <c r="V553" s="197"/>
    </row>
    <row r="554" spans="1:22" ht="18" hidden="1" customHeight="1">
      <c r="A554" s="196"/>
      <c r="F554" s="256"/>
      <c r="H554" s="18"/>
      <c r="V554" s="197"/>
    </row>
    <row r="555" spans="1:22" ht="18" hidden="1" customHeight="1">
      <c r="A555" s="196"/>
      <c r="F555" s="256"/>
      <c r="H555" s="18"/>
      <c r="V555" s="197"/>
    </row>
    <row r="556" spans="1:22" ht="18" hidden="1" customHeight="1">
      <c r="A556" s="196"/>
      <c r="F556" s="256"/>
      <c r="H556" s="18"/>
      <c r="V556" s="197"/>
    </row>
    <row r="557" spans="1:22" ht="18" hidden="1" customHeight="1">
      <c r="A557" s="196"/>
      <c r="F557" s="256"/>
      <c r="H557" s="18"/>
      <c r="V557" s="197"/>
    </row>
    <row r="558" spans="1:22" ht="18" hidden="1" customHeight="1">
      <c r="A558" s="196"/>
      <c r="F558" s="256"/>
      <c r="H558" s="18"/>
      <c r="V558" s="197"/>
    </row>
    <row r="559" spans="1:22" ht="18" hidden="1" customHeight="1">
      <c r="A559" s="196"/>
      <c r="F559" s="256"/>
      <c r="H559" s="18"/>
      <c r="V559" s="197"/>
    </row>
    <row r="560" spans="1:22" ht="18" hidden="1" customHeight="1">
      <c r="A560" s="196"/>
      <c r="F560" s="256"/>
      <c r="H560" s="18"/>
      <c r="V560" s="197"/>
    </row>
    <row r="561" spans="1:22" ht="18" hidden="1" customHeight="1">
      <c r="A561" s="196"/>
      <c r="F561" s="256"/>
      <c r="H561" s="18"/>
      <c r="V561" s="197"/>
    </row>
    <row r="562" spans="1:22" ht="18" hidden="1" customHeight="1">
      <c r="A562" s="196"/>
      <c r="F562" s="256"/>
      <c r="H562" s="18"/>
      <c r="V562" s="197"/>
    </row>
    <row r="563" spans="1:22" ht="18" hidden="1" customHeight="1">
      <c r="A563" s="196"/>
      <c r="F563" s="256"/>
      <c r="H563" s="18"/>
      <c r="V563" s="197"/>
    </row>
    <row r="564" spans="1:22" ht="18" hidden="1" customHeight="1">
      <c r="A564" s="196"/>
      <c r="F564" s="256"/>
      <c r="H564" s="18"/>
      <c r="V564" s="197"/>
    </row>
    <row r="565" spans="1:22" ht="18" hidden="1" customHeight="1">
      <c r="A565" s="196"/>
      <c r="F565" s="256"/>
      <c r="H565" s="18"/>
      <c r="V565" s="197"/>
    </row>
    <row r="566" spans="1:22" ht="18" hidden="1" customHeight="1">
      <c r="A566" s="196"/>
      <c r="F566" s="256"/>
      <c r="H566" s="18"/>
      <c r="V566" s="197"/>
    </row>
    <row r="567" spans="1:22" ht="18" hidden="1" customHeight="1">
      <c r="A567" s="196"/>
      <c r="F567" s="256"/>
      <c r="H567" s="18"/>
      <c r="V567" s="197"/>
    </row>
    <row r="568" spans="1:22" ht="18" hidden="1" customHeight="1">
      <c r="A568" s="196"/>
      <c r="F568" s="256"/>
      <c r="H568" s="18"/>
      <c r="V568" s="197"/>
    </row>
    <row r="569" spans="1:22" ht="18" hidden="1" customHeight="1">
      <c r="A569" s="196"/>
      <c r="F569" s="256"/>
      <c r="H569" s="18"/>
      <c r="V569" s="197"/>
    </row>
    <row r="570" spans="1:22" ht="18" hidden="1" customHeight="1">
      <c r="A570" s="196"/>
      <c r="F570" s="256"/>
      <c r="H570" s="18"/>
      <c r="V570" s="197"/>
    </row>
    <row r="571" spans="1:22" ht="18" hidden="1" customHeight="1">
      <c r="A571" s="196"/>
      <c r="F571" s="256"/>
      <c r="H571" s="18"/>
      <c r="V571" s="197"/>
    </row>
    <row r="572" spans="1:22" ht="18" hidden="1" customHeight="1">
      <c r="A572" s="196"/>
      <c r="F572" s="256"/>
      <c r="H572" s="18"/>
      <c r="V572" s="197"/>
    </row>
    <row r="573" spans="1:22" ht="18" hidden="1" customHeight="1">
      <c r="A573" s="196"/>
      <c r="V573" s="197"/>
    </row>
    <row r="574" spans="1:22" ht="18" hidden="1" customHeight="1">
      <c r="A574" s="196"/>
      <c r="V574" s="197"/>
    </row>
    <row r="575" spans="1:22" ht="18" hidden="1" customHeight="1">
      <c r="A575" s="196"/>
      <c r="V575" s="197"/>
    </row>
    <row r="576" spans="1:22" ht="18" hidden="1" customHeight="1">
      <c r="A576" s="196"/>
      <c r="V576" s="197"/>
    </row>
    <row r="577" spans="1:29" ht="18" hidden="1" customHeight="1">
      <c r="A577" s="196"/>
      <c r="V577" s="197"/>
    </row>
    <row r="578" spans="1:29" s="14" customFormat="1" ht="18" hidden="1" customHeight="1">
      <c r="A578" s="196"/>
      <c r="B578" s="30"/>
      <c r="C578" s="30"/>
      <c r="D578" s="30"/>
      <c r="E578" s="30"/>
      <c r="F578" s="30"/>
      <c r="G578" s="30"/>
      <c r="H578" s="30"/>
      <c r="I578" s="30"/>
      <c r="J578" s="30"/>
      <c r="K578" s="30"/>
      <c r="L578" s="30"/>
      <c r="M578" s="30"/>
      <c r="N578" s="30"/>
      <c r="O578" s="30"/>
      <c r="P578" s="30"/>
      <c r="Q578" s="30"/>
      <c r="R578" s="30"/>
      <c r="S578" s="30"/>
      <c r="T578" s="30"/>
      <c r="U578" s="30"/>
      <c r="V578" s="197"/>
    </row>
    <row r="579" spans="1:29" ht="18" hidden="1" customHeight="1">
      <c r="A579" s="196"/>
      <c r="V579" s="197"/>
    </row>
    <row r="580" spans="1:29" ht="18" hidden="1" customHeight="1">
      <c r="A580" s="196"/>
      <c r="V580" s="197"/>
    </row>
    <row r="581" spans="1:29" ht="18" hidden="1" customHeight="1">
      <c r="A581" s="196"/>
      <c r="V581" s="197"/>
    </row>
    <row r="582" spans="1:29" ht="18" hidden="1" customHeight="1">
      <c r="A582" s="196"/>
      <c r="V582" s="197"/>
    </row>
    <row r="583" spans="1:29" ht="18" hidden="1" customHeight="1">
      <c r="A583" s="206"/>
      <c r="B583" s="207"/>
      <c r="C583" s="207"/>
      <c r="D583" s="207"/>
      <c r="E583" s="207"/>
      <c r="F583" s="207"/>
      <c r="G583" s="207"/>
      <c r="H583" s="207"/>
      <c r="I583" s="207"/>
      <c r="J583" s="207"/>
      <c r="K583" s="207"/>
      <c r="L583" s="207"/>
      <c r="M583" s="207"/>
      <c r="N583" s="207"/>
      <c r="O583" s="207"/>
      <c r="P583" s="207"/>
      <c r="Q583" s="236"/>
      <c r="R583" s="194"/>
      <c r="S583" s="237"/>
      <c r="T583" s="207"/>
      <c r="U583" s="207"/>
      <c r="V583" s="140"/>
    </row>
    <row r="584" spans="1:29" ht="18" hidden="1" customHeight="1">
      <c r="A584" s="238"/>
      <c r="B584" s="239"/>
      <c r="C584" s="239"/>
      <c r="D584" s="239"/>
      <c r="E584" s="239"/>
      <c r="F584" s="239"/>
      <c r="G584" s="239"/>
      <c r="H584" s="239"/>
      <c r="I584" s="239"/>
      <c r="J584" s="239"/>
      <c r="K584" s="239"/>
      <c r="L584" s="239"/>
      <c r="M584" s="239"/>
      <c r="N584" s="239"/>
      <c r="O584" s="239"/>
      <c r="P584" s="239"/>
      <c r="Q584" s="239"/>
      <c r="R584" s="239"/>
      <c r="S584" s="239"/>
      <c r="T584" s="239"/>
      <c r="U584" s="239"/>
      <c r="V584" s="240"/>
    </row>
    <row r="585" spans="1:29" ht="18" hidden="1" customHeight="1">
      <c r="A585" s="196"/>
      <c r="B585" s="650" t="str">
        <f>B458</f>
        <v>BCT13,14,15</v>
      </c>
      <c r="C585" s="651"/>
      <c r="D585" s="663" t="str">
        <f>D458</f>
        <v>Core2</v>
      </c>
      <c r="E585" s="664"/>
      <c r="F585" s="198" t="s">
        <v>647</v>
      </c>
      <c r="H585" s="639" t="str">
        <f>H458</f>
        <v>(Transformer Differential)</v>
      </c>
      <c r="I585" s="639"/>
      <c r="J585" s="639"/>
      <c r="K585" s="639"/>
      <c r="L585" s="639"/>
      <c r="M585" s="639"/>
      <c r="P585" s="198"/>
      <c r="S585" s="199" t="s">
        <v>398</v>
      </c>
      <c r="T585" s="650" t="str">
        <f>T458</f>
        <v>RET670</v>
      </c>
      <c r="U585" s="651"/>
      <c r="V585" s="197"/>
    </row>
    <row r="586" spans="1:29" ht="18" hidden="1" customHeight="1">
      <c r="A586" s="196"/>
      <c r="B586" s="660">
        <f>B459</f>
        <v>0</v>
      </c>
      <c r="C586" s="660"/>
      <c r="D586" s="665"/>
      <c r="E586" s="666"/>
      <c r="F586" s="267"/>
      <c r="T586" s="650">
        <f>T459</f>
        <v>0</v>
      </c>
      <c r="U586" s="651"/>
      <c r="V586" s="197"/>
    </row>
    <row r="587" spans="1:29" ht="18" hidden="1" customHeight="1">
      <c r="A587" s="196"/>
      <c r="H587" s="661" t="s">
        <v>401</v>
      </c>
      <c r="I587" s="661"/>
      <c r="J587" s="662" t="s">
        <v>402</v>
      </c>
      <c r="K587" s="662"/>
      <c r="L587" s="661" t="s">
        <v>403</v>
      </c>
      <c r="M587" s="661"/>
      <c r="T587" s="650">
        <f>T460</f>
        <v>0</v>
      </c>
      <c r="U587" s="651"/>
      <c r="V587" s="197"/>
    </row>
    <row r="588" spans="1:29" ht="18" hidden="1" customHeight="1">
      <c r="A588" s="196"/>
      <c r="B588" s="47" t="s">
        <v>404</v>
      </c>
      <c r="H588" s="650">
        <f>H461</f>
        <v>1200</v>
      </c>
      <c r="I588" s="651"/>
      <c r="J588" s="652" t="str">
        <f>J461</f>
        <v>-</v>
      </c>
      <c r="K588" s="653"/>
      <c r="L588" s="650" t="str">
        <f>L461</f>
        <v>-</v>
      </c>
      <c r="M588" s="651"/>
      <c r="N588" s="102" t="s">
        <v>353</v>
      </c>
      <c r="O588" s="268">
        <f>O461</f>
        <v>1</v>
      </c>
      <c r="P588" s="27" t="s">
        <v>9</v>
      </c>
      <c r="V588" s="197"/>
    </row>
    <row r="589" spans="1:29" ht="18" hidden="1" customHeight="1">
      <c r="A589" s="196"/>
      <c r="B589" s="47" t="s">
        <v>405</v>
      </c>
      <c r="H589" s="14"/>
      <c r="I589" s="14"/>
      <c r="J589" s="650" t="str">
        <f>H462</f>
        <v>TPS</v>
      </c>
      <c r="K589" s="651"/>
      <c r="L589" s="14"/>
      <c r="M589" s="14"/>
      <c r="V589" s="197"/>
    </row>
    <row r="590" spans="1:29" ht="18" hidden="1" customHeight="1">
      <c r="A590" s="196"/>
      <c r="B590" s="47" t="s">
        <v>407</v>
      </c>
      <c r="I590" s="120" t="s">
        <v>508</v>
      </c>
      <c r="J590" s="656" t="s">
        <v>7</v>
      </c>
      <c r="K590" s="657"/>
      <c r="L590" s="204" t="s">
        <v>344</v>
      </c>
      <c r="V590" s="197"/>
    </row>
    <row r="591" spans="1:29" ht="18" hidden="1" customHeight="1">
      <c r="A591" s="196"/>
      <c r="B591" s="47" t="s">
        <v>409</v>
      </c>
      <c r="I591" s="120" t="s">
        <v>509</v>
      </c>
      <c r="J591" s="656" t="s">
        <v>7</v>
      </c>
      <c r="K591" s="657"/>
      <c r="L591" s="14" t="s">
        <v>316</v>
      </c>
      <c r="V591" s="197"/>
      <c r="W591" s="30" t="s">
        <v>411</v>
      </c>
      <c r="AB591" s="996" t="e">
        <f>Q680</f>
        <v>#VALUE!</v>
      </c>
      <c r="AC591" s="997"/>
    </row>
    <row r="592" spans="1:29" ht="18" hidden="1" customHeight="1">
      <c r="A592" s="196"/>
      <c r="B592" s="14" t="s">
        <v>412</v>
      </c>
      <c r="I592" s="120" t="s">
        <v>413</v>
      </c>
      <c r="J592" s="656" t="s">
        <v>7</v>
      </c>
      <c r="K592" s="657"/>
      <c r="L592" s="14" t="s">
        <v>414</v>
      </c>
      <c r="V592" s="197"/>
    </row>
    <row r="593" spans="1:22" ht="18" hidden="1" customHeight="1">
      <c r="A593" s="196"/>
      <c r="V593" s="197"/>
    </row>
    <row r="594" spans="1:22" ht="18" hidden="1" customHeight="1">
      <c r="A594" s="205" t="s">
        <v>415</v>
      </c>
      <c r="V594" s="197"/>
    </row>
    <row r="595" spans="1:22" ht="18" hidden="1" customHeight="1">
      <c r="A595" s="196"/>
      <c r="V595" s="197"/>
    </row>
    <row r="596" spans="1:22" ht="18" hidden="1" customHeight="1">
      <c r="A596" s="196"/>
      <c r="B596" s="206" t="s">
        <v>416</v>
      </c>
      <c r="C596" s="207"/>
      <c r="D596" s="207" t="str">
        <f>T585</f>
        <v>RET670</v>
      </c>
      <c r="E596" s="208"/>
      <c r="F596" s="208"/>
      <c r="G596" s="208"/>
      <c r="H596" s="194" t="s">
        <v>417</v>
      </c>
      <c r="I596" s="195" t="s">
        <v>138</v>
      </c>
      <c r="J596" s="1095">
        <f>J469</f>
        <v>0.02</v>
      </c>
      <c r="K596" s="1079"/>
      <c r="L596" s="3" t="s">
        <v>168</v>
      </c>
      <c r="N596" s="209" t="s">
        <v>418</v>
      </c>
      <c r="V596" s="197"/>
    </row>
    <row r="597" spans="1:22" s="14" customFormat="1" ht="18" hidden="1" customHeight="1">
      <c r="A597" s="196"/>
      <c r="B597" s="96" t="s">
        <v>416</v>
      </c>
      <c r="C597" s="30"/>
      <c r="D597" s="30">
        <f>T586</f>
        <v>0</v>
      </c>
      <c r="E597" s="30"/>
      <c r="F597" s="30"/>
      <c r="G597" s="30"/>
      <c r="H597" s="27"/>
      <c r="I597" s="189"/>
      <c r="J597" s="1097">
        <f>J470</f>
        <v>0</v>
      </c>
      <c r="K597" s="1098"/>
      <c r="L597" s="210" t="s">
        <v>168</v>
      </c>
      <c r="M597" s="30"/>
      <c r="N597" s="30"/>
      <c r="O597" s="30"/>
      <c r="P597" s="30"/>
      <c r="Q597" s="30"/>
      <c r="R597" s="30"/>
      <c r="S597" s="30"/>
      <c r="T597" s="30"/>
      <c r="U597" s="30"/>
      <c r="V597" s="197"/>
    </row>
    <row r="598" spans="1:22" s="14" customFormat="1" ht="18" hidden="1" customHeight="1">
      <c r="A598" s="196"/>
      <c r="B598" s="96" t="s">
        <v>416</v>
      </c>
      <c r="C598" s="30"/>
      <c r="D598" s="30">
        <f>T587</f>
        <v>0</v>
      </c>
      <c r="F598" s="30"/>
      <c r="G598" s="211"/>
      <c r="H598" s="27"/>
      <c r="I598" s="101"/>
      <c r="J598" s="644">
        <f>J471</f>
        <v>0</v>
      </c>
      <c r="K598" s="645"/>
      <c r="L598" s="214" t="s">
        <v>168</v>
      </c>
      <c r="M598" s="30"/>
      <c r="N598" s="30" t="s">
        <v>419</v>
      </c>
      <c r="O598" s="27" t="s">
        <v>138</v>
      </c>
      <c r="P598" s="30" t="s">
        <v>420</v>
      </c>
      <c r="Q598" s="203" t="s">
        <v>421</v>
      </c>
      <c r="R598" s="256" t="s">
        <v>422</v>
      </c>
      <c r="S598" s="27" t="s">
        <v>326</v>
      </c>
      <c r="T598" s="30" t="s">
        <v>422</v>
      </c>
      <c r="U598" s="30" t="s">
        <v>361</v>
      </c>
      <c r="V598" s="197"/>
    </row>
    <row r="599" spans="1:22" s="14" customFormat="1" ht="18" hidden="1" customHeight="1">
      <c r="A599" s="196"/>
      <c r="B599" s="196" t="s">
        <v>423</v>
      </c>
      <c r="C599" s="30"/>
      <c r="D599" s="30"/>
      <c r="E599" s="30"/>
      <c r="F599" s="30"/>
      <c r="G599" s="30"/>
      <c r="H599" s="27" t="s">
        <v>610</v>
      </c>
      <c r="I599" s="189" t="s">
        <v>138</v>
      </c>
      <c r="J599" s="1097">
        <f>J472</f>
        <v>1.44186744</v>
      </c>
      <c r="K599" s="1098"/>
      <c r="L599" s="215" t="s">
        <v>168</v>
      </c>
      <c r="M599" s="30"/>
      <c r="N599" s="30"/>
      <c r="O599" s="27" t="s">
        <v>138</v>
      </c>
      <c r="P599" s="216">
        <f>J600</f>
        <v>1.44186744</v>
      </c>
      <c r="Q599" s="203" t="s">
        <v>421</v>
      </c>
      <c r="R599" s="27">
        <f>O588</f>
        <v>1</v>
      </c>
      <c r="S599" s="27" t="s">
        <v>326</v>
      </c>
      <c r="T599" s="27">
        <f>O588</f>
        <v>1</v>
      </c>
      <c r="U599" s="30" t="s">
        <v>361</v>
      </c>
      <c r="V599" s="197"/>
    </row>
    <row r="600" spans="1:22" s="14" customFormat="1" ht="18" hidden="1" customHeight="1">
      <c r="A600" s="196"/>
      <c r="B600" s="217" t="s">
        <v>424</v>
      </c>
      <c r="C600" s="218"/>
      <c r="D600" s="218"/>
      <c r="E600" s="218"/>
      <c r="F600" s="219"/>
      <c r="G600" s="219"/>
      <c r="H600" s="202" t="s">
        <v>420</v>
      </c>
      <c r="I600" s="220" t="s">
        <v>138</v>
      </c>
      <c r="J600" s="1095">
        <f>J597+J599</f>
        <v>1.44186744</v>
      </c>
      <c r="K600" s="1079"/>
      <c r="L600" s="222" t="s">
        <v>168</v>
      </c>
      <c r="M600" s="30"/>
      <c r="N600" s="30"/>
      <c r="O600" s="27" t="s">
        <v>138</v>
      </c>
      <c r="P600" s="637">
        <f>P599/(R599*T599)</f>
        <v>1.44186744</v>
      </c>
      <c r="Q600" s="637"/>
      <c r="R600" s="204" t="s">
        <v>344</v>
      </c>
      <c r="S600" s="30"/>
      <c r="T600" s="30"/>
      <c r="U600" s="30"/>
      <c r="V600" s="197"/>
    </row>
    <row r="601" spans="1:22" s="14" customFormat="1" ht="18" hidden="1" customHeight="1">
      <c r="A601" s="196"/>
      <c r="B601" s="30"/>
      <c r="C601" s="30"/>
      <c r="D601" s="30"/>
      <c r="E601" s="30"/>
      <c r="F601" s="30"/>
      <c r="G601" s="30"/>
      <c r="H601" s="30"/>
      <c r="I601" s="30"/>
      <c r="J601" s="30"/>
      <c r="K601" s="30"/>
      <c r="L601" s="30"/>
      <c r="M601" s="30"/>
      <c r="N601" s="30"/>
      <c r="O601" s="30"/>
      <c r="P601" s="30"/>
      <c r="Q601" s="30"/>
      <c r="R601" s="30"/>
      <c r="S601" s="30"/>
      <c r="T601" s="30"/>
      <c r="U601" s="30"/>
      <c r="V601" s="197"/>
    </row>
    <row r="602" spans="1:22" s="14" customFormat="1" ht="18" hidden="1" customHeight="1">
      <c r="A602" s="205" t="s">
        <v>611</v>
      </c>
      <c r="B602" s="5"/>
      <c r="C602" s="5"/>
      <c r="D602" s="5"/>
      <c r="E602" s="5"/>
      <c r="F602" s="5"/>
      <c r="G602" s="5"/>
      <c r="H602" s="224"/>
      <c r="I602" s="224"/>
      <c r="J602" s="5"/>
      <c r="K602" s="5"/>
      <c r="L602" s="5"/>
      <c r="M602" s="5"/>
      <c r="N602" s="5"/>
      <c r="O602" s="5"/>
      <c r="P602" s="103"/>
      <c r="Q602" s="224"/>
      <c r="R602" s="225"/>
      <c r="S602" s="226"/>
      <c r="T602" s="18"/>
      <c r="U602" s="18"/>
      <c r="V602" s="97"/>
    </row>
    <row r="603" spans="1:22" s="14" customFormat="1" ht="18" hidden="1" customHeight="1">
      <c r="A603" s="96"/>
      <c r="B603" s="47" t="s">
        <v>612</v>
      </c>
      <c r="C603" s="5"/>
      <c r="D603" s="5"/>
      <c r="E603" s="5"/>
      <c r="I603" s="227"/>
      <c r="M603" s="5"/>
      <c r="O603" s="103" t="s">
        <v>138</v>
      </c>
      <c r="P603" s="660">
        <f>P476</f>
        <v>100</v>
      </c>
      <c r="Q603" s="1096"/>
      <c r="R603" s="14" t="s">
        <v>613</v>
      </c>
      <c r="S603" s="226"/>
      <c r="T603" s="18"/>
      <c r="U603" s="18"/>
      <c r="V603" s="97"/>
    </row>
    <row r="604" spans="1:22" s="14" customFormat="1" ht="18" hidden="1" customHeight="1">
      <c r="A604" s="96"/>
      <c r="B604" s="47" t="s">
        <v>614</v>
      </c>
      <c r="C604" s="5"/>
      <c r="D604" s="5"/>
      <c r="E604" s="5"/>
      <c r="I604" s="227"/>
      <c r="M604" s="5"/>
      <c r="O604" s="103" t="s">
        <v>138</v>
      </c>
      <c r="P604" s="660">
        <f>P477</f>
        <v>25</v>
      </c>
      <c r="Q604" s="1096"/>
      <c r="R604" s="14" t="s">
        <v>615</v>
      </c>
      <c r="S604" s="226"/>
      <c r="T604" s="18"/>
      <c r="U604" s="18"/>
      <c r="V604" s="97"/>
    </row>
    <row r="605" spans="1:22" s="14" customFormat="1" ht="18" hidden="1" customHeight="1">
      <c r="A605" s="96"/>
      <c r="B605" s="47" t="s">
        <v>616</v>
      </c>
      <c r="C605" s="5"/>
      <c r="D605" s="5"/>
      <c r="E605" s="5"/>
      <c r="N605" s="120" t="s">
        <v>655</v>
      </c>
      <c r="O605" s="103" t="s">
        <v>618</v>
      </c>
      <c r="P605" s="650">
        <f>P478</f>
        <v>132</v>
      </c>
      <c r="Q605" s="1080"/>
      <c r="R605" s="14" t="s">
        <v>174</v>
      </c>
      <c r="S605" s="226"/>
      <c r="T605" s="18"/>
      <c r="U605" s="18"/>
      <c r="V605" s="97"/>
    </row>
    <row r="606" spans="1:22" s="14" customFormat="1" ht="18" hidden="1" customHeight="1">
      <c r="A606" s="228"/>
      <c r="B606" s="224"/>
      <c r="C606" s="224"/>
      <c r="D606" s="224"/>
      <c r="E606" s="224"/>
      <c r="T606" s="18"/>
      <c r="U606" s="18"/>
      <c r="V606" s="97"/>
    </row>
    <row r="607" spans="1:22" s="14" customFormat="1" ht="18" hidden="1" customHeight="1">
      <c r="A607" s="96"/>
      <c r="B607" s="14" t="s">
        <v>619</v>
      </c>
      <c r="C607" s="225"/>
      <c r="D607" s="225"/>
      <c r="E607" s="225"/>
      <c r="H607" s="120" t="s">
        <v>620</v>
      </c>
      <c r="I607" s="28" t="s">
        <v>138</v>
      </c>
      <c r="J607" s="638" t="s">
        <v>621</v>
      </c>
      <c r="K607" s="638"/>
      <c r="L607" s="28" t="s">
        <v>326</v>
      </c>
      <c r="M607" s="229">
        <v>1000</v>
      </c>
      <c r="N607" s="102" t="s">
        <v>353</v>
      </c>
      <c r="O607" s="28" t="s">
        <v>622</v>
      </c>
      <c r="P607" s="28" t="s">
        <v>326</v>
      </c>
      <c r="Q607" s="28" t="s">
        <v>617</v>
      </c>
      <c r="R607" s="47"/>
      <c r="T607" s="18"/>
      <c r="U607" s="18"/>
      <c r="V607" s="97"/>
    </row>
    <row r="608" spans="1:22" ht="18" hidden="1" customHeight="1">
      <c r="A608" s="228"/>
      <c r="B608" s="225"/>
      <c r="C608" s="225"/>
      <c r="D608" s="225"/>
      <c r="E608" s="225"/>
      <c r="F608" s="224"/>
      <c r="G608" s="224"/>
      <c r="H608" s="28"/>
      <c r="I608" s="28" t="s">
        <v>138</v>
      </c>
      <c r="J608" s="638">
        <f>P603</f>
        <v>100</v>
      </c>
      <c r="K608" s="638"/>
      <c r="L608" s="28" t="s">
        <v>326</v>
      </c>
      <c r="M608" s="229">
        <v>1000</v>
      </c>
      <c r="N608" s="102" t="s">
        <v>353</v>
      </c>
      <c r="O608" s="28" t="s">
        <v>622</v>
      </c>
      <c r="P608" s="28" t="s">
        <v>326</v>
      </c>
      <c r="Q608" s="28">
        <f>P605</f>
        <v>132</v>
      </c>
      <c r="R608" s="47"/>
      <c r="S608" s="14"/>
      <c r="T608" s="18"/>
      <c r="U608" s="18"/>
      <c r="V608" s="97"/>
    </row>
    <row r="609" spans="1:22" ht="18" hidden="1" customHeight="1">
      <c r="A609" s="228"/>
      <c r="B609" s="224"/>
      <c r="C609" s="224"/>
      <c r="D609" s="224"/>
      <c r="E609" s="224"/>
      <c r="F609" s="224"/>
      <c r="G609" s="224"/>
      <c r="H609" s="14"/>
      <c r="I609" s="28" t="s">
        <v>138</v>
      </c>
      <c r="J609" s="641">
        <f>(P603*1000)/(SQRT(3)*P605)</f>
        <v>437.38656756789834</v>
      </c>
      <c r="K609" s="641"/>
      <c r="L609" s="14" t="s">
        <v>9</v>
      </c>
      <c r="M609" s="120"/>
      <c r="N609" s="120"/>
      <c r="O609" s="120"/>
      <c r="P609" s="14"/>
      <c r="Q609" s="14"/>
      <c r="R609" s="14"/>
      <c r="S609" s="14"/>
      <c r="T609" s="18"/>
      <c r="U609" s="18"/>
      <c r="V609" s="97"/>
    </row>
    <row r="610" spans="1:22" ht="18" hidden="1" customHeight="1">
      <c r="A610" s="228"/>
      <c r="B610" s="224"/>
      <c r="C610" s="224"/>
      <c r="D610" s="224"/>
      <c r="E610" s="224"/>
      <c r="F610" s="14"/>
      <c r="G610" s="224"/>
      <c r="H610" s="28"/>
      <c r="I610" s="103"/>
      <c r="J610" s="28"/>
      <c r="K610" s="14"/>
      <c r="L610" s="14"/>
      <c r="M610" s="224"/>
      <c r="N610" s="231"/>
      <c r="O610" s="224"/>
      <c r="P610" s="14"/>
      <c r="Q610" s="14"/>
      <c r="R610" s="14"/>
      <c r="S610" s="14"/>
      <c r="T610" s="18"/>
      <c r="U610" s="18"/>
      <c r="V610" s="97"/>
    </row>
    <row r="611" spans="1:22" ht="18" hidden="1" customHeight="1">
      <c r="A611" s="159" t="s">
        <v>640</v>
      </c>
      <c r="B611" s="5"/>
      <c r="C611" s="5"/>
      <c r="D611" s="5"/>
      <c r="E611" s="5"/>
      <c r="F611" s="224"/>
      <c r="G611" s="224"/>
      <c r="H611" s="5"/>
      <c r="I611" s="5"/>
      <c r="J611" s="5"/>
      <c r="K611" s="5"/>
      <c r="L611" s="103"/>
      <c r="M611" s="103"/>
      <c r="N611" s="103"/>
      <c r="O611" s="103"/>
      <c r="P611" s="224"/>
      <c r="Q611" s="225"/>
      <c r="R611" s="14"/>
      <c r="S611" s="232"/>
      <c r="T611" s="18"/>
      <c r="U611" s="18"/>
      <c r="V611" s="97"/>
    </row>
    <row r="612" spans="1:22" ht="18" hidden="1" customHeight="1">
      <c r="A612" s="159"/>
      <c r="B612" s="5"/>
      <c r="C612" s="5"/>
      <c r="D612" s="5"/>
      <c r="E612" s="5"/>
      <c r="F612" s="224"/>
      <c r="G612" s="224"/>
      <c r="H612" s="5"/>
      <c r="I612" s="5"/>
      <c r="J612" s="5"/>
      <c r="K612" s="5"/>
      <c r="L612" s="103"/>
      <c r="M612" s="103"/>
      <c r="N612" s="103"/>
      <c r="O612" s="103"/>
      <c r="P612" s="224"/>
      <c r="Q612" s="225"/>
      <c r="R612" s="14"/>
      <c r="S612" s="226"/>
      <c r="T612" s="18"/>
      <c r="U612" s="18"/>
      <c r="V612" s="97"/>
    </row>
    <row r="613" spans="1:22" ht="18" hidden="1" customHeight="1">
      <c r="A613" s="196"/>
      <c r="B613" s="14" t="s">
        <v>623</v>
      </c>
      <c r="C613" s="14"/>
      <c r="D613" s="14"/>
      <c r="E613" s="14"/>
      <c r="M613" s="120" t="s">
        <v>624</v>
      </c>
      <c r="N613" s="28" t="s">
        <v>138</v>
      </c>
      <c r="O613" s="638" t="s">
        <v>620</v>
      </c>
      <c r="P613" s="920"/>
      <c r="Q613" s="233" t="s">
        <v>641</v>
      </c>
      <c r="R613" s="233">
        <v>16</v>
      </c>
      <c r="S613" s="226"/>
      <c r="V613" s="197"/>
    </row>
    <row r="614" spans="1:22" ht="18" hidden="1" customHeight="1">
      <c r="A614" s="96"/>
      <c r="B614" s="5"/>
      <c r="C614" s="5"/>
      <c r="D614" s="5"/>
      <c r="E614" s="5"/>
      <c r="M614" s="262"/>
      <c r="N614" s="28" t="s">
        <v>138</v>
      </c>
      <c r="O614" s="638">
        <f>+J609</f>
        <v>437.38656756789834</v>
      </c>
      <c r="P614" s="920"/>
      <c r="Q614" s="233" t="s">
        <v>641</v>
      </c>
      <c r="R614" s="233">
        <v>16</v>
      </c>
      <c r="S614" s="226"/>
      <c r="V614" s="197"/>
    </row>
    <row r="615" spans="1:22" ht="18" hidden="1" customHeight="1">
      <c r="A615" s="96"/>
      <c r="B615" s="5"/>
      <c r="C615" s="5"/>
      <c r="D615" s="5"/>
      <c r="E615" s="5"/>
      <c r="M615" s="120" t="s">
        <v>624</v>
      </c>
      <c r="N615" s="28" t="s">
        <v>138</v>
      </c>
      <c r="O615" s="638">
        <f>O614*R614</f>
        <v>6998.1850810863734</v>
      </c>
      <c r="P615" s="920"/>
      <c r="Q615" s="253" t="s">
        <v>9</v>
      </c>
      <c r="R615" s="14"/>
      <c r="S615" s="226"/>
      <c r="V615" s="197"/>
    </row>
    <row r="616" spans="1:22" ht="18" hidden="1" customHeight="1">
      <c r="A616" s="96"/>
      <c r="B616" s="5"/>
      <c r="C616" s="5"/>
      <c r="D616" s="5"/>
      <c r="E616" s="5"/>
      <c r="M616" s="224"/>
      <c r="N616" s="224"/>
      <c r="O616" s="103"/>
      <c r="Q616" s="235"/>
      <c r="R616" s="14"/>
      <c r="S616" s="226"/>
      <c r="V616" s="197"/>
    </row>
    <row r="617" spans="1:22" s="14" customFormat="1" ht="18" hidden="1" customHeight="1">
      <c r="A617" s="1002" t="s">
        <v>644</v>
      </c>
      <c r="B617" s="965"/>
      <c r="C617" s="965"/>
      <c r="D617" s="965"/>
      <c r="E617" s="965"/>
      <c r="F617" s="965"/>
      <c r="G617" s="965"/>
      <c r="H617" s="965"/>
      <c r="I617" s="965"/>
      <c r="J617" s="965"/>
      <c r="K617" s="965"/>
      <c r="L617" s="965"/>
      <c r="M617" s="965"/>
      <c r="N617" s="965"/>
      <c r="O617" s="965"/>
      <c r="P617" s="965"/>
      <c r="Q617" s="965"/>
      <c r="R617" s="965"/>
      <c r="S617" s="965"/>
      <c r="T617" s="965"/>
      <c r="U617" s="965"/>
      <c r="V617" s="966"/>
    </row>
    <row r="618" spans="1:22" ht="18" hidden="1" customHeight="1">
      <c r="A618" s="967"/>
      <c r="B618" s="965"/>
      <c r="C618" s="965"/>
      <c r="D618" s="965"/>
      <c r="E618" s="965"/>
      <c r="F618" s="965"/>
      <c r="G618" s="965"/>
      <c r="H618" s="965"/>
      <c r="I618" s="965"/>
      <c r="J618" s="965"/>
      <c r="K618" s="965"/>
      <c r="L618" s="965"/>
      <c r="M618" s="965"/>
      <c r="N618" s="965"/>
      <c r="O618" s="965"/>
      <c r="P618" s="965"/>
      <c r="Q618" s="965"/>
      <c r="R618" s="965"/>
      <c r="S618" s="965"/>
      <c r="T618" s="965"/>
      <c r="U618" s="965"/>
      <c r="V618" s="966"/>
    </row>
    <row r="619" spans="1:22" ht="18" hidden="1" customHeight="1">
      <c r="A619" s="243"/>
      <c r="B619" s="244"/>
      <c r="C619" s="244"/>
      <c r="D619" s="244"/>
      <c r="E619" s="244"/>
      <c r="F619" s="244"/>
      <c r="G619" s="244"/>
      <c r="H619" s="244"/>
      <c r="I619" s="244"/>
      <c r="J619" s="244"/>
      <c r="K619" s="244"/>
      <c r="L619" s="244"/>
      <c r="M619" s="244"/>
      <c r="N619" s="244"/>
      <c r="O619" s="244"/>
      <c r="P619" s="244"/>
      <c r="Q619" s="244"/>
      <c r="R619" s="244"/>
      <c r="S619" s="244"/>
      <c r="T619" s="244"/>
      <c r="U619" s="244"/>
      <c r="V619" s="245"/>
    </row>
    <row r="620" spans="1:22" ht="18" hidden="1" customHeight="1">
      <c r="A620" s="243"/>
      <c r="B620" s="244"/>
      <c r="C620" s="244"/>
      <c r="D620" s="244"/>
      <c r="E620" s="244"/>
      <c r="F620" s="244"/>
      <c r="G620" s="244"/>
      <c r="H620" s="244"/>
      <c r="I620" s="244"/>
      <c r="J620" s="244"/>
      <c r="K620" s="244"/>
      <c r="L620" s="244"/>
      <c r="M620" s="244"/>
      <c r="N620" s="244"/>
      <c r="O620" s="244"/>
      <c r="P620" s="244"/>
      <c r="Q620" s="244"/>
      <c r="R620" s="244"/>
      <c r="S620" s="244"/>
      <c r="T620" s="244"/>
      <c r="U620" s="244"/>
      <c r="V620" s="245"/>
    </row>
    <row r="621" spans="1:22" ht="18" hidden="1" customHeight="1">
      <c r="A621" s="243"/>
      <c r="B621" s="244"/>
      <c r="C621" s="244"/>
      <c r="D621" s="244"/>
      <c r="E621" s="244"/>
      <c r="F621" s="244"/>
      <c r="G621" s="244"/>
      <c r="H621" s="244"/>
      <c r="I621" s="244"/>
      <c r="J621" s="244"/>
      <c r="K621" s="244"/>
      <c r="L621" s="244"/>
      <c r="M621" s="244"/>
      <c r="N621" s="244"/>
      <c r="O621" s="244"/>
      <c r="P621" s="244"/>
      <c r="Q621" s="244"/>
      <c r="R621" s="244"/>
      <c r="S621" s="244"/>
      <c r="T621" s="244"/>
      <c r="U621" s="244"/>
      <c r="V621" s="245"/>
    </row>
    <row r="622" spans="1:22" ht="18" hidden="1" customHeight="1">
      <c r="A622" s="243"/>
      <c r="B622" s="244"/>
      <c r="C622" s="244"/>
      <c r="D622" s="244"/>
      <c r="E622" s="244"/>
      <c r="F622" s="244"/>
      <c r="G622" s="244"/>
      <c r="H622" s="244"/>
      <c r="I622" s="244"/>
      <c r="J622" s="244"/>
      <c r="K622" s="244"/>
      <c r="L622" s="244"/>
      <c r="M622" s="244"/>
      <c r="N622" s="244"/>
      <c r="O622" s="244"/>
      <c r="P622" s="244"/>
      <c r="Q622" s="244"/>
      <c r="R622" s="244"/>
      <c r="S622" s="244"/>
      <c r="T622" s="244"/>
      <c r="U622" s="244"/>
      <c r="V622" s="245"/>
    </row>
    <row r="623" spans="1:22" ht="18" hidden="1" customHeight="1">
      <c r="A623" s="243"/>
      <c r="B623" s="244"/>
      <c r="C623" s="244"/>
      <c r="D623" s="244"/>
      <c r="E623" s="244"/>
      <c r="F623" s="244"/>
      <c r="G623" s="244"/>
      <c r="H623" s="244"/>
      <c r="I623" s="244"/>
      <c r="J623" s="244"/>
      <c r="K623" s="244"/>
      <c r="L623" s="244"/>
      <c r="M623" s="244"/>
      <c r="N623" s="244"/>
      <c r="O623" s="244"/>
      <c r="P623" s="244"/>
      <c r="Q623" s="244"/>
      <c r="R623" s="244"/>
      <c r="S623" s="244"/>
      <c r="T623" s="244"/>
      <c r="U623" s="244"/>
      <c r="V623" s="245"/>
    </row>
    <row r="624" spans="1:22" ht="18" hidden="1" customHeight="1">
      <c r="A624" s="96"/>
      <c r="B624" s="5"/>
      <c r="C624" s="5"/>
      <c r="D624" s="5"/>
      <c r="E624" s="5"/>
      <c r="M624" s="224"/>
      <c r="N624" s="224"/>
      <c r="O624" s="103"/>
      <c r="Q624" s="235"/>
      <c r="R624" s="14"/>
      <c r="S624" s="226"/>
      <c r="V624" s="197"/>
    </row>
    <row r="625" spans="1:22" ht="18" hidden="1" customHeight="1">
      <c r="A625" s="196"/>
      <c r="V625" s="197"/>
    </row>
    <row r="626" spans="1:22" ht="18" hidden="1" customHeight="1">
      <c r="A626" s="196"/>
      <c r="V626" s="197"/>
    </row>
    <row r="627" spans="1:22" ht="18" hidden="1" customHeight="1">
      <c r="A627" s="206"/>
      <c r="B627" s="207"/>
      <c r="C627" s="207"/>
      <c r="D627" s="207"/>
      <c r="E627" s="207"/>
      <c r="F627" s="207"/>
      <c r="G627" s="207"/>
      <c r="H627" s="207"/>
      <c r="I627" s="207"/>
      <c r="J627" s="207"/>
      <c r="K627" s="207"/>
      <c r="L627" s="207"/>
      <c r="M627" s="207"/>
      <c r="N627" s="207"/>
      <c r="O627" s="207"/>
      <c r="P627" s="207"/>
      <c r="Q627" s="236"/>
      <c r="R627" s="194"/>
      <c r="S627" s="237"/>
      <c r="T627" s="207"/>
      <c r="U627" s="207"/>
      <c r="V627" s="140"/>
    </row>
    <row r="628" spans="1:22" ht="18" hidden="1" customHeight="1">
      <c r="A628" s="238"/>
      <c r="B628" s="239"/>
      <c r="C628" s="239"/>
      <c r="D628" s="239"/>
      <c r="E628" s="239"/>
      <c r="F628" s="239"/>
      <c r="G628" s="239"/>
      <c r="H628" s="239"/>
      <c r="I628" s="239"/>
      <c r="J628" s="239"/>
      <c r="K628" s="239"/>
      <c r="L628" s="239"/>
      <c r="M628" s="239"/>
      <c r="N628" s="239"/>
      <c r="O628" s="239"/>
      <c r="P628" s="239"/>
      <c r="Q628" s="239"/>
      <c r="R628" s="239"/>
      <c r="S628" s="239"/>
      <c r="T628" s="239"/>
      <c r="U628" s="239"/>
      <c r="V628" s="240"/>
    </row>
    <row r="629" spans="1:22" ht="18" hidden="1" customHeight="1">
      <c r="A629" s="1006" t="s">
        <v>428</v>
      </c>
      <c r="B629" s="1008"/>
      <c r="C629" s="1008"/>
      <c r="D629" s="638">
        <v>30</v>
      </c>
      <c r="E629" s="638" t="s">
        <v>326</v>
      </c>
      <c r="F629" s="638" t="s">
        <v>620</v>
      </c>
      <c r="G629" s="639"/>
      <c r="H629" s="638" t="s">
        <v>326</v>
      </c>
      <c r="I629" s="661" t="s">
        <v>422</v>
      </c>
      <c r="J629" s="1068"/>
      <c r="K629" s="638" t="s">
        <v>326</v>
      </c>
      <c r="L629" s="1008" t="s">
        <v>430</v>
      </c>
      <c r="M629" s="920" t="s">
        <v>431</v>
      </c>
      <c r="N629" s="958" t="s">
        <v>358</v>
      </c>
      <c r="O629" s="920" t="s">
        <v>419</v>
      </c>
      <c r="P629" s="638" t="s">
        <v>358</v>
      </c>
      <c r="Q629" s="953" t="s">
        <v>432</v>
      </c>
      <c r="R629" s="1005"/>
      <c r="S629" s="1005"/>
      <c r="T629" s="952" t="s">
        <v>361</v>
      </c>
      <c r="U629" s="242" t="s">
        <v>433</v>
      </c>
      <c r="V629" s="97"/>
    </row>
    <row r="630" spans="1:22" ht="18" hidden="1" customHeight="1">
      <c r="A630" s="1067"/>
      <c r="B630" s="1008"/>
      <c r="C630" s="1008"/>
      <c r="D630" s="638"/>
      <c r="E630" s="638"/>
      <c r="F630" s="639"/>
      <c r="G630" s="639"/>
      <c r="H630" s="638"/>
      <c r="I630" s="638" t="s">
        <v>434</v>
      </c>
      <c r="J630" s="985"/>
      <c r="K630" s="638"/>
      <c r="L630" s="1008"/>
      <c r="M630" s="920"/>
      <c r="N630" s="958"/>
      <c r="O630" s="920"/>
      <c r="P630" s="638"/>
      <c r="Q630" s="28" t="s">
        <v>157</v>
      </c>
      <c r="R630" s="28" t="s">
        <v>326</v>
      </c>
      <c r="S630" s="28" t="s">
        <v>157</v>
      </c>
      <c r="T630" s="952"/>
      <c r="U630" s="14"/>
      <c r="V630" s="97"/>
    </row>
    <row r="631" spans="1:22" ht="18" hidden="1" customHeight="1">
      <c r="A631" s="196"/>
      <c r="V631" s="197"/>
    </row>
    <row r="632" spans="1:22" ht="18" hidden="1" customHeight="1">
      <c r="A632" s="1006" t="s">
        <v>428</v>
      </c>
      <c r="B632" s="1008"/>
      <c r="C632" s="1008"/>
      <c r="D632" s="638">
        <v>2</v>
      </c>
      <c r="E632" s="638" t="s">
        <v>326</v>
      </c>
      <c r="F632" s="638" t="s">
        <v>624</v>
      </c>
      <c r="G632" s="639"/>
      <c r="H632" s="638" t="s">
        <v>326</v>
      </c>
      <c r="I632" s="661" t="s">
        <v>422</v>
      </c>
      <c r="J632" s="1068"/>
      <c r="K632" s="638" t="s">
        <v>326</v>
      </c>
      <c r="L632" s="1008" t="s">
        <v>430</v>
      </c>
      <c r="M632" s="920" t="s">
        <v>431</v>
      </c>
      <c r="N632" s="958" t="s">
        <v>358</v>
      </c>
      <c r="O632" s="920" t="s">
        <v>419</v>
      </c>
      <c r="P632" s="638" t="s">
        <v>358</v>
      </c>
      <c r="Q632" s="953" t="s">
        <v>432</v>
      </c>
      <c r="R632" s="1005"/>
      <c r="S632" s="1005"/>
      <c r="T632" s="952" t="s">
        <v>361</v>
      </c>
      <c r="U632" s="242" t="s">
        <v>437</v>
      </c>
      <c r="V632" s="97"/>
    </row>
    <row r="633" spans="1:22" ht="18" hidden="1" customHeight="1">
      <c r="A633" s="1067"/>
      <c r="B633" s="1008"/>
      <c r="C633" s="1008"/>
      <c r="D633" s="638"/>
      <c r="E633" s="638"/>
      <c r="F633" s="639"/>
      <c r="G633" s="639"/>
      <c r="H633" s="638"/>
      <c r="I633" s="638" t="s">
        <v>434</v>
      </c>
      <c r="J633" s="985"/>
      <c r="K633" s="638"/>
      <c r="L633" s="1008"/>
      <c r="M633" s="920"/>
      <c r="N633" s="958"/>
      <c r="O633" s="920"/>
      <c r="P633" s="638"/>
      <c r="Q633" s="28" t="s">
        <v>157</v>
      </c>
      <c r="R633" s="28" t="s">
        <v>326</v>
      </c>
      <c r="S633" s="28" t="s">
        <v>157</v>
      </c>
      <c r="T633" s="952"/>
      <c r="U633" s="14"/>
      <c r="V633" s="97"/>
    </row>
    <row r="634" spans="1:22" ht="18" hidden="1" customHeight="1">
      <c r="A634" s="196"/>
      <c r="V634" s="197"/>
    </row>
    <row r="635" spans="1:22" ht="18" hidden="1" customHeight="1">
      <c r="A635" s="1002" t="s">
        <v>627</v>
      </c>
      <c r="B635" s="965"/>
      <c r="C635" s="965"/>
      <c r="D635" s="965"/>
      <c r="E635" s="965"/>
      <c r="F635" s="965"/>
      <c r="G635" s="965"/>
      <c r="H635" s="965"/>
      <c r="I635" s="965"/>
      <c r="J635" s="965"/>
      <c r="K635" s="965"/>
      <c r="L635" s="965"/>
      <c r="M635" s="965"/>
      <c r="N635" s="965"/>
      <c r="O635" s="965"/>
      <c r="P635" s="965"/>
      <c r="Q635" s="965"/>
      <c r="R635" s="965"/>
      <c r="S635" s="965"/>
      <c r="T635" s="965"/>
      <c r="U635" s="965"/>
      <c r="V635" s="966"/>
    </row>
    <row r="636" spans="1:22" ht="18" hidden="1" customHeight="1">
      <c r="A636" s="967"/>
      <c r="B636" s="965"/>
      <c r="C636" s="965"/>
      <c r="D636" s="965"/>
      <c r="E636" s="965"/>
      <c r="F636" s="965"/>
      <c r="G636" s="965"/>
      <c r="H636" s="965"/>
      <c r="I636" s="965"/>
      <c r="J636" s="965"/>
      <c r="K636" s="965"/>
      <c r="L636" s="965"/>
      <c r="M636" s="965"/>
      <c r="N636" s="965"/>
      <c r="O636" s="965"/>
      <c r="P636" s="965"/>
      <c r="Q636" s="965"/>
      <c r="R636" s="965"/>
      <c r="S636" s="965"/>
      <c r="T636" s="965"/>
      <c r="U636" s="965"/>
      <c r="V636" s="966"/>
    </row>
    <row r="637" spans="1:22" ht="18" hidden="1" customHeight="1">
      <c r="A637" s="243"/>
      <c r="B637" s="244"/>
      <c r="C637" s="244"/>
      <c r="D637" s="244"/>
      <c r="E637" s="244"/>
      <c r="F637" s="244"/>
      <c r="G637" s="244"/>
      <c r="H637" s="244"/>
      <c r="I637" s="244"/>
      <c r="J637" s="244"/>
      <c r="K637" s="244"/>
      <c r="L637" s="244"/>
      <c r="M637" s="244"/>
      <c r="N637" s="244"/>
      <c r="O637" s="244"/>
      <c r="P637" s="244"/>
      <c r="Q637" s="244"/>
      <c r="R637" s="244"/>
      <c r="S637" s="244"/>
      <c r="T637" s="244"/>
      <c r="U637" s="244"/>
      <c r="V637" s="245"/>
    </row>
    <row r="638" spans="1:22" ht="18" hidden="1" customHeight="1">
      <c r="A638" s="1006" t="s">
        <v>428</v>
      </c>
      <c r="B638" s="1008"/>
      <c r="C638" s="1008"/>
      <c r="D638" s="638"/>
      <c r="E638" s="638"/>
      <c r="F638" s="638" t="s">
        <v>628</v>
      </c>
      <c r="G638" s="639"/>
      <c r="H638" s="638" t="s">
        <v>326</v>
      </c>
      <c r="I638" s="661" t="s">
        <v>422</v>
      </c>
      <c r="J638" s="1068"/>
      <c r="K638" s="638" t="s">
        <v>326</v>
      </c>
      <c r="L638" s="1008" t="s">
        <v>430</v>
      </c>
      <c r="M638" s="920" t="s">
        <v>431</v>
      </c>
      <c r="N638" s="958" t="s">
        <v>358</v>
      </c>
      <c r="O638" s="920" t="s">
        <v>419</v>
      </c>
      <c r="P638" s="638" t="s">
        <v>358</v>
      </c>
      <c r="Q638" s="953" t="s">
        <v>432</v>
      </c>
      <c r="R638" s="1005"/>
      <c r="S638" s="1005"/>
      <c r="T638" s="952" t="s">
        <v>361</v>
      </c>
      <c r="U638" s="242" t="s">
        <v>629</v>
      </c>
      <c r="V638" s="97"/>
    </row>
    <row r="639" spans="1:22" ht="18" hidden="1" customHeight="1">
      <c r="A639" s="1067"/>
      <c r="B639" s="1008"/>
      <c r="C639" s="1008"/>
      <c r="D639" s="638"/>
      <c r="E639" s="638"/>
      <c r="F639" s="639"/>
      <c r="G639" s="639"/>
      <c r="H639" s="638"/>
      <c r="I639" s="638" t="s">
        <v>434</v>
      </c>
      <c r="J639" s="985"/>
      <c r="K639" s="638"/>
      <c r="L639" s="1008"/>
      <c r="M639" s="920"/>
      <c r="N639" s="958"/>
      <c r="O639" s="920"/>
      <c r="P639" s="638"/>
      <c r="Q639" s="28" t="s">
        <v>157</v>
      </c>
      <c r="R639" s="28" t="s">
        <v>326</v>
      </c>
      <c r="S639" s="28" t="s">
        <v>157</v>
      </c>
      <c r="T639" s="952"/>
      <c r="U639" s="14"/>
      <c r="V639" s="97"/>
    </row>
    <row r="640" spans="1:22" ht="18" hidden="1" customHeight="1">
      <c r="A640" s="96"/>
      <c r="B640" s="14"/>
      <c r="C640" s="14"/>
      <c r="D640" s="28"/>
      <c r="E640" s="28"/>
      <c r="F640" s="27"/>
      <c r="G640" s="27"/>
      <c r="H640" s="28"/>
      <c r="I640" s="28"/>
      <c r="K640" s="28"/>
      <c r="L640" s="120"/>
      <c r="M640" s="14"/>
      <c r="N640" s="102"/>
      <c r="O640" s="14"/>
      <c r="P640" s="28"/>
      <c r="Q640" s="28"/>
      <c r="R640" s="28"/>
      <c r="S640" s="28"/>
      <c r="T640" s="40"/>
      <c r="U640" s="14"/>
      <c r="V640" s="97"/>
    </row>
    <row r="641" spans="1:22" ht="18" hidden="1" customHeight="1">
      <c r="A641" s="196"/>
      <c r="H641" s="30" t="s">
        <v>630</v>
      </c>
      <c r="M641" s="650" t="str">
        <f>M509</f>
        <v>N</v>
      </c>
      <c r="N641" s="651"/>
      <c r="V641" s="197"/>
    </row>
    <row r="642" spans="1:22" ht="18" hidden="1" customHeight="1">
      <c r="A642" s="96"/>
      <c r="B642" s="14"/>
      <c r="C642" s="14"/>
      <c r="D642" s="28"/>
      <c r="E642" s="28"/>
      <c r="F642" s="27"/>
      <c r="G642" s="27"/>
      <c r="H642" s="28"/>
      <c r="I642" s="28"/>
      <c r="K642" s="28"/>
      <c r="L642" s="120"/>
      <c r="M642" s="14"/>
      <c r="N642" s="102"/>
      <c r="O642" s="14"/>
      <c r="P642" s="28"/>
      <c r="Q642" s="28"/>
      <c r="R642" s="28"/>
      <c r="S642" s="28"/>
      <c r="T642" s="40"/>
      <c r="U642" s="14"/>
      <c r="V642" s="97"/>
    </row>
    <row r="643" spans="1:22" ht="18" hidden="1" customHeight="1">
      <c r="A643" s="196"/>
      <c r="B643" s="14" t="s">
        <v>438</v>
      </c>
      <c r="C643" s="14"/>
      <c r="D643" s="103"/>
      <c r="E643" s="103"/>
      <c r="F643" s="14"/>
      <c r="G643" s="14"/>
      <c r="H643" s="5"/>
      <c r="I643" s="5"/>
      <c r="J643" s="5"/>
      <c r="P643" s="120" t="s">
        <v>439</v>
      </c>
      <c r="V643" s="197"/>
    </row>
    <row r="644" spans="1:22" ht="18" hidden="1" customHeight="1">
      <c r="A644" s="196"/>
      <c r="B644" s="14" t="s">
        <v>440</v>
      </c>
      <c r="C644" s="14"/>
      <c r="D644" s="103"/>
      <c r="E644" s="103"/>
      <c r="F644" s="14"/>
      <c r="G644" s="14"/>
      <c r="H644" s="5"/>
      <c r="I644" s="5"/>
      <c r="J644" s="5"/>
      <c r="P644" s="120" t="s">
        <v>441</v>
      </c>
      <c r="Q644" s="246" t="s">
        <v>138</v>
      </c>
      <c r="R644" s="639" t="str">
        <f>J588</f>
        <v>-</v>
      </c>
      <c r="S644" s="639"/>
      <c r="T644" s="14" t="s">
        <v>9</v>
      </c>
      <c r="V644" s="197"/>
    </row>
    <row r="645" spans="1:22" ht="18" hidden="1" customHeight="1">
      <c r="A645" s="196"/>
      <c r="B645" s="14" t="s">
        <v>632</v>
      </c>
      <c r="C645" s="14"/>
      <c r="D645" s="14"/>
      <c r="E645" s="14"/>
      <c r="F645" s="14"/>
      <c r="G645" s="14"/>
      <c r="H645" s="14"/>
      <c r="I645" s="14"/>
      <c r="J645" s="14"/>
      <c r="P645" s="120" t="s">
        <v>620</v>
      </c>
      <c r="Q645" s="246" t="s">
        <v>138</v>
      </c>
      <c r="R645" s="639">
        <f>J609</f>
        <v>437.38656756789834</v>
      </c>
      <c r="S645" s="639"/>
      <c r="T645" s="14" t="s">
        <v>9</v>
      </c>
      <c r="V645" s="197"/>
    </row>
    <row r="646" spans="1:22" ht="18" hidden="1" customHeight="1">
      <c r="A646" s="196"/>
      <c r="B646" s="14" t="s">
        <v>633</v>
      </c>
      <c r="C646" s="14"/>
      <c r="D646" s="14"/>
      <c r="E646" s="14"/>
      <c r="F646" s="14"/>
      <c r="G646" s="14"/>
      <c r="H646" s="14"/>
      <c r="I646" s="14"/>
      <c r="J646" s="14"/>
      <c r="P646" s="120" t="s">
        <v>624</v>
      </c>
      <c r="Q646" s="246" t="s">
        <v>138</v>
      </c>
      <c r="R646" s="639">
        <f>O615</f>
        <v>6998.1850810863734</v>
      </c>
      <c r="S646" s="639"/>
      <c r="T646" s="14" t="s">
        <v>9</v>
      </c>
      <c r="V646" s="197"/>
    </row>
    <row r="647" spans="1:22" ht="18" hidden="1" customHeight="1">
      <c r="A647" s="196"/>
      <c r="B647" s="247" t="s">
        <v>634</v>
      </c>
      <c r="C647" s="14"/>
      <c r="D647" s="14"/>
      <c r="E647" s="14"/>
      <c r="F647" s="14"/>
      <c r="G647" s="14"/>
      <c r="H647" s="14"/>
      <c r="I647" s="14"/>
      <c r="J647" s="14"/>
      <c r="P647" s="120"/>
      <c r="Q647" s="248"/>
      <c r="R647" s="27"/>
      <c r="S647" s="27"/>
      <c r="T647" s="14"/>
      <c r="V647" s="197"/>
    </row>
    <row r="648" spans="1:22" ht="18" hidden="1" customHeight="1">
      <c r="A648" s="196"/>
      <c r="B648" s="14" t="s">
        <v>633</v>
      </c>
      <c r="C648" s="14"/>
      <c r="D648" s="14"/>
      <c r="E648" s="14"/>
      <c r="F648" s="14"/>
      <c r="G648" s="14"/>
      <c r="H648" s="14"/>
      <c r="I648" s="14"/>
      <c r="J648" s="14"/>
      <c r="P648" s="120" t="s">
        <v>628</v>
      </c>
      <c r="Q648" s="246" t="s">
        <v>138</v>
      </c>
      <c r="R648" s="639" t="str">
        <f>R516</f>
        <v>-</v>
      </c>
      <c r="S648" s="639"/>
      <c r="T648" s="14" t="s">
        <v>9</v>
      </c>
      <c r="V648" s="197"/>
    </row>
    <row r="649" spans="1:22" ht="18" hidden="1" customHeight="1">
      <c r="A649" s="196"/>
      <c r="B649" s="247" t="s">
        <v>656</v>
      </c>
      <c r="C649" s="14"/>
      <c r="D649" s="14"/>
      <c r="E649" s="14"/>
      <c r="F649" s="14"/>
      <c r="G649" s="14"/>
      <c r="H649" s="14"/>
      <c r="I649" s="14"/>
      <c r="J649" s="14"/>
      <c r="R649" s="27"/>
      <c r="S649" s="27"/>
      <c r="T649" s="14"/>
      <c r="V649" s="197"/>
    </row>
    <row r="650" spans="1:22" ht="18" hidden="1" customHeight="1">
      <c r="A650" s="196"/>
      <c r="B650" s="14" t="s">
        <v>446</v>
      </c>
      <c r="C650" s="14"/>
      <c r="D650" s="103"/>
      <c r="E650" s="103"/>
      <c r="F650" s="14"/>
      <c r="G650" s="14"/>
      <c r="H650" s="5"/>
      <c r="I650" s="5"/>
      <c r="J650" s="5"/>
      <c r="P650" s="120" t="s">
        <v>447</v>
      </c>
      <c r="Q650" s="246" t="s">
        <v>138</v>
      </c>
      <c r="R650" s="639">
        <f>O588</f>
        <v>1</v>
      </c>
      <c r="S650" s="639"/>
      <c r="T650" s="14" t="s">
        <v>9</v>
      </c>
      <c r="V650" s="197"/>
    </row>
    <row r="651" spans="1:22" ht="18" hidden="1" customHeight="1">
      <c r="A651" s="196"/>
      <c r="B651" s="14" t="s">
        <v>448</v>
      </c>
      <c r="C651" s="14"/>
      <c r="D651" s="103"/>
      <c r="E651" s="103"/>
      <c r="F651" s="14"/>
      <c r="G651" s="14"/>
      <c r="H651" s="5"/>
      <c r="I651" s="5"/>
      <c r="J651" s="5"/>
      <c r="P651" s="120" t="s">
        <v>449</v>
      </c>
      <c r="Q651" s="246" t="s">
        <v>138</v>
      </c>
      <c r="R651" s="639">
        <f>R519</f>
        <v>1</v>
      </c>
      <c r="S651" s="639"/>
      <c r="T651" s="14" t="s">
        <v>9</v>
      </c>
      <c r="V651" s="197"/>
    </row>
    <row r="652" spans="1:22" ht="18" hidden="1" customHeight="1">
      <c r="A652" s="196"/>
      <c r="B652" s="14" t="s">
        <v>450</v>
      </c>
      <c r="C652" s="14"/>
      <c r="D652" s="103"/>
      <c r="E652" s="103"/>
      <c r="F652" s="14"/>
      <c r="G652" s="14"/>
      <c r="H652" s="5"/>
      <c r="I652" s="5"/>
      <c r="J652" s="5"/>
      <c r="P652" s="120" t="s">
        <v>451</v>
      </c>
      <c r="Q652" s="246" t="s">
        <v>138</v>
      </c>
      <c r="R652" s="639" t="str">
        <f>J590</f>
        <v>-</v>
      </c>
      <c r="S652" s="639"/>
      <c r="T652" s="204" t="s">
        <v>344</v>
      </c>
      <c r="V652" s="197"/>
    </row>
    <row r="653" spans="1:22" ht="18" hidden="1" customHeight="1">
      <c r="A653" s="196"/>
      <c r="B653" s="14" t="s">
        <v>636</v>
      </c>
      <c r="C653" s="14"/>
      <c r="D653" s="14"/>
      <c r="E653" s="14"/>
      <c r="F653" s="14"/>
      <c r="G653" s="14"/>
      <c r="H653" s="14"/>
      <c r="I653" s="14"/>
      <c r="J653" s="14"/>
      <c r="P653" s="249" t="s">
        <v>452</v>
      </c>
      <c r="Q653" s="246" t="s">
        <v>138</v>
      </c>
      <c r="R653" s="637">
        <f>P600</f>
        <v>1.44186744</v>
      </c>
      <c r="S653" s="639"/>
      <c r="T653" s="204" t="s">
        <v>344</v>
      </c>
      <c r="V653" s="197"/>
    </row>
    <row r="654" spans="1:22" ht="18" hidden="1" customHeight="1">
      <c r="A654" s="196"/>
      <c r="B654" s="40" t="s">
        <v>453</v>
      </c>
      <c r="C654" s="14"/>
      <c r="D654" s="14"/>
      <c r="E654" s="14"/>
      <c r="F654" s="14"/>
      <c r="G654" s="14"/>
      <c r="H654" s="5"/>
      <c r="I654" s="5"/>
      <c r="J654" s="5"/>
      <c r="P654" s="249" t="s">
        <v>454</v>
      </c>
      <c r="Q654" s="246" t="s">
        <v>138</v>
      </c>
      <c r="R654" s="637">
        <f>J596</f>
        <v>0.02</v>
      </c>
      <c r="S654" s="639"/>
      <c r="T654" s="14" t="s">
        <v>168</v>
      </c>
      <c r="V654" s="197"/>
    </row>
    <row r="655" spans="1:22" ht="18" hidden="1" customHeight="1">
      <c r="A655" s="196"/>
      <c r="V655" s="197"/>
    </row>
    <row r="656" spans="1:22" ht="18" hidden="1" customHeight="1">
      <c r="A656" s="1006" t="s">
        <v>428</v>
      </c>
      <c r="B656" s="1008"/>
      <c r="C656" s="1008"/>
      <c r="D656" s="638">
        <v>30</v>
      </c>
      <c r="E656" s="638" t="s">
        <v>326</v>
      </c>
      <c r="F656" s="638">
        <f>R645</f>
        <v>437.38656756789834</v>
      </c>
      <c r="G656" s="639"/>
      <c r="H656" s="638" t="s">
        <v>326</v>
      </c>
      <c r="I656" s="661">
        <f>R650</f>
        <v>1</v>
      </c>
      <c r="J656" s="1068"/>
      <c r="K656" s="638" t="s">
        <v>326</v>
      </c>
      <c r="L656" s="920" t="s">
        <v>430</v>
      </c>
      <c r="M656" s="920" t="str">
        <f>R652</f>
        <v>-</v>
      </c>
      <c r="N656" s="958" t="s">
        <v>358</v>
      </c>
      <c r="O656" s="1065">
        <f>R653</f>
        <v>1.44186744</v>
      </c>
      <c r="P656" s="638" t="s">
        <v>358</v>
      </c>
      <c r="Q656" s="1066">
        <f>R654</f>
        <v>0.02</v>
      </c>
      <c r="R656" s="1005"/>
      <c r="S656" s="1005"/>
      <c r="T656" s="952" t="s">
        <v>361</v>
      </c>
      <c r="U656" s="242" t="s">
        <v>433</v>
      </c>
      <c r="V656" s="97"/>
    </row>
    <row r="657" spans="1:22" ht="18" hidden="1" customHeight="1">
      <c r="A657" s="1067"/>
      <c r="B657" s="1008"/>
      <c r="C657" s="1008"/>
      <c r="D657" s="638"/>
      <c r="E657" s="638"/>
      <c r="F657" s="639"/>
      <c r="G657" s="639"/>
      <c r="H657" s="638"/>
      <c r="I657" s="638" t="str">
        <f>R644</f>
        <v>-</v>
      </c>
      <c r="J657" s="985"/>
      <c r="K657" s="638"/>
      <c r="L657" s="920"/>
      <c r="M657" s="920"/>
      <c r="N657" s="958"/>
      <c r="O657" s="920"/>
      <c r="P657" s="638"/>
      <c r="Q657" s="28">
        <f>R651</f>
        <v>1</v>
      </c>
      <c r="R657" s="28" t="s">
        <v>326</v>
      </c>
      <c r="S657" s="28">
        <f>R651</f>
        <v>1</v>
      </c>
      <c r="T657" s="952"/>
      <c r="U657" s="14"/>
      <c r="V657" s="97"/>
    </row>
    <row r="658" spans="1:22" ht="18" hidden="1" customHeight="1">
      <c r="A658" s="196"/>
      <c r="V658" s="197"/>
    </row>
    <row r="659" spans="1:22" ht="18" hidden="1" customHeight="1">
      <c r="A659" s="196"/>
      <c r="C659" s="30" t="s">
        <v>138</v>
      </c>
      <c r="D659" s="798" t="e">
        <f>D656*F656*(I656/I657)*(M656+O656+(Q656/(Q657*S657)))</f>
        <v>#VALUE!</v>
      </c>
      <c r="E659" s="799"/>
      <c r="F659" s="30" t="s">
        <v>316</v>
      </c>
      <c r="V659" s="197"/>
    </row>
    <row r="660" spans="1:22" ht="18" hidden="1" customHeight="1">
      <c r="A660" s="196"/>
      <c r="V660" s="197"/>
    </row>
    <row r="661" spans="1:22" ht="18" hidden="1" customHeight="1">
      <c r="A661" s="1006" t="s">
        <v>428</v>
      </c>
      <c r="B661" s="1008"/>
      <c r="C661" s="1008"/>
      <c r="D661" s="638">
        <v>2</v>
      </c>
      <c r="E661" s="638" t="s">
        <v>326</v>
      </c>
      <c r="F661" s="638">
        <f>R646</f>
        <v>6998.1850810863734</v>
      </c>
      <c r="G661" s="639"/>
      <c r="H661" s="638" t="s">
        <v>326</v>
      </c>
      <c r="I661" s="661">
        <f>R650</f>
        <v>1</v>
      </c>
      <c r="J661" s="1068"/>
      <c r="K661" s="638" t="s">
        <v>326</v>
      </c>
      <c r="L661" s="1008" t="s">
        <v>430</v>
      </c>
      <c r="M661" s="920" t="str">
        <f>R652</f>
        <v>-</v>
      </c>
      <c r="N661" s="958" t="s">
        <v>358</v>
      </c>
      <c r="O661" s="1065">
        <f>R653</f>
        <v>1.44186744</v>
      </c>
      <c r="P661" s="638" t="s">
        <v>358</v>
      </c>
      <c r="Q661" s="1066">
        <f>R654</f>
        <v>0.02</v>
      </c>
      <c r="R661" s="1005"/>
      <c r="S661" s="1005"/>
      <c r="T661" s="952" t="s">
        <v>361</v>
      </c>
      <c r="U661" s="242" t="s">
        <v>437</v>
      </c>
      <c r="V661" s="97"/>
    </row>
    <row r="662" spans="1:22" ht="18" hidden="1" customHeight="1">
      <c r="A662" s="1067"/>
      <c r="B662" s="1008"/>
      <c r="C662" s="1008"/>
      <c r="D662" s="638"/>
      <c r="E662" s="638"/>
      <c r="F662" s="639"/>
      <c r="G662" s="639"/>
      <c r="H662" s="638"/>
      <c r="I662" s="638" t="str">
        <f>R644</f>
        <v>-</v>
      </c>
      <c r="J662" s="985"/>
      <c r="K662" s="638"/>
      <c r="L662" s="1008"/>
      <c r="M662" s="920"/>
      <c r="N662" s="958"/>
      <c r="O662" s="920"/>
      <c r="P662" s="638"/>
      <c r="Q662" s="28">
        <f>R651</f>
        <v>1</v>
      </c>
      <c r="R662" s="28" t="s">
        <v>326</v>
      </c>
      <c r="S662" s="28">
        <f>R651</f>
        <v>1</v>
      </c>
      <c r="T662" s="952"/>
      <c r="U662" s="14"/>
      <c r="V662" s="97"/>
    </row>
    <row r="663" spans="1:22" ht="18" hidden="1" customHeight="1">
      <c r="A663" s="196"/>
      <c r="L663" s="256"/>
      <c r="V663" s="197"/>
    </row>
    <row r="664" spans="1:22" ht="18" hidden="1" customHeight="1">
      <c r="A664" s="196"/>
      <c r="C664" s="30" t="s">
        <v>138</v>
      </c>
      <c r="D664" s="798" t="e">
        <f>D661*F661*(I661/I662)*(M661+O661+(Q661/(Q662*S662)))</f>
        <v>#VALUE!</v>
      </c>
      <c r="E664" s="799"/>
      <c r="F664" s="30" t="s">
        <v>316</v>
      </c>
      <c r="L664" s="256"/>
      <c r="V664" s="197"/>
    </row>
    <row r="665" spans="1:22" ht="18" hidden="1" customHeight="1">
      <c r="A665" s="196"/>
      <c r="L665" s="256"/>
      <c r="V665" s="197"/>
    </row>
    <row r="666" spans="1:22" s="14" customFormat="1" ht="18" hidden="1" customHeight="1">
      <c r="A666" s="1006" t="s">
        <v>428</v>
      </c>
      <c r="B666" s="1008"/>
      <c r="C666" s="1008"/>
      <c r="D666" s="638"/>
      <c r="E666" s="638"/>
      <c r="F666" s="638" t="str">
        <f>R648</f>
        <v>-</v>
      </c>
      <c r="G666" s="639"/>
      <c r="H666" s="638" t="s">
        <v>326</v>
      </c>
      <c r="I666" s="661">
        <f>R650</f>
        <v>1</v>
      </c>
      <c r="J666" s="1068"/>
      <c r="K666" s="638" t="s">
        <v>326</v>
      </c>
      <c r="L666" s="1008" t="s">
        <v>430</v>
      </c>
      <c r="M666" s="920" t="str">
        <f>R652</f>
        <v>-</v>
      </c>
      <c r="N666" s="958" t="s">
        <v>358</v>
      </c>
      <c r="O666" s="1065">
        <f>R653</f>
        <v>1.44186744</v>
      </c>
      <c r="P666" s="638" t="s">
        <v>358</v>
      </c>
      <c r="Q666" s="1066">
        <f>R654</f>
        <v>0.02</v>
      </c>
      <c r="R666" s="1005"/>
      <c r="S666" s="1005"/>
      <c r="T666" s="952" t="s">
        <v>361</v>
      </c>
      <c r="U666" s="242" t="s">
        <v>629</v>
      </c>
      <c r="V666" s="97"/>
    </row>
    <row r="667" spans="1:22" ht="18" hidden="1" customHeight="1">
      <c r="A667" s="1067"/>
      <c r="B667" s="1008"/>
      <c r="C667" s="1008"/>
      <c r="D667" s="638"/>
      <c r="E667" s="638"/>
      <c r="F667" s="639"/>
      <c r="G667" s="639"/>
      <c r="H667" s="638"/>
      <c r="I667" s="638" t="str">
        <f>R644</f>
        <v>-</v>
      </c>
      <c r="J667" s="985"/>
      <c r="K667" s="638"/>
      <c r="L667" s="1008"/>
      <c r="M667" s="920"/>
      <c r="N667" s="958"/>
      <c r="O667" s="920"/>
      <c r="P667" s="638"/>
      <c r="Q667" s="28">
        <f>R651</f>
        <v>1</v>
      </c>
      <c r="R667" s="28" t="s">
        <v>326</v>
      </c>
      <c r="S667" s="28">
        <f>R651</f>
        <v>1</v>
      </c>
      <c r="T667" s="952"/>
      <c r="U667" s="14"/>
      <c r="V667" s="97"/>
    </row>
    <row r="668" spans="1:22" ht="18" hidden="1" customHeight="1">
      <c r="A668" s="196"/>
      <c r="V668" s="197"/>
    </row>
    <row r="669" spans="1:22" ht="18" hidden="1" customHeight="1">
      <c r="A669" s="196"/>
      <c r="C669" s="30" t="s">
        <v>138</v>
      </c>
      <c r="D669" s="798" t="e">
        <f>F666*(I666/I667)*(M666+O666+(Q666/(Q667*S667)))</f>
        <v>#VALUE!</v>
      </c>
      <c r="E669" s="799"/>
      <c r="F669" s="30" t="s">
        <v>316</v>
      </c>
      <c r="G669" s="199" t="s">
        <v>389</v>
      </c>
      <c r="H669" s="198" t="str">
        <f>IF(M641="y","Applicable","Not applicable")</f>
        <v>Not applicable</v>
      </c>
      <c r="V669" s="197"/>
    </row>
    <row r="670" spans="1:22" ht="18" hidden="1" customHeight="1">
      <c r="A670" s="196"/>
      <c r="V670" s="197"/>
    </row>
    <row r="671" spans="1:22" ht="18" hidden="1" customHeight="1">
      <c r="A671" s="206"/>
      <c r="B671" s="207"/>
      <c r="C671" s="207"/>
      <c r="D671" s="207"/>
      <c r="E671" s="207"/>
      <c r="F671" s="207"/>
      <c r="G671" s="207"/>
      <c r="H671" s="207"/>
      <c r="I671" s="207"/>
      <c r="J671" s="207"/>
      <c r="K671" s="207"/>
      <c r="L671" s="207"/>
      <c r="M671" s="207"/>
      <c r="N671" s="207"/>
      <c r="O671" s="207"/>
      <c r="P671" s="207"/>
      <c r="Q671" s="236"/>
      <c r="R671" s="194"/>
      <c r="S671" s="237"/>
      <c r="T671" s="207"/>
      <c r="U671" s="207"/>
      <c r="V671" s="140"/>
    </row>
    <row r="672" spans="1:22" ht="18" hidden="1" customHeight="1">
      <c r="A672" s="238"/>
      <c r="B672" s="239"/>
      <c r="C672" s="239"/>
      <c r="D672" s="239"/>
      <c r="E672" s="239"/>
      <c r="F672" s="239"/>
      <c r="G672" s="239"/>
      <c r="H672" s="239"/>
      <c r="I672" s="239"/>
      <c r="J672" s="239"/>
      <c r="K672" s="239"/>
      <c r="L672" s="239"/>
      <c r="M672" s="239"/>
      <c r="N672" s="239"/>
      <c r="O672" s="239"/>
      <c r="P672" s="239"/>
      <c r="Q672" s="239"/>
      <c r="R672" s="239"/>
      <c r="S672" s="239"/>
      <c r="T672" s="239"/>
      <c r="U672" s="239"/>
      <c r="V672" s="240"/>
    </row>
    <row r="673" spans="1:22" ht="18" hidden="1" customHeight="1">
      <c r="A673" s="196" t="s">
        <v>645</v>
      </c>
      <c r="M673" s="1023" t="str">
        <f>R644</f>
        <v>-</v>
      </c>
      <c r="N673" s="1024"/>
      <c r="O673" s="30" t="s">
        <v>481</v>
      </c>
      <c r="Q673" s="798" t="e">
        <f>IF(M641="Y",MAX(D659,D669),MAX(D659,D664))</f>
        <v>#VALUE!</v>
      </c>
      <c r="R673" s="645"/>
      <c r="S673" s="30" t="s">
        <v>316</v>
      </c>
      <c r="V673" s="197"/>
    </row>
    <row r="674" spans="1:22" ht="18" hidden="1" customHeight="1">
      <c r="A674" s="196"/>
      <c r="M674" s="259"/>
      <c r="N674" s="259"/>
      <c r="Q674" s="223"/>
      <c r="R674" s="27"/>
      <c r="V674" s="197"/>
    </row>
    <row r="675" spans="1:22" ht="18" hidden="1" customHeight="1">
      <c r="A675" s="260" t="s">
        <v>482</v>
      </c>
      <c r="B675" s="14"/>
      <c r="C675" s="14"/>
      <c r="D675" s="261"/>
      <c r="E675" s="14"/>
      <c r="F675" s="14"/>
      <c r="G675" s="47"/>
      <c r="H675" s="14"/>
      <c r="J675" s="14"/>
      <c r="K675" s="14"/>
      <c r="L675" s="14"/>
      <c r="M675" s="14"/>
      <c r="N675" s="14"/>
      <c r="O675" s="14"/>
      <c r="P675" s="262"/>
      <c r="Q675" s="263"/>
      <c r="R675" s="47"/>
      <c r="S675" s="14"/>
      <c r="V675" s="197"/>
    </row>
    <row r="676" spans="1:22" ht="18" hidden="1" customHeight="1">
      <c r="A676" s="260"/>
      <c r="B676" s="14"/>
      <c r="C676" s="14"/>
      <c r="D676" s="261"/>
      <c r="E676" s="14"/>
      <c r="F676" s="14"/>
      <c r="G676" s="47"/>
      <c r="H676" s="14"/>
      <c r="J676" s="14"/>
      <c r="K676" s="14"/>
      <c r="L676" s="14"/>
      <c r="M676" s="14"/>
      <c r="N676" s="14"/>
      <c r="O676" s="14"/>
      <c r="P676" s="262"/>
      <c r="Q676" s="263"/>
      <c r="R676" s="47"/>
      <c r="S676" s="14"/>
      <c r="V676" s="197"/>
    </row>
    <row r="677" spans="1:22" ht="18" hidden="1" customHeight="1">
      <c r="A677" s="96" t="s">
        <v>511</v>
      </c>
      <c r="V677" s="197"/>
    </row>
    <row r="678" spans="1:22" ht="18" hidden="1" customHeight="1">
      <c r="A678" s="196"/>
      <c r="N678" s="14"/>
      <c r="O678" s="14" t="s">
        <v>484</v>
      </c>
      <c r="P678" s="102" t="s">
        <v>138</v>
      </c>
      <c r="Q678" s="261" t="s">
        <v>485</v>
      </c>
      <c r="R678" s="14"/>
      <c r="S678" s="28" t="s">
        <v>326</v>
      </c>
      <c r="T678" s="28">
        <v>0.8</v>
      </c>
      <c r="V678" s="197"/>
    </row>
    <row r="679" spans="1:22" ht="18" hidden="1" customHeight="1">
      <c r="A679" s="196"/>
      <c r="N679" s="264"/>
      <c r="O679" s="14"/>
      <c r="P679" s="102" t="s">
        <v>138</v>
      </c>
      <c r="Q679" s="1026" t="e">
        <f>+Q673</f>
        <v>#VALUE!</v>
      </c>
      <c r="R679" s="1099"/>
      <c r="S679" s="234" t="s">
        <v>326</v>
      </c>
      <c r="T679" s="265">
        <f>+T678</f>
        <v>0.8</v>
      </c>
      <c r="V679" s="197"/>
    </row>
    <row r="680" spans="1:22" ht="18" hidden="1" customHeight="1">
      <c r="A680" s="196"/>
      <c r="O680" s="14"/>
      <c r="P680" s="28" t="s">
        <v>138</v>
      </c>
      <c r="Q680" s="1027" t="e">
        <f>Q679*T679</f>
        <v>#VALUE!</v>
      </c>
      <c r="R680" s="1080"/>
      <c r="S680" s="47" t="s">
        <v>316</v>
      </c>
      <c r="T680" s="14"/>
      <c r="V680" s="197"/>
    </row>
    <row r="681" spans="1:22" ht="18" hidden="1" customHeight="1">
      <c r="A681" s="196"/>
      <c r="V681" s="197"/>
    </row>
    <row r="682" spans="1:22" ht="18" hidden="1" customHeight="1">
      <c r="A682" s="196"/>
      <c r="D682" s="30" t="s">
        <v>486</v>
      </c>
      <c r="G682" s="27" t="e">
        <f>IF(E683&gt;H683,"&gt;","&lt;")</f>
        <v>#VALUE!</v>
      </c>
      <c r="H682" s="30" t="s">
        <v>488</v>
      </c>
      <c r="V682" s="197"/>
    </row>
    <row r="683" spans="1:22" ht="18" hidden="1" customHeight="1">
      <c r="A683" s="196"/>
      <c r="E683" s="639" t="str">
        <f>J591</f>
        <v>-</v>
      </c>
      <c r="F683" s="639"/>
      <c r="G683" s="27" t="e">
        <f>G682</f>
        <v>#VALUE!</v>
      </c>
      <c r="H683" s="637" t="e">
        <f>Q680</f>
        <v>#VALUE!</v>
      </c>
      <c r="I683" s="639"/>
      <c r="V683" s="197"/>
    </row>
    <row r="684" spans="1:22" ht="18" hidden="1" customHeight="1">
      <c r="A684" s="196"/>
      <c r="F684" s="256" t="s">
        <v>489</v>
      </c>
      <c r="H684" s="18" t="e">
        <f>IF(G682="&gt;","Suitably Dimensioned","Under Dimensioned")</f>
        <v>#VALUE!</v>
      </c>
      <c r="V684" s="197"/>
    </row>
    <row r="685" spans="1:22" ht="18" hidden="1" customHeight="1">
      <c r="A685" s="196"/>
      <c r="F685" s="256"/>
      <c r="H685" s="18"/>
      <c r="V685" s="197"/>
    </row>
    <row r="686" spans="1:22" ht="18" hidden="1" customHeight="1">
      <c r="A686" s="196"/>
      <c r="F686" s="256"/>
      <c r="H686" s="18"/>
      <c r="V686" s="197"/>
    </row>
    <row r="687" spans="1:22" ht="18" hidden="1" customHeight="1">
      <c r="A687" s="196"/>
      <c r="F687" s="256"/>
      <c r="H687" s="18"/>
      <c r="V687" s="197"/>
    </row>
    <row r="688" spans="1:22" ht="18" hidden="1" customHeight="1">
      <c r="A688" s="196"/>
      <c r="F688" s="256"/>
      <c r="H688" s="18"/>
      <c r="V688" s="197"/>
    </row>
    <row r="689" spans="1:22" ht="18" hidden="1" customHeight="1">
      <c r="A689" s="196"/>
      <c r="F689" s="256"/>
      <c r="H689" s="18"/>
      <c r="V689" s="197"/>
    </row>
    <row r="690" spans="1:22" ht="18" hidden="1" customHeight="1">
      <c r="A690" s="196"/>
      <c r="F690" s="256"/>
      <c r="H690" s="18"/>
      <c r="V690" s="197"/>
    </row>
    <row r="691" spans="1:22" ht="18" hidden="1" customHeight="1">
      <c r="A691" s="196"/>
      <c r="F691" s="256"/>
      <c r="H691" s="18"/>
      <c r="V691" s="197"/>
    </row>
    <row r="692" spans="1:22" ht="18" hidden="1" customHeight="1">
      <c r="A692" s="196"/>
      <c r="F692" s="256"/>
      <c r="H692" s="18"/>
      <c r="V692" s="197"/>
    </row>
    <row r="693" spans="1:22" ht="18" hidden="1" customHeight="1">
      <c r="A693" s="196"/>
      <c r="F693" s="256"/>
      <c r="H693" s="18"/>
      <c r="V693" s="197"/>
    </row>
    <row r="694" spans="1:22" ht="18" hidden="1" customHeight="1">
      <c r="A694" s="196"/>
      <c r="F694" s="256"/>
      <c r="H694" s="18"/>
      <c r="V694" s="197"/>
    </row>
    <row r="695" spans="1:22" ht="18" hidden="1" customHeight="1">
      <c r="A695" s="196"/>
      <c r="F695" s="256"/>
      <c r="H695" s="18"/>
      <c r="V695" s="197"/>
    </row>
    <row r="696" spans="1:22" ht="18" hidden="1" customHeight="1">
      <c r="A696" s="196"/>
      <c r="F696" s="256"/>
      <c r="H696" s="18"/>
      <c r="V696" s="197"/>
    </row>
    <row r="697" spans="1:22" ht="18" hidden="1" customHeight="1">
      <c r="A697" s="196"/>
      <c r="F697" s="256"/>
      <c r="H697" s="18"/>
      <c r="V697" s="197"/>
    </row>
    <row r="698" spans="1:22" ht="18" hidden="1" customHeight="1">
      <c r="A698" s="196"/>
      <c r="F698" s="256"/>
      <c r="H698" s="18"/>
      <c r="V698" s="197"/>
    </row>
    <row r="699" spans="1:22" ht="18" hidden="1" customHeight="1">
      <c r="A699" s="196"/>
      <c r="F699" s="256"/>
      <c r="H699" s="18"/>
      <c r="V699" s="197"/>
    </row>
    <row r="700" spans="1:22" ht="18" hidden="1" customHeight="1">
      <c r="A700" s="196"/>
      <c r="F700" s="256"/>
      <c r="H700" s="18"/>
      <c r="V700" s="197"/>
    </row>
    <row r="701" spans="1:22" ht="18" hidden="1" customHeight="1">
      <c r="A701" s="196"/>
      <c r="F701" s="256"/>
      <c r="H701" s="18"/>
      <c r="V701" s="197"/>
    </row>
    <row r="702" spans="1:22" ht="18" hidden="1" customHeight="1">
      <c r="A702" s="196"/>
      <c r="F702" s="256"/>
      <c r="H702" s="18"/>
      <c r="V702" s="197"/>
    </row>
    <row r="703" spans="1:22" ht="18" hidden="1" customHeight="1">
      <c r="A703" s="196"/>
      <c r="F703" s="256"/>
      <c r="H703" s="18"/>
      <c r="V703" s="197"/>
    </row>
    <row r="704" spans="1:22" ht="18" hidden="1" customHeight="1">
      <c r="A704" s="196"/>
      <c r="F704" s="256"/>
      <c r="H704" s="18"/>
      <c r="V704" s="197"/>
    </row>
    <row r="705" spans="1:22" ht="18" hidden="1" customHeight="1">
      <c r="A705" s="196"/>
      <c r="F705" s="256"/>
      <c r="H705" s="18"/>
      <c r="V705" s="197"/>
    </row>
    <row r="706" spans="1:22" ht="18" hidden="1" customHeight="1">
      <c r="A706" s="196"/>
      <c r="F706" s="256"/>
      <c r="H706" s="18"/>
      <c r="V706" s="197"/>
    </row>
    <row r="707" spans="1:22" ht="18" hidden="1" customHeight="1">
      <c r="A707" s="196"/>
      <c r="F707" s="256"/>
      <c r="H707" s="18"/>
      <c r="V707" s="197"/>
    </row>
    <row r="708" spans="1:22" ht="18" hidden="1" customHeight="1">
      <c r="A708" s="196"/>
      <c r="F708" s="256"/>
      <c r="H708" s="18"/>
      <c r="V708" s="197"/>
    </row>
    <row r="709" spans="1:22" ht="18" hidden="1" customHeight="1">
      <c r="A709" s="196"/>
      <c r="F709" s="256"/>
      <c r="H709" s="18"/>
      <c r="V709" s="197"/>
    </row>
    <row r="710" spans="1:22" s="14" customFormat="1" ht="18" hidden="1" customHeight="1">
      <c r="A710" s="196"/>
      <c r="B710" s="30"/>
      <c r="C710" s="30"/>
      <c r="D710" s="30"/>
      <c r="E710" s="30"/>
      <c r="F710" s="256"/>
      <c r="G710" s="30"/>
      <c r="H710" s="18"/>
      <c r="I710" s="30"/>
      <c r="J710" s="30"/>
      <c r="K710" s="30"/>
      <c r="L710" s="30"/>
      <c r="M710" s="30"/>
      <c r="N710" s="30"/>
      <c r="O710" s="30"/>
      <c r="P710" s="30"/>
      <c r="Q710" s="30"/>
      <c r="R710" s="30"/>
      <c r="S710" s="30"/>
      <c r="T710" s="30"/>
      <c r="U710" s="30"/>
      <c r="V710" s="197"/>
    </row>
    <row r="711" spans="1:22" ht="18" hidden="1" customHeight="1">
      <c r="A711" s="196"/>
      <c r="F711" s="256"/>
      <c r="H711" s="18"/>
      <c r="V711" s="197"/>
    </row>
    <row r="712" spans="1:22" ht="18" hidden="1" customHeight="1">
      <c r="A712" s="196"/>
      <c r="H712" s="18"/>
      <c r="V712" s="197"/>
    </row>
    <row r="713" spans="1:22" ht="18" hidden="1" customHeight="1">
      <c r="A713" s="196"/>
      <c r="H713" s="18"/>
      <c r="V713" s="197"/>
    </row>
    <row r="714" spans="1:22" ht="18" hidden="1" customHeight="1">
      <c r="A714" s="196"/>
      <c r="F714" s="256"/>
      <c r="H714" s="18"/>
      <c r="V714" s="197"/>
    </row>
    <row r="715" spans="1:22" ht="18" hidden="1" customHeight="1">
      <c r="A715" s="206"/>
      <c r="B715" s="207"/>
      <c r="C715" s="207"/>
      <c r="D715" s="207"/>
      <c r="E715" s="207"/>
      <c r="F715" s="207"/>
      <c r="G715" s="207"/>
      <c r="H715" s="207"/>
      <c r="I715" s="207"/>
      <c r="J715" s="207"/>
      <c r="K715" s="207"/>
      <c r="L715" s="207"/>
      <c r="M715" s="207"/>
      <c r="N715" s="207"/>
      <c r="O715" s="207"/>
      <c r="P715" s="207"/>
      <c r="Q715" s="236"/>
      <c r="R715" s="194"/>
      <c r="S715" s="237"/>
      <c r="T715" s="207"/>
      <c r="U715" s="207"/>
      <c r="V715" s="140"/>
    </row>
    <row r="716" spans="1:22" ht="18" hidden="1" customHeight="1">
      <c r="A716" s="238"/>
      <c r="B716" s="239"/>
      <c r="C716" s="239"/>
      <c r="D716" s="239"/>
      <c r="E716" s="239"/>
      <c r="F716" s="239"/>
      <c r="G716" s="239"/>
      <c r="H716" s="239"/>
      <c r="I716" s="239"/>
      <c r="J716" s="239"/>
      <c r="K716" s="239"/>
      <c r="L716" s="239"/>
      <c r="M716" s="239"/>
      <c r="N716" s="239"/>
      <c r="O716" s="239"/>
      <c r="P716" s="239"/>
      <c r="Q716" s="239"/>
      <c r="R716" s="239"/>
      <c r="S716" s="239"/>
      <c r="T716" s="239"/>
      <c r="U716" s="239"/>
      <c r="V716" s="240"/>
    </row>
    <row r="717" spans="1:22" ht="18" hidden="1" customHeight="1">
      <c r="A717" s="196"/>
      <c r="B717" s="650" t="str">
        <f>B585</f>
        <v>BCT13,14,15</v>
      </c>
      <c r="C717" s="651"/>
      <c r="D717" s="663" t="str">
        <f>D585</f>
        <v>Core2</v>
      </c>
      <c r="E717" s="664"/>
      <c r="F717" s="198" t="s">
        <v>647</v>
      </c>
      <c r="H717" s="639" t="str">
        <f>H585</f>
        <v>(Transformer Differential)</v>
      </c>
      <c r="I717" s="639"/>
      <c r="J717" s="639"/>
      <c r="K717" s="639"/>
      <c r="L717" s="639"/>
      <c r="M717" s="639"/>
      <c r="P717" s="198"/>
      <c r="S717" s="199" t="s">
        <v>398</v>
      </c>
      <c r="T717" s="650" t="str">
        <f>T585</f>
        <v>RET670</v>
      </c>
      <c r="U717" s="651"/>
      <c r="V717" s="197"/>
    </row>
    <row r="718" spans="1:22" ht="18" hidden="1" customHeight="1">
      <c r="A718" s="196"/>
      <c r="B718" s="660">
        <f>B586</f>
        <v>0</v>
      </c>
      <c r="C718" s="660"/>
      <c r="D718" s="665"/>
      <c r="E718" s="666"/>
      <c r="F718" s="267"/>
      <c r="T718" s="650">
        <f>T586</f>
        <v>0</v>
      </c>
      <c r="U718" s="651"/>
      <c r="V718" s="197"/>
    </row>
    <row r="719" spans="1:22" ht="18" hidden="1" customHeight="1">
      <c r="A719" s="196"/>
      <c r="H719" s="661" t="s">
        <v>401</v>
      </c>
      <c r="I719" s="661"/>
      <c r="J719" s="661" t="s">
        <v>402</v>
      </c>
      <c r="K719" s="661"/>
      <c r="L719" s="662" t="s">
        <v>403</v>
      </c>
      <c r="M719" s="662"/>
      <c r="T719" s="650">
        <f>T587</f>
        <v>0</v>
      </c>
      <c r="U719" s="651"/>
      <c r="V719" s="197"/>
    </row>
    <row r="720" spans="1:22" ht="18" hidden="1" customHeight="1">
      <c r="A720" s="196"/>
      <c r="B720" s="47" t="s">
        <v>404</v>
      </c>
      <c r="H720" s="650">
        <f>H588</f>
        <v>1200</v>
      </c>
      <c r="I720" s="651"/>
      <c r="J720" s="650" t="str">
        <f>J588</f>
        <v>-</v>
      </c>
      <c r="K720" s="651"/>
      <c r="L720" s="652" t="str">
        <f>L588</f>
        <v>-</v>
      </c>
      <c r="M720" s="653"/>
      <c r="N720" s="102" t="s">
        <v>353</v>
      </c>
      <c r="O720" s="268">
        <f>O588</f>
        <v>1</v>
      </c>
      <c r="P720" s="27" t="s">
        <v>9</v>
      </c>
      <c r="V720" s="197"/>
    </row>
    <row r="721" spans="1:29" ht="18" hidden="1" customHeight="1">
      <c r="A721" s="196"/>
      <c r="B721" s="47" t="s">
        <v>405</v>
      </c>
      <c r="H721" s="14"/>
      <c r="K721" s="14"/>
      <c r="L721" s="650" t="str">
        <f>J589</f>
        <v>TPS</v>
      </c>
      <c r="M721" s="651"/>
      <c r="N721" s="14"/>
      <c r="V721" s="197"/>
    </row>
    <row r="722" spans="1:29" ht="18" hidden="1" customHeight="1">
      <c r="A722" s="196"/>
      <c r="B722" s="47" t="s">
        <v>407</v>
      </c>
      <c r="K722" s="120" t="s">
        <v>508</v>
      </c>
      <c r="L722" s="656" t="s">
        <v>7</v>
      </c>
      <c r="M722" s="657"/>
      <c r="N722" s="204" t="s">
        <v>344</v>
      </c>
      <c r="V722" s="197"/>
    </row>
    <row r="723" spans="1:29" ht="18" hidden="1" customHeight="1">
      <c r="A723" s="196"/>
      <c r="B723" s="47" t="s">
        <v>409</v>
      </c>
      <c r="K723" s="120" t="s">
        <v>509</v>
      </c>
      <c r="L723" s="656" t="s">
        <v>7</v>
      </c>
      <c r="M723" s="657"/>
      <c r="N723" s="14" t="s">
        <v>316</v>
      </c>
      <c r="V723" s="197"/>
      <c r="W723" s="30" t="s">
        <v>411</v>
      </c>
      <c r="AB723" s="996" t="e">
        <f>Q812</f>
        <v>#VALUE!</v>
      </c>
      <c r="AC723" s="997"/>
    </row>
    <row r="724" spans="1:29" ht="18" hidden="1" customHeight="1">
      <c r="A724" s="196"/>
      <c r="B724" s="14" t="s">
        <v>412</v>
      </c>
      <c r="K724" s="120" t="s">
        <v>413</v>
      </c>
      <c r="L724" s="656" t="s">
        <v>7</v>
      </c>
      <c r="M724" s="657"/>
      <c r="N724" s="14" t="s">
        <v>414</v>
      </c>
      <c r="V724" s="197"/>
    </row>
    <row r="725" spans="1:29" ht="18" hidden="1" customHeight="1">
      <c r="A725" s="196"/>
      <c r="V725" s="197"/>
    </row>
    <row r="726" spans="1:29" ht="18" hidden="1" customHeight="1">
      <c r="A726" s="205" t="s">
        <v>415</v>
      </c>
      <c r="V726" s="197"/>
    </row>
    <row r="727" spans="1:29" ht="18" hidden="1" customHeight="1">
      <c r="A727" s="196"/>
      <c r="V727" s="197"/>
    </row>
    <row r="728" spans="1:29" ht="18" hidden="1" customHeight="1">
      <c r="A728" s="196"/>
      <c r="B728" s="206" t="s">
        <v>416</v>
      </c>
      <c r="C728" s="207"/>
      <c r="D728" s="207" t="str">
        <f>T717</f>
        <v>RET670</v>
      </c>
      <c r="E728" s="208"/>
      <c r="F728" s="208"/>
      <c r="G728" s="208"/>
      <c r="H728" s="194" t="s">
        <v>417</v>
      </c>
      <c r="I728" s="195" t="s">
        <v>138</v>
      </c>
      <c r="J728" s="1095">
        <f>J596</f>
        <v>0.02</v>
      </c>
      <c r="K728" s="1079"/>
      <c r="L728" s="3" t="s">
        <v>168</v>
      </c>
      <c r="N728" s="209" t="s">
        <v>418</v>
      </c>
      <c r="V728" s="197"/>
    </row>
    <row r="729" spans="1:29" s="14" customFormat="1" ht="18" hidden="1" customHeight="1">
      <c r="A729" s="196"/>
      <c r="B729" s="96" t="s">
        <v>416</v>
      </c>
      <c r="C729" s="30"/>
      <c r="D729" s="30">
        <f>T718</f>
        <v>0</v>
      </c>
      <c r="E729" s="30"/>
      <c r="F729" s="30"/>
      <c r="G729" s="30"/>
      <c r="H729" s="27"/>
      <c r="I729" s="189"/>
      <c r="J729" s="1097">
        <f>J597</f>
        <v>0</v>
      </c>
      <c r="K729" s="1098"/>
      <c r="L729" s="210" t="s">
        <v>168</v>
      </c>
      <c r="M729" s="30"/>
      <c r="N729" s="30"/>
      <c r="O729" s="30"/>
      <c r="P729" s="30"/>
      <c r="Q729" s="30"/>
      <c r="R729" s="30"/>
      <c r="S729" s="30"/>
      <c r="T729" s="30"/>
      <c r="U729" s="30"/>
      <c r="V729" s="197"/>
    </row>
    <row r="730" spans="1:29" s="14" customFormat="1" ht="18" hidden="1" customHeight="1">
      <c r="A730" s="196"/>
      <c r="B730" s="96" t="s">
        <v>416</v>
      </c>
      <c r="C730" s="30"/>
      <c r="D730" s="30">
        <f>T719</f>
        <v>0</v>
      </c>
      <c r="F730" s="30"/>
      <c r="G730" s="211"/>
      <c r="H730" s="27"/>
      <c r="I730" s="101"/>
      <c r="J730" s="644">
        <f>J598</f>
        <v>0</v>
      </c>
      <c r="K730" s="645"/>
      <c r="L730" s="214" t="s">
        <v>168</v>
      </c>
      <c r="M730" s="30"/>
      <c r="N730" s="30" t="s">
        <v>419</v>
      </c>
      <c r="O730" s="27" t="s">
        <v>138</v>
      </c>
      <c r="P730" s="30" t="s">
        <v>420</v>
      </c>
      <c r="Q730" s="203" t="s">
        <v>421</v>
      </c>
      <c r="R730" s="256" t="s">
        <v>422</v>
      </c>
      <c r="S730" s="27" t="s">
        <v>326</v>
      </c>
      <c r="T730" s="30" t="s">
        <v>422</v>
      </c>
      <c r="U730" s="30" t="s">
        <v>361</v>
      </c>
      <c r="V730" s="197"/>
    </row>
    <row r="731" spans="1:29" s="14" customFormat="1" ht="18" hidden="1" customHeight="1">
      <c r="A731" s="196"/>
      <c r="B731" s="196" t="s">
        <v>423</v>
      </c>
      <c r="C731" s="30"/>
      <c r="D731" s="30"/>
      <c r="E731" s="30"/>
      <c r="F731" s="30"/>
      <c r="G731" s="30"/>
      <c r="H731" s="27" t="s">
        <v>610</v>
      </c>
      <c r="I731" s="189" t="s">
        <v>138</v>
      </c>
      <c r="J731" s="1097">
        <f>J599</f>
        <v>1.44186744</v>
      </c>
      <c r="K731" s="1098"/>
      <c r="L731" s="215" t="s">
        <v>168</v>
      </c>
      <c r="M731" s="30"/>
      <c r="N731" s="30"/>
      <c r="O731" s="27" t="s">
        <v>138</v>
      </c>
      <c r="P731" s="216">
        <f>J732</f>
        <v>1.44186744</v>
      </c>
      <c r="Q731" s="203" t="s">
        <v>421</v>
      </c>
      <c r="R731" s="27">
        <f>O720</f>
        <v>1</v>
      </c>
      <c r="S731" s="27" t="s">
        <v>326</v>
      </c>
      <c r="T731" s="27">
        <f>O720</f>
        <v>1</v>
      </c>
      <c r="U731" s="30" t="s">
        <v>361</v>
      </c>
      <c r="V731" s="197"/>
    </row>
    <row r="732" spans="1:29" s="14" customFormat="1" ht="18" hidden="1" customHeight="1">
      <c r="A732" s="196"/>
      <c r="B732" s="217" t="s">
        <v>424</v>
      </c>
      <c r="C732" s="218"/>
      <c r="D732" s="218"/>
      <c r="E732" s="218"/>
      <c r="F732" s="219"/>
      <c r="G732" s="219"/>
      <c r="H732" s="202" t="s">
        <v>420</v>
      </c>
      <c r="I732" s="220" t="s">
        <v>138</v>
      </c>
      <c r="J732" s="1095">
        <f>J729+J731</f>
        <v>1.44186744</v>
      </c>
      <c r="K732" s="1079"/>
      <c r="L732" s="222" t="s">
        <v>168</v>
      </c>
      <c r="M732" s="30"/>
      <c r="N732" s="30"/>
      <c r="O732" s="27" t="s">
        <v>138</v>
      </c>
      <c r="P732" s="637">
        <f>P731/(R731*T731)</f>
        <v>1.44186744</v>
      </c>
      <c r="Q732" s="637"/>
      <c r="R732" s="204" t="s">
        <v>344</v>
      </c>
      <c r="S732" s="30"/>
      <c r="T732" s="30"/>
      <c r="U732" s="30"/>
      <c r="V732" s="197"/>
    </row>
    <row r="733" spans="1:29" s="14" customFormat="1" ht="18" hidden="1" customHeight="1">
      <c r="A733" s="196"/>
      <c r="B733" s="30"/>
      <c r="C733" s="30"/>
      <c r="D733" s="30"/>
      <c r="E733" s="30"/>
      <c r="F733" s="30"/>
      <c r="G733" s="30"/>
      <c r="H733" s="30"/>
      <c r="I733" s="30"/>
      <c r="J733" s="30"/>
      <c r="K733" s="30"/>
      <c r="L733" s="30"/>
      <c r="M733" s="30"/>
      <c r="N733" s="30"/>
      <c r="O733" s="30"/>
      <c r="P733" s="30"/>
      <c r="Q733" s="30"/>
      <c r="R733" s="30"/>
      <c r="S733" s="30"/>
      <c r="T733" s="30"/>
      <c r="U733" s="30"/>
      <c r="V733" s="197"/>
    </row>
    <row r="734" spans="1:29" s="14" customFormat="1" ht="18" hidden="1" customHeight="1">
      <c r="A734" s="205" t="s">
        <v>611</v>
      </c>
      <c r="B734" s="5"/>
      <c r="C734" s="5"/>
      <c r="D734" s="5"/>
      <c r="E734" s="5"/>
      <c r="F734" s="5"/>
      <c r="G734" s="5"/>
      <c r="H734" s="224"/>
      <c r="I734" s="224"/>
      <c r="J734" s="5"/>
      <c r="K734" s="5"/>
      <c r="L734" s="5"/>
      <c r="M734" s="5"/>
      <c r="N734" s="5"/>
      <c r="O734" s="5"/>
      <c r="P734" s="103"/>
      <c r="Q734" s="224"/>
      <c r="R734" s="225"/>
      <c r="S734" s="226"/>
      <c r="T734" s="18"/>
      <c r="U734" s="18"/>
      <c r="V734" s="97"/>
    </row>
    <row r="735" spans="1:29" s="14" customFormat="1" ht="18" hidden="1" customHeight="1">
      <c r="A735" s="96"/>
      <c r="B735" s="47" t="s">
        <v>612</v>
      </c>
      <c r="C735" s="5"/>
      <c r="D735" s="5"/>
      <c r="E735" s="5"/>
      <c r="I735" s="227"/>
      <c r="M735" s="5"/>
      <c r="O735" s="103" t="s">
        <v>138</v>
      </c>
      <c r="P735" s="660">
        <f>P603</f>
        <v>100</v>
      </c>
      <c r="Q735" s="1096"/>
      <c r="R735" s="14" t="s">
        <v>613</v>
      </c>
      <c r="S735" s="226"/>
      <c r="T735" s="18"/>
      <c r="U735" s="18"/>
      <c r="V735" s="97"/>
    </row>
    <row r="736" spans="1:29" s="14" customFormat="1" ht="18" hidden="1" customHeight="1">
      <c r="A736" s="96"/>
      <c r="B736" s="47" t="s">
        <v>614</v>
      </c>
      <c r="C736" s="5"/>
      <c r="D736" s="5"/>
      <c r="E736" s="5"/>
      <c r="I736" s="227"/>
      <c r="M736" s="5"/>
      <c r="O736" s="103" t="s">
        <v>138</v>
      </c>
      <c r="P736" s="660">
        <f>P604</f>
        <v>25</v>
      </c>
      <c r="Q736" s="1096"/>
      <c r="R736" s="14" t="s">
        <v>615</v>
      </c>
      <c r="S736" s="226"/>
      <c r="T736" s="18"/>
      <c r="U736" s="18"/>
      <c r="V736" s="97"/>
    </row>
    <row r="737" spans="1:22" s="14" customFormat="1" ht="18" hidden="1" customHeight="1">
      <c r="A737" s="96"/>
      <c r="B737" s="47" t="s">
        <v>616</v>
      </c>
      <c r="C737" s="5"/>
      <c r="D737" s="5"/>
      <c r="E737" s="5"/>
      <c r="N737" s="120" t="s">
        <v>617</v>
      </c>
      <c r="O737" s="103" t="s">
        <v>618</v>
      </c>
      <c r="P737" s="650">
        <f>P605</f>
        <v>132</v>
      </c>
      <c r="Q737" s="1080"/>
      <c r="R737" s="14" t="s">
        <v>174</v>
      </c>
      <c r="S737" s="226"/>
      <c r="T737" s="18"/>
      <c r="U737" s="18"/>
      <c r="V737" s="97"/>
    </row>
    <row r="738" spans="1:22" s="14" customFormat="1" ht="18" hidden="1" customHeight="1">
      <c r="A738" s="228"/>
      <c r="B738" s="224"/>
      <c r="C738" s="224"/>
      <c r="D738" s="224"/>
      <c r="E738" s="224"/>
      <c r="T738" s="18"/>
      <c r="U738" s="18"/>
      <c r="V738" s="97"/>
    </row>
    <row r="739" spans="1:22" s="14" customFormat="1" ht="18" hidden="1" customHeight="1">
      <c r="A739" s="96"/>
      <c r="B739" s="14" t="s">
        <v>619</v>
      </c>
      <c r="C739" s="225"/>
      <c r="D739" s="225"/>
      <c r="E739" s="225"/>
      <c r="H739" s="120" t="s">
        <v>620</v>
      </c>
      <c r="I739" s="28" t="s">
        <v>138</v>
      </c>
      <c r="J739" s="638" t="s">
        <v>621</v>
      </c>
      <c r="K739" s="638"/>
      <c r="L739" s="28" t="s">
        <v>326</v>
      </c>
      <c r="M739" s="229">
        <v>1000</v>
      </c>
      <c r="N739" s="102" t="s">
        <v>353</v>
      </c>
      <c r="O739" s="28" t="s">
        <v>622</v>
      </c>
      <c r="P739" s="28" t="s">
        <v>326</v>
      </c>
      <c r="Q739" s="28" t="s">
        <v>617</v>
      </c>
      <c r="R739" s="47"/>
      <c r="T739" s="18"/>
      <c r="U739" s="18"/>
      <c r="V739" s="97"/>
    </row>
    <row r="740" spans="1:22" ht="18" hidden="1" customHeight="1">
      <c r="A740" s="228"/>
      <c r="B740" s="225"/>
      <c r="C740" s="225"/>
      <c r="D740" s="225"/>
      <c r="E740" s="225"/>
      <c r="F740" s="224"/>
      <c r="G740" s="224"/>
      <c r="H740" s="28"/>
      <c r="I740" s="28" t="s">
        <v>138</v>
      </c>
      <c r="J740" s="638">
        <f>P735</f>
        <v>100</v>
      </c>
      <c r="K740" s="638"/>
      <c r="L740" s="28" t="s">
        <v>326</v>
      </c>
      <c r="M740" s="229">
        <v>1000</v>
      </c>
      <c r="N740" s="102" t="s">
        <v>353</v>
      </c>
      <c r="O740" s="28" t="s">
        <v>622</v>
      </c>
      <c r="P740" s="28" t="s">
        <v>326</v>
      </c>
      <c r="Q740" s="28">
        <f>P737</f>
        <v>132</v>
      </c>
      <c r="R740" s="47"/>
      <c r="S740" s="14"/>
      <c r="T740" s="18"/>
      <c r="U740" s="18"/>
      <c r="V740" s="97"/>
    </row>
    <row r="741" spans="1:22" ht="18" hidden="1" customHeight="1">
      <c r="A741" s="228"/>
      <c r="B741" s="224"/>
      <c r="C741" s="224"/>
      <c r="D741" s="224"/>
      <c r="E741" s="224"/>
      <c r="F741" s="224"/>
      <c r="G741" s="224"/>
      <c r="H741" s="14"/>
      <c r="I741" s="28" t="s">
        <v>138</v>
      </c>
      <c r="J741" s="641">
        <f>(P735*1000)/(SQRT(3)*P737)</f>
        <v>437.38656756789834</v>
      </c>
      <c r="K741" s="641"/>
      <c r="L741" s="14" t="s">
        <v>9</v>
      </c>
      <c r="M741" s="120"/>
      <c r="N741" s="120"/>
      <c r="O741" s="120"/>
      <c r="P741" s="14"/>
      <c r="Q741" s="14"/>
      <c r="R741" s="14"/>
      <c r="S741" s="14"/>
      <c r="T741" s="18"/>
      <c r="U741" s="18"/>
      <c r="V741" s="97"/>
    </row>
    <row r="742" spans="1:22" ht="18" hidden="1" customHeight="1">
      <c r="A742" s="228"/>
      <c r="B742" s="224"/>
      <c r="C742" s="224"/>
      <c r="D742" s="224"/>
      <c r="E742" s="224"/>
      <c r="F742" s="14"/>
      <c r="G742" s="224"/>
      <c r="H742" s="28"/>
      <c r="I742" s="103"/>
      <c r="J742" s="28"/>
      <c r="K742" s="14"/>
      <c r="L742" s="14"/>
      <c r="M742" s="224"/>
      <c r="N742" s="231"/>
      <c r="O742" s="224"/>
      <c r="P742" s="14"/>
      <c r="Q742" s="14"/>
      <c r="R742" s="14"/>
      <c r="S742" s="14"/>
      <c r="T742" s="18"/>
      <c r="U742" s="18"/>
      <c r="V742" s="97"/>
    </row>
    <row r="743" spans="1:22" ht="18" hidden="1" customHeight="1">
      <c r="A743" s="159" t="s">
        <v>640</v>
      </c>
      <c r="B743" s="5"/>
      <c r="C743" s="5"/>
      <c r="D743" s="5"/>
      <c r="E743" s="5"/>
      <c r="F743" s="224"/>
      <c r="G743" s="224"/>
      <c r="H743" s="5"/>
      <c r="I743" s="5"/>
      <c r="J743" s="5"/>
      <c r="K743" s="5"/>
      <c r="L743" s="103"/>
      <c r="M743" s="103"/>
      <c r="N743" s="103"/>
      <c r="O743" s="103"/>
      <c r="P743" s="224"/>
      <c r="Q743" s="225"/>
      <c r="R743" s="14"/>
      <c r="S743" s="232"/>
      <c r="T743" s="18"/>
      <c r="U743" s="18"/>
      <c r="V743" s="97"/>
    </row>
    <row r="744" spans="1:22" ht="18" hidden="1" customHeight="1">
      <c r="A744" s="159"/>
      <c r="B744" s="5"/>
      <c r="C744" s="5"/>
      <c r="D744" s="5"/>
      <c r="E744" s="5"/>
      <c r="F744" s="224"/>
      <c r="G744" s="224"/>
      <c r="H744" s="5"/>
      <c r="I744" s="5"/>
      <c r="J744" s="5"/>
      <c r="K744" s="5"/>
      <c r="L744" s="103"/>
      <c r="M744" s="103"/>
      <c r="N744" s="103"/>
      <c r="O744" s="103"/>
      <c r="P744" s="224"/>
      <c r="Q744" s="225"/>
      <c r="R744" s="14"/>
      <c r="S744" s="226"/>
      <c r="T744" s="18"/>
      <c r="U744" s="18"/>
      <c r="V744" s="97"/>
    </row>
    <row r="745" spans="1:22" ht="18" hidden="1" customHeight="1">
      <c r="A745" s="196"/>
      <c r="B745" s="14" t="s">
        <v>623</v>
      </c>
      <c r="C745" s="14"/>
      <c r="D745" s="14"/>
      <c r="E745" s="14"/>
      <c r="M745" s="120" t="s">
        <v>624</v>
      </c>
      <c r="N745" s="28" t="s">
        <v>138</v>
      </c>
      <c r="O745" s="638" t="s">
        <v>620</v>
      </c>
      <c r="P745" s="920"/>
      <c r="Q745" s="233" t="s">
        <v>641</v>
      </c>
      <c r="R745" s="233">
        <v>16</v>
      </c>
      <c r="S745" s="226"/>
      <c r="V745" s="197"/>
    </row>
    <row r="746" spans="1:22" ht="18" hidden="1" customHeight="1">
      <c r="A746" s="96"/>
      <c r="B746" s="5"/>
      <c r="C746" s="5"/>
      <c r="D746" s="5"/>
      <c r="E746" s="5"/>
      <c r="M746" s="262"/>
      <c r="N746" s="28" t="s">
        <v>138</v>
      </c>
      <c r="O746" s="638">
        <f>+J741</f>
        <v>437.38656756789834</v>
      </c>
      <c r="P746" s="920"/>
      <c r="Q746" s="233" t="s">
        <v>641</v>
      </c>
      <c r="R746" s="233">
        <v>16</v>
      </c>
      <c r="S746" s="226"/>
      <c r="V746" s="197"/>
    </row>
    <row r="747" spans="1:22" ht="18" hidden="1" customHeight="1">
      <c r="A747" s="96"/>
      <c r="B747" s="5"/>
      <c r="C747" s="5"/>
      <c r="D747" s="5"/>
      <c r="E747" s="5"/>
      <c r="M747" s="120" t="s">
        <v>624</v>
      </c>
      <c r="N747" s="28" t="s">
        <v>138</v>
      </c>
      <c r="O747" s="638">
        <f>O746*R746</f>
        <v>6998.1850810863734</v>
      </c>
      <c r="P747" s="920"/>
      <c r="Q747" s="253" t="s">
        <v>9</v>
      </c>
      <c r="R747" s="14"/>
      <c r="S747" s="226"/>
      <c r="V747" s="197"/>
    </row>
    <row r="748" spans="1:22" ht="18" hidden="1" customHeight="1">
      <c r="A748" s="96"/>
      <c r="B748" s="5"/>
      <c r="C748" s="5"/>
      <c r="D748" s="5"/>
      <c r="E748" s="5"/>
      <c r="M748" s="224"/>
      <c r="N748" s="224"/>
      <c r="O748" s="103"/>
      <c r="Q748" s="235"/>
      <c r="R748" s="14"/>
      <c r="S748" s="226"/>
      <c r="V748" s="197"/>
    </row>
    <row r="749" spans="1:22" s="14" customFormat="1" ht="18" hidden="1" customHeight="1">
      <c r="A749" s="1002" t="s">
        <v>644</v>
      </c>
      <c r="B749" s="965"/>
      <c r="C749" s="965"/>
      <c r="D749" s="965"/>
      <c r="E749" s="965"/>
      <c r="F749" s="965"/>
      <c r="G749" s="965"/>
      <c r="H749" s="965"/>
      <c r="I749" s="965"/>
      <c r="J749" s="965"/>
      <c r="K749" s="965"/>
      <c r="L749" s="965"/>
      <c r="M749" s="965"/>
      <c r="N749" s="965"/>
      <c r="O749" s="965"/>
      <c r="P749" s="965"/>
      <c r="Q749" s="965"/>
      <c r="R749" s="965"/>
      <c r="S749" s="965"/>
      <c r="T749" s="965"/>
      <c r="U749" s="965"/>
      <c r="V749" s="966"/>
    </row>
    <row r="750" spans="1:22" ht="18" hidden="1" customHeight="1">
      <c r="A750" s="967"/>
      <c r="B750" s="965"/>
      <c r="C750" s="965"/>
      <c r="D750" s="965"/>
      <c r="E750" s="965"/>
      <c r="F750" s="965"/>
      <c r="G750" s="965"/>
      <c r="H750" s="965"/>
      <c r="I750" s="965"/>
      <c r="J750" s="965"/>
      <c r="K750" s="965"/>
      <c r="L750" s="965"/>
      <c r="M750" s="965"/>
      <c r="N750" s="965"/>
      <c r="O750" s="965"/>
      <c r="P750" s="965"/>
      <c r="Q750" s="965"/>
      <c r="R750" s="965"/>
      <c r="S750" s="965"/>
      <c r="T750" s="965"/>
      <c r="U750" s="965"/>
      <c r="V750" s="966"/>
    </row>
    <row r="751" spans="1:22" ht="18" hidden="1" customHeight="1">
      <c r="A751" s="243"/>
      <c r="B751" s="244"/>
      <c r="C751" s="244"/>
      <c r="D751" s="244"/>
      <c r="E751" s="244"/>
      <c r="F751" s="244"/>
      <c r="G751" s="244"/>
      <c r="H751" s="244"/>
      <c r="I751" s="244"/>
      <c r="J751" s="244"/>
      <c r="K751" s="244"/>
      <c r="L751" s="244"/>
      <c r="M751" s="244"/>
      <c r="N751" s="244"/>
      <c r="O751" s="244"/>
      <c r="P751" s="244"/>
      <c r="Q751" s="244"/>
      <c r="R751" s="244"/>
      <c r="S751" s="244"/>
      <c r="T751" s="244"/>
      <c r="U751" s="244"/>
      <c r="V751" s="245"/>
    </row>
    <row r="752" spans="1:22" ht="18" hidden="1" customHeight="1">
      <c r="A752" s="243"/>
      <c r="B752" s="244"/>
      <c r="C752" s="244"/>
      <c r="D752" s="244"/>
      <c r="E752" s="244"/>
      <c r="F752" s="244"/>
      <c r="G752" s="244"/>
      <c r="H752" s="244"/>
      <c r="I752" s="244"/>
      <c r="J752" s="244"/>
      <c r="K752" s="244"/>
      <c r="L752" s="244"/>
      <c r="M752" s="244"/>
      <c r="N752" s="244"/>
      <c r="O752" s="244"/>
      <c r="P752" s="244"/>
      <c r="Q752" s="244"/>
      <c r="R752" s="244"/>
      <c r="S752" s="244"/>
      <c r="T752" s="244"/>
      <c r="U752" s="244"/>
      <c r="V752" s="245"/>
    </row>
    <row r="753" spans="1:22" ht="18" hidden="1" customHeight="1">
      <c r="A753" s="243"/>
      <c r="B753" s="244"/>
      <c r="C753" s="244"/>
      <c r="D753" s="244"/>
      <c r="E753" s="244"/>
      <c r="F753" s="244"/>
      <c r="G753" s="244"/>
      <c r="H753" s="244"/>
      <c r="I753" s="244"/>
      <c r="J753" s="244"/>
      <c r="K753" s="244"/>
      <c r="L753" s="244"/>
      <c r="M753" s="244"/>
      <c r="N753" s="244"/>
      <c r="O753" s="244"/>
      <c r="P753" s="244"/>
      <c r="Q753" s="244"/>
      <c r="R753" s="244"/>
      <c r="S753" s="244"/>
      <c r="T753" s="244"/>
      <c r="U753" s="244"/>
      <c r="V753" s="245"/>
    </row>
    <row r="754" spans="1:22" ht="18" hidden="1" customHeight="1">
      <c r="A754" s="243"/>
      <c r="B754" s="244"/>
      <c r="C754" s="244"/>
      <c r="D754" s="244"/>
      <c r="E754" s="244"/>
      <c r="F754" s="244"/>
      <c r="G754" s="244"/>
      <c r="H754" s="244"/>
      <c r="I754" s="244"/>
      <c r="J754" s="244"/>
      <c r="K754" s="244"/>
      <c r="L754" s="244"/>
      <c r="M754" s="244"/>
      <c r="N754" s="244"/>
      <c r="O754" s="244"/>
      <c r="P754" s="244"/>
      <c r="Q754" s="244"/>
      <c r="R754" s="244"/>
      <c r="S754" s="244"/>
      <c r="T754" s="244"/>
      <c r="U754" s="244"/>
      <c r="V754" s="245"/>
    </row>
    <row r="755" spans="1:22" ht="18" hidden="1" customHeight="1">
      <c r="A755" s="243"/>
      <c r="B755" s="244"/>
      <c r="C755" s="244"/>
      <c r="D755" s="244"/>
      <c r="E755" s="244"/>
      <c r="F755" s="244"/>
      <c r="G755" s="244"/>
      <c r="H755" s="244"/>
      <c r="I755" s="244"/>
      <c r="J755" s="244"/>
      <c r="K755" s="244"/>
      <c r="L755" s="244"/>
      <c r="M755" s="244"/>
      <c r="N755" s="244"/>
      <c r="O755" s="244"/>
      <c r="P755" s="244"/>
      <c r="Q755" s="244"/>
      <c r="R755" s="244"/>
      <c r="S755" s="244"/>
      <c r="T755" s="244"/>
      <c r="U755" s="244"/>
      <c r="V755" s="245"/>
    </row>
    <row r="756" spans="1:22" ht="18" hidden="1" customHeight="1">
      <c r="A756" s="96"/>
      <c r="B756" s="5"/>
      <c r="C756" s="5"/>
      <c r="D756" s="5"/>
      <c r="E756" s="5"/>
      <c r="M756" s="224"/>
      <c r="N756" s="224"/>
      <c r="O756" s="103"/>
      <c r="Q756" s="235"/>
      <c r="R756" s="14"/>
      <c r="S756" s="226"/>
      <c r="V756" s="197"/>
    </row>
    <row r="757" spans="1:22" ht="18" hidden="1" customHeight="1">
      <c r="A757" s="196"/>
      <c r="V757" s="197"/>
    </row>
    <row r="758" spans="1:22" ht="18" hidden="1" customHeight="1">
      <c r="A758" s="196"/>
      <c r="V758" s="197"/>
    </row>
    <row r="759" spans="1:22" ht="18" hidden="1" customHeight="1">
      <c r="A759" s="206"/>
      <c r="B759" s="207"/>
      <c r="C759" s="207"/>
      <c r="D759" s="207"/>
      <c r="E759" s="207"/>
      <c r="F759" s="207"/>
      <c r="G759" s="207"/>
      <c r="H759" s="207"/>
      <c r="I759" s="207"/>
      <c r="J759" s="207"/>
      <c r="K759" s="207"/>
      <c r="L759" s="207"/>
      <c r="M759" s="207"/>
      <c r="N759" s="207"/>
      <c r="O759" s="207"/>
      <c r="P759" s="207"/>
      <c r="Q759" s="236"/>
      <c r="R759" s="194"/>
      <c r="S759" s="237"/>
      <c r="T759" s="207"/>
      <c r="U759" s="207"/>
      <c r="V759" s="140"/>
    </row>
    <row r="760" spans="1:22" ht="18" hidden="1" customHeight="1">
      <c r="A760" s="238"/>
      <c r="B760" s="239"/>
      <c r="C760" s="239"/>
      <c r="D760" s="239"/>
      <c r="E760" s="239"/>
      <c r="F760" s="239"/>
      <c r="G760" s="239"/>
      <c r="H760" s="239"/>
      <c r="I760" s="239"/>
      <c r="J760" s="239"/>
      <c r="K760" s="239"/>
      <c r="L760" s="239"/>
      <c r="M760" s="239"/>
      <c r="N760" s="239"/>
      <c r="O760" s="239"/>
      <c r="P760" s="239"/>
      <c r="Q760" s="239"/>
      <c r="R760" s="239"/>
      <c r="S760" s="239"/>
      <c r="T760" s="239"/>
      <c r="U760" s="239"/>
      <c r="V760" s="240"/>
    </row>
    <row r="761" spans="1:22" ht="18" hidden="1" customHeight="1">
      <c r="A761" s="1006" t="s">
        <v>428</v>
      </c>
      <c r="B761" s="1008"/>
      <c r="C761" s="1008"/>
      <c r="D761" s="638">
        <v>30</v>
      </c>
      <c r="E761" s="638" t="s">
        <v>326</v>
      </c>
      <c r="F761" s="638" t="s">
        <v>620</v>
      </c>
      <c r="G761" s="639"/>
      <c r="H761" s="638" t="s">
        <v>326</v>
      </c>
      <c r="I761" s="661" t="s">
        <v>422</v>
      </c>
      <c r="J761" s="1068"/>
      <c r="K761" s="638" t="s">
        <v>326</v>
      </c>
      <c r="L761" s="1008" t="s">
        <v>430</v>
      </c>
      <c r="M761" s="920" t="s">
        <v>431</v>
      </c>
      <c r="N761" s="958" t="s">
        <v>358</v>
      </c>
      <c r="O761" s="920" t="s">
        <v>419</v>
      </c>
      <c r="P761" s="638" t="s">
        <v>358</v>
      </c>
      <c r="Q761" s="953" t="s">
        <v>432</v>
      </c>
      <c r="R761" s="1005"/>
      <c r="S761" s="1005"/>
      <c r="T761" s="952" t="s">
        <v>361</v>
      </c>
      <c r="U761" s="242" t="s">
        <v>433</v>
      </c>
      <c r="V761" s="97"/>
    </row>
    <row r="762" spans="1:22" ht="18" hidden="1" customHeight="1">
      <c r="A762" s="1067"/>
      <c r="B762" s="1008"/>
      <c r="C762" s="1008"/>
      <c r="D762" s="638"/>
      <c r="E762" s="638"/>
      <c r="F762" s="639"/>
      <c r="G762" s="639"/>
      <c r="H762" s="638"/>
      <c r="I762" s="638" t="s">
        <v>434</v>
      </c>
      <c r="J762" s="985"/>
      <c r="K762" s="638"/>
      <c r="L762" s="1008"/>
      <c r="M762" s="920"/>
      <c r="N762" s="958"/>
      <c r="O762" s="920"/>
      <c r="P762" s="638"/>
      <c r="Q762" s="28" t="s">
        <v>157</v>
      </c>
      <c r="R762" s="28" t="s">
        <v>326</v>
      </c>
      <c r="S762" s="28" t="s">
        <v>157</v>
      </c>
      <c r="T762" s="952"/>
      <c r="U762" s="14"/>
      <c r="V762" s="97"/>
    </row>
    <row r="763" spans="1:22" ht="18" hidden="1" customHeight="1">
      <c r="A763" s="196"/>
      <c r="V763" s="197"/>
    </row>
    <row r="764" spans="1:22" ht="18" hidden="1" customHeight="1">
      <c r="A764" s="1006" t="s">
        <v>428</v>
      </c>
      <c r="B764" s="1008"/>
      <c r="C764" s="1008"/>
      <c r="D764" s="638">
        <v>2</v>
      </c>
      <c r="E764" s="638" t="s">
        <v>326</v>
      </c>
      <c r="F764" s="638" t="s">
        <v>624</v>
      </c>
      <c r="G764" s="639"/>
      <c r="H764" s="638" t="s">
        <v>326</v>
      </c>
      <c r="I764" s="661" t="s">
        <v>422</v>
      </c>
      <c r="J764" s="1068"/>
      <c r="K764" s="638" t="s">
        <v>326</v>
      </c>
      <c r="L764" s="1008" t="s">
        <v>430</v>
      </c>
      <c r="M764" s="920" t="s">
        <v>431</v>
      </c>
      <c r="N764" s="958" t="s">
        <v>358</v>
      </c>
      <c r="O764" s="920" t="s">
        <v>419</v>
      </c>
      <c r="P764" s="638" t="s">
        <v>358</v>
      </c>
      <c r="Q764" s="953" t="s">
        <v>432</v>
      </c>
      <c r="R764" s="1005"/>
      <c r="S764" s="1005"/>
      <c r="T764" s="952" t="s">
        <v>361</v>
      </c>
      <c r="U764" s="242" t="s">
        <v>437</v>
      </c>
      <c r="V764" s="97"/>
    </row>
    <row r="765" spans="1:22" ht="18" hidden="1" customHeight="1">
      <c r="A765" s="1067"/>
      <c r="B765" s="1008"/>
      <c r="C765" s="1008"/>
      <c r="D765" s="638"/>
      <c r="E765" s="638"/>
      <c r="F765" s="639"/>
      <c r="G765" s="639"/>
      <c r="H765" s="638"/>
      <c r="I765" s="638" t="s">
        <v>434</v>
      </c>
      <c r="J765" s="985"/>
      <c r="K765" s="638"/>
      <c r="L765" s="1008"/>
      <c r="M765" s="920"/>
      <c r="N765" s="958"/>
      <c r="O765" s="920"/>
      <c r="P765" s="638"/>
      <c r="Q765" s="28" t="s">
        <v>157</v>
      </c>
      <c r="R765" s="28" t="s">
        <v>326</v>
      </c>
      <c r="S765" s="28" t="s">
        <v>157</v>
      </c>
      <c r="T765" s="952"/>
      <c r="U765" s="14"/>
      <c r="V765" s="97"/>
    </row>
    <row r="766" spans="1:22" ht="18" hidden="1" customHeight="1">
      <c r="A766" s="196"/>
      <c r="V766" s="197"/>
    </row>
    <row r="767" spans="1:22" ht="18" hidden="1" customHeight="1">
      <c r="A767" s="1002" t="s">
        <v>627</v>
      </c>
      <c r="B767" s="965"/>
      <c r="C767" s="965"/>
      <c r="D767" s="965"/>
      <c r="E767" s="965"/>
      <c r="F767" s="965"/>
      <c r="G767" s="965"/>
      <c r="H767" s="965"/>
      <c r="I767" s="965"/>
      <c r="J767" s="965"/>
      <c r="K767" s="965"/>
      <c r="L767" s="965"/>
      <c r="M767" s="965"/>
      <c r="N767" s="965"/>
      <c r="O767" s="965"/>
      <c r="P767" s="965"/>
      <c r="Q767" s="965"/>
      <c r="R767" s="965"/>
      <c r="S767" s="965"/>
      <c r="T767" s="965"/>
      <c r="U767" s="965"/>
      <c r="V767" s="966"/>
    </row>
    <row r="768" spans="1:22" ht="18" hidden="1" customHeight="1">
      <c r="A768" s="967"/>
      <c r="B768" s="965"/>
      <c r="C768" s="965"/>
      <c r="D768" s="965"/>
      <c r="E768" s="965"/>
      <c r="F768" s="965"/>
      <c r="G768" s="965"/>
      <c r="H768" s="965"/>
      <c r="I768" s="965"/>
      <c r="J768" s="965"/>
      <c r="K768" s="965"/>
      <c r="L768" s="965"/>
      <c r="M768" s="965"/>
      <c r="N768" s="965"/>
      <c r="O768" s="965"/>
      <c r="P768" s="965"/>
      <c r="Q768" s="965"/>
      <c r="R768" s="965"/>
      <c r="S768" s="965"/>
      <c r="T768" s="965"/>
      <c r="U768" s="965"/>
      <c r="V768" s="966"/>
    </row>
    <row r="769" spans="1:22" ht="18" hidden="1" customHeight="1">
      <c r="A769" s="243"/>
      <c r="B769" s="244"/>
      <c r="C769" s="244"/>
      <c r="D769" s="244"/>
      <c r="E769" s="244"/>
      <c r="F769" s="244"/>
      <c r="G769" s="244"/>
      <c r="H769" s="244"/>
      <c r="I769" s="244"/>
      <c r="J769" s="244"/>
      <c r="K769" s="244"/>
      <c r="L769" s="244"/>
      <c r="M769" s="244"/>
      <c r="N769" s="244"/>
      <c r="O769" s="244"/>
      <c r="P769" s="244"/>
      <c r="Q769" s="244"/>
      <c r="R769" s="244"/>
      <c r="S769" s="244"/>
      <c r="T769" s="244"/>
      <c r="U769" s="244"/>
      <c r="V769" s="245"/>
    </row>
    <row r="770" spans="1:22" ht="18" hidden="1" customHeight="1">
      <c r="A770" s="1006" t="s">
        <v>428</v>
      </c>
      <c r="B770" s="1008"/>
      <c r="C770" s="1008"/>
      <c r="D770" s="638"/>
      <c r="E770" s="638"/>
      <c r="F770" s="638" t="s">
        <v>628</v>
      </c>
      <c r="G770" s="639"/>
      <c r="H770" s="638" t="s">
        <v>326</v>
      </c>
      <c r="I770" s="661" t="s">
        <v>422</v>
      </c>
      <c r="J770" s="1068"/>
      <c r="K770" s="638" t="s">
        <v>326</v>
      </c>
      <c r="L770" s="1008" t="s">
        <v>430</v>
      </c>
      <c r="M770" s="920" t="s">
        <v>431</v>
      </c>
      <c r="N770" s="958" t="s">
        <v>358</v>
      </c>
      <c r="O770" s="920" t="s">
        <v>419</v>
      </c>
      <c r="P770" s="638" t="s">
        <v>358</v>
      </c>
      <c r="Q770" s="953" t="s">
        <v>432</v>
      </c>
      <c r="R770" s="1005"/>
      <c r="S770" s="1005"/>
      <c r="T770" s="952" t="s">
        <v>361</v>
      </c>
      <c r="U770" s="242" t="s">
        <v>629</v>
      </c>
      <c r="V770" s="97"/>
    </row>
    <row r="771" spans="1:22" ht="18" hidden="1" customHeight="1">
      <c r="A771" s="1067"/>
      <c r="B771" s="1008"/>
      <c r="C771" s="1008"/>
      <c r="D771" s="638"/>
      <c r="E771" s="638"/>
      <c r="F771" s="639"/>
      <c r="G771" s="639"/>
      <c r="H771" s="638"/>
      <c r="I771" s="638" t="s">
        <v>434</v>
      </c>
      <c r="J771" s="985"/>
      <c r="K771" s="638"/>
      <c r="L771" s="1008"/>
      <c r="M771" s="920"/>
      <c r="N771" s="958"/>
      <c r="O771" s="920"/>
      <c r="P771" s="638"/>
      <c r="Q771" s="28" t="s">
        <v>157</v>
      </c>
      <c r="R771" s="28" t="s">
        <v>326</v>
      </c>
      <c r="S771" s="28" t="s">
        <v>157</v>
      </c>
      <c r="T771" s="952"/>
      <c r="U771" s="14"/>
      <c r="V771" s="97"/>
    </row>
    <row r="772" spans="1:22" ht="18" hidden="1" customHeight="1">
      <c r="A772" s="96"/>
      <c r="B772" s="14"/>
      <c r="C772" s="14"/>
      <c r="D772" s="28"/>
      <c r="E772" s="28"/>
      <c r="F772" s="27"/>
      <c r="G772" s="27"/>
      <c r="H772" s="28"/>
      <c r="I772" s="28"/>
      <c r="K772" s="28"/>
      <c r="L772" s="120"/>
      <c r="M772" s="14"/>
      <c r="N772" s="102"/>
      <c r="O772" s="14"/>
      <c r="P772" s="28"/>
      <c r="Q772" s="28"/>
      <c r="R772" s="28"/>
      <c r="S772" s="28"/>
      <c r="T772" s="40"/>
      <c r="U772" s="14"/>
      <c r="V772" s="97"/>
    </row>
    <row r="773" spans="1:22" ht="18" hidden="1" customHeight="1">
      <c r="A773" s="196"/>
      <c r="H773" s="30" t="s">
        <v>630</v>
      </c>
      <c r="M773" s="650" t="str">
        <f>M641</f>
        <v>N</v>
      </c>
      <c r="N773" s="651"/>
      <c r="V773" s="197"/>
    </row>
    <row r="774" spans="1:22" ht="18" hidden="1" customHeight="1">
      <c r="A774" s="96"/>
      <c r="B774" s="14"/>
      <c r="C774" s="14"/>
      <c r="D774" s="28"/>
      <c r="E774" s="28"/>
      <c r="F774" s="27"/>
      <c r="G774" s="27"/>
      <c r="H774" s="28"/>
      <c r="I774" s="28"/>
      <c r="K774" s="28"/>
      <c r="L774" s="120"/>
      <c r="M774" s="14"/>
      <c r="N774" s="102"/>
      <c r="O774" s="14"/>
      <c r="P774" s="28"/>
      <c r="Q774" s="28"/>
      <c r="R774" s="28"/>
      <c r="S774" s="28"/>
      <c r="T774" s="40"/>
      <c r="U774" s="14"/>
      <c r="V774" s="97"/>
    </row>
    <row r="775" spans="1:22" ht="18" hidden="1" customHeight="1">
      <c r="A775" s="196"/>
      <c r="B775" s="14" t="s">
        <v>438</v>
      </c>
      <c r="C775" s="14"/>
      <c r="D775" s="103"/>
      <c r="E775" s="103"/>
      <c r="F775" s="14"/>
      <c r="G775" s="14"/>
      <c r="H775" s="5"/>
      <c r="I775" s="5"/>
      <c r="J775" s="5"/>
      <c r="P775" s="120" t="s">
        <v>439</v>
      </c>
      <c r="V775" s="197"/>
    </row>
    <row r="776" spans="1:22" ht="18" hidden="1" customHeight="1">
      <c r="A776" s="196"/>
      <c r="B776" s="14" t="s">
        <v>440</v>
      </c>
      <c r="C776" s="14"/>
      <c r="D776" s="103"/>
      <c r="E776" s="103"/>
      <c r="F776" s="14"/>
      <c r="G776" s="14"/>
      <c r="H776" s="5"/>
      <c r="I776" s="5"/>
      <c r="J776" s="5"/>
      <c r="P776" s="120" t="s">
        <v>441</v>
      </c>
      <c r="Q776" s="246" t="s">
        <v>138</v>
      </c>
      <c r="R776" s="639" t="str">
        <f>L720</f>
        <v>-</v>
      </c>
      <c r="S776" s="639"/>
      <c r="T776" s="14" t="s">
        <v>9</v>
      </c>
      <c r="V776" s="197"/>
    </row>
    <row r="777" spans="1:22" ht="18" hidden="1" customHeight="1">
      <c r="A777" s="196"/>
      <c r="B777" s="14" t="s">
        <v>632</v>
      </c>
      <c r="C777" s="14"/>
      <c r="D777" s="14"/>
      <c r="E777" s="14"/>
      <c r="F777" s="14"/>
      <c r="G777" s="14"/>
      <c r="H777" s="14"/>
      <c r="I777" s="14"/>
      <c r="J777" s="14"/>
      <c r="P777" s="120" t="s">
        <v>620</v>
      </c>
      <c r="Q777" s="246" t="s">
        <v>138</v>
      </c>
      <c r="R777" s="639">
        <f>J741</f>
        <v>437.38656756789834</v>
      </c>
      <c r="S777" s="639"/>
      <c r="T777" s="14" t="s">
        <v>9</v>
      </c>
      <c r="V777" s="197"/>
    </row>
    <row r="778" spans="1:22" ht="18" hidden="1" customHeight="1">
      <c r="A778" s="196"/>
      <c r="B778" s="14" t="s">
        <v>633</v>
      </c>
      <c r="C778" s="14"/>
      <c r="D778" s="14"/>
      <c r="E778" s="14"/>
      <c r="F778" s="14"/>
      <c r="G778" s="14"/>
      <c r="H778" s="14"/>
      <c r="I778" s="14"/>
      <c r="J778" s="14"/>
      <c r="P778" s="120" t="s">
        <v>624</v>
      </c>
      <c r="Q778" s="246" t="s">
        <v>138</v>
      </c>
      <c r="R778" s="639">
        <f>O747</f>
        <v>6998.1850810863734</v>
      </c>
      <c r="S778" s="639"/>
      <c r="T778" s="14" t="s">
        <v>9</v>
      </c>
      <c r="V778" s="197"/>
    </row>
    <row r="779" spans="1:22" ht="18" hidden="1" customHeight="1">
      <c r="A779" s="196"/>
      <c r="B779" s="247" t="s">
        <v>634</v>
      </c>
      <c r="C779" s="14"/>
      <c r="D779" s="14"/>
      <c r="E779" s="14"/>
      <c r="F779" s="14"/>
      <c r="G779" s="14"/>
      <c r="H779" s="14"/>
      <c r="I779" s="14"/>
      <c r="J779" s="14"/>
      <c r="P779" s="120"/>
      <c r="Q779" s="248"/>
      <c r="R779" s="27"/>
      <c r="S779" s="27"/>
      <c r="T779" s="14"/>
      <c r="V779" s="197"/>
    </row>
    <row r="780" spans="1:22" ht="18" hidden="1" customHeight="1">
      <c r="A780" s="196"/>
      <c r="B780" s="14" t="s">
        <v>633</v>
      </c>
      <c r="C780" s="14"/>
      <c r="D780" s="14"/>
      <c r="E780" s="14"/>
      <c r="F780" s="14"/>
      <c r="G780" s="14"/>
      <c r="H780" s="14"/>
      <c r="I780" s="14"/>
      <c r="J780" s="14"/>
      <c r="P780" s="120" t="s">
        <v>628</v>
      </c>
      <c r="Q780" s="246" t="s">
        <v>138</v>
      </c>
      <c r="R780" s="639" t="str">
        <f>R648</f>
        <v>-</v>
      </c>
      <c r="S780" s="639"/>
      <c r="T780" s="14" t="s">
        <v>9</v>
      </c>
      <c r="V780" s="197"/>
    </row>
    <row r="781" spans="1:22" ht="18" hidden="1" customHeight="1">
      <c r="A781" s="196"/>
      <c r="B781" s="247" t="s">
        <v>656</v>
      </c>
      <c r="C781" s="14"/>
      <c r="D781" s="14"/>
      <c r="E781" s="14"/>
      <c r="F781" s="14"/>
      <c r="G781" s="14"/>
      <c r="H781" s="14"/>
      <c r="I781" s="14"/>
      <c r="J781" s="14"/>
      <c r="R781" s="27"/>
      <c r="S781" s="27"/>
      <c r="T781" s="14"/>
      <c r="V781" s="197"/>
    </row>
    <row r="782" spans="1:22" ht="18" hidden="1" customHeight="1">
      <c r="A782" s="196"/>
      <c r="B782" s="14" t="s">
        <v>446</v>
      </c>
      <c r="C782" s="14"/>
      <c r="D782" s="103"/>
      <c r="E782" s="103"/>
      <c r="F782" s="14"/>
      <c r="G782" s="14"/>
      <c r="H782" s="5"/>
      <c r="I782" s="5"/>
      <c r="J782" s="5"/>
      <c r="P782" s="120" t="s">
        <v>447</v>
      </c>
      <c r="Q782" s="246" t="s">
        <v>138</v>
      </c>
      <c r="R782" s="639">
        <f>O720</f>
        <v>1</v>
      </c>
      <c r="S782" s="639"/>
      <c r="T782" s="14" t="s">
        <v>9</v>
      </c>
      <c r="V782" s="197"/>
    </row>
    <row r="783" spans="1:22" ht="18" hidden="1" customHeight="1">
      <c r="A783" s="196"/>
      <c r="B783" s="14" t="s">
        <v>448</v>
      </c>
      <c r="C783" s="14"/>
      <c r="D783" s="103"/>
      <c r="E783" s="103"/>
      <c r="F783" s="14"/>
      <c r="G783" s="14"/>
      <c r="H783" s="5"/>
      <c r="I783" s="5"/>
      <c r="J783" s="5"/>
      <c r="P783" s="120" t="s">
        <v>449</v>
      </c>
      <c r="Q783" s="246" t="s">
        <v>138</v>
      </c>
      <c r="R783" s="639">
        <f>R651</f>
        <v>1</v>
      </c>
      <c r="S783" s="639"/>
      <c r="T783" s="14" t="s">
        <v>9</v>
      </c>
      <c r="V783" s="197"/>
    </row>
    <row r="784" spans="1:22" ht="18" hidden="1" customHeight="1">
      <c r="A784" s="196"/>
      <c r="B784" s="14" t="s">
        <v>450</v>
      </c>
      <c r="C784" s="14"/>
      <c r="D784" s="103"/>
      <c r="E784" s="103"/>
      <c r="F784" s="14"/>
      <c r="G784" s="14"/>
      <c r="H784" s="5"/>
      <c r="I784" s="5"/>
      <c r="J784" s="5"/>
      <c r="P784" s="120" t="s">
        <v>451</v>
      </c>
      <c r="Q784" s="246" t="s">
        <v>138</v>
      </c>
      <c r="R784" s="639" t="str">
        <f>L722</f>
        <v>-</v>
      </c>
      <c r="S784" s="639"/>
      <c r="T784" s="204" t="s">
        <v>344</v>
      </c>
      <c r="V784" s="197"/>
    </row>
    <row r="785" spans="1:22" ht="18" hidden="1" customHeight="1">
      <c r="A785" s="196"/>
      <c r="B785" s="14" t="s">
        <v>636</v>
      </c>
      <c r="C785" s="14"/>
      <c r="D785" s="14"/>
      <c r="E785" s="14"/>
      <c r="F785" s="14"/>
      <c r="G785" s="14"/>
      <c r="H785" s="14"/>
      <c r="I785" s="14"/>
      <c r="J785" s="14"/>
      <c r="P785" s="249" t="s">
        <v>452</v>
      </c>
      <c r="Q785" s="246" t="s">
        <v>138</v>
      </c>
      <c r="R785" s="637">
        <f>P732</f>
        <v>1.44186744</v>
      </c>
      <c r="S785" s="639"/>
      <c r="T785" s="204" t="s">
        <v>344</v>
      </c>
      <c r="V785" s="197"/>
    </row>
    <row r="786" spans="1:22" ht="18" hidden="1" customHeight="1">
      <c r="A786" s="196"/>
      <c r="B786" s="40" t="s">
        <v>453</v>
      </c>
      <c r="C786" s="14"/>
      <c r="D786" s="14"/>
      <c r="E786" s="14"/>
      <c r="F786" s="14"/>
      <c r="G786" s="14"/>
      <c r="H786" s="5"/>
      <c r="I786" s="5"/>
      <c r="J786" s="5"/>
      <c r="P786" s="249" t="s">
        <v>454</v>
      </c>
      <c r="Q786" s="246" t="s">
        <v>138</v>
      </c>
      <c r="R786" s="637">
        <f>J728</f>
        <v>0.02</v>
      </c>
      <c r="S786" s="639"/>
      <c r="T786" s="14" t="s">
        <v>168</v>
      </c>
      <c r="V786" s="197"/>
    </row>
    <row r="787" spans="1:22" ht="18" hidden="1" customHeight="1">
      <c r="A787" s="196"/>
      <c r="V787" s="197"/>
    </row>
    <row r="788" spans="1:22" ht="18" hidden="1" customHeight="1">
      <c r="A788" s="1006" t="s">
        <v>428</v>
      </c>
      <c r="B788" s="1008"/>
      <c r="C788" s="1008"/>
      <c r="D788" s="638">
        <v>30</v>
      </c>
      <c r="E788" s="638" t="s">
        <v>326</v>
      </c>
      <c r="F788" s="638">
        <f>R777</f>
        <v>437.38656756789834</v>
      </c>
      <c r="G788" s="639"/>
      <c r="H788" s="638" t="s">
        <v>326</v>
      </c>
      <c r="I788" s="661">
        <f>R782</f>
        <v>1</v>
      </c>
      <c r="J788" s="1068"/>
      <c r="K788" s="638" t="s">
        <v>326</v>
      </c>
      <c r="L788" s="920" t="s">
        <v>430</v>
      </c>
      <c r="M788" s="920" t="str">
        <f>R784</f>
        <v>-</v>
      </c>
      <c r="N788" s="958" t="s">
        <v>358</v>
      </c>
      <c r="O788" s="1065">
        <f>R785</f>
        <v>1.44186744</v>
      </c>
      <c r="P788" s="638" t="s">
        <v>358</v>
      </c>
      <c r="Q788" s="1066">
        <f>R786</f>
        <v>0.02</v>
      </c>
      <c r="R788" s="1005"/>
      <c r="S788" s="1005"/>
      <c r="T788" s="952" t="s">
        <v>361</v>
      </c>
      <c r="U788" s="242" t="s">
        <v>433</v>
      </c>
      <c r="V788" s="97"/>
    </row>
    <row r="789" spans="1:22" ht="18" hidden="1" customHeight="1">
      <c r="A789" s="1067"/>
      <c r="B789" s="1008"/>
      <c r="C789" s="1008"/>
      <c r="D789" s="638"/>
      <c r="E789" s="638"/>
      <c r="F789" s="639"/>
      <c r="G789" s="639"/>
      <c r="H789" s="638"/>
      <c r="I789" s="638" t="str">
        <f>R776</f>
        <v>-</v>
      </c>
      <c r="J789" s="985"/>
      <c r="K789" s="638"/>
      <c r="L789" s="920"/>
      <c r="M789" s="920"/>
      <c r="N789" s="958"/>
      <c r="O789" s="920"/>
      <c r="P789" s="638"/>
      <c r="Q789" s="28">
        <f>R783</f>
        <v>1</v>
      </c>
      <c r="R789" s="28" t="s">
        <v>326</v>
      </c>
      <c r="S789" s="28">
        <f>R783</f>
        <v>1</v>
      </c>
      <c r="T789" s="952"/>
      <c r="U789" s="14"/>
      <c r="V789" s="97"/>
    </row>
    <row r="790" spans="1:22" ht="18" hidden="1" customHeight="1">
      <c r="A790" s="196"/>
      <c r="V790" s="197"/>
    </row>
    <row r="791" spans="1:22" ht="18" hidden="1" customHeight="1">
      <c r="A791" s="196"/>
      <c r="C791" s="30" t="s">
        <v>138</v>
      </c>
      <c r="D791" s="798" t="e">
        <f>D788*F788*(I788/I789)*(M788+O788+(Q788/(Q789*S789)))</f>
        <v>#VALUE!</v>
      </c>
      <c r="E791" s="799"/>
      <c r="F791" s="30" t="s">
        <v>316</v>
      </c>
      <c r="V791" s="197"/>
    </row>
    <row r="792" spans="1:22" ht="18" hidden="1" customHeight="1">
      <c r="A792" s="196"/>
      <c r="V792" s="197"/>
    </row>
    <row r="793" spans="1:22" ht="18" hidden="1" customHeight="1">
      <c r="A793" s="1006" t="s">
        <v>428</v>
      </c>
      <c r="B793" s="1008"/>
      <c r="C793" s="1008"/>
      <c r="D793" s="638">
        <v>2</v>
      </c>
      <c r="E793" s="638" t="s">
        <v>326</v>
      </c>
      <c r="F793" s="638">
        <f>R778</f>
        <v>6998.1850810863734</v>
      </c>
      <c r="G793" s="639"/>
      <c r="H793" s="638" t="s">
        <v>326</v>
      </c>
      <c r="I793" s="661">
        <f>R782</f>
        <v>1</v>
      </c>
      <c r="J793" s="1068"/>
      <c r="K793" s="638" t="s">
        <v>326</v>
      </c>
      <c r="L793" s="1008" t="s">
        <v>430</v>
      </c>
      <c r="M793" s="920" t="str">
        <f>R784</f>
        <v>-</v>
      </c>
      <c r="N793" s="958" t="s">
        <v>358</v>
      </c>
      <c r="O793" s="1065">
        <f>R785</f>
        <v>1.44186744</v>
      </c>
      <c r="P793" s="638" t="s">
        <v>358</v>
      </c>
      <c r="Q793" s="1066">
        <f>R786</f>
        <v>0.02</v>
      </c>
      <c r="R793" s="1005"/>
      <c r="S793" s="1005"/>
      <c r="T793" s="952" t="s">
        <v>361</v>
      </c>
      <c r="U793" s="242" t="s">
        <v>437</v>
      </c>
      <c r="V793" s="97"/>
    </row>
    <row r="794" spans="1:22" ht="18" hidden="1" customHeight="1">
      <c r="A794" s="1067"/>
      <c r="B794" s="1008"/>
      <c r="C794" s="1008"/>
      <c r="D794" s="638"/>
      <c r="E794" s="638"/>
      <c r="F794" s="639"/>
      <c r="G794" s="639"/>
      <c r="H794" s="638"/>
      <c r="I794" s="638" t="str">
        <f>R776</f>
        <v>-</v>
      </c>
      <c r="J794" s="985"/>
      <c r="K794" s="638"/>
      <c r="L794" s="1008"/>
      <c r="M794" s="920"/>
      <c r="N794" s="958"/>
      <c r="O794" s="920"/>
      <c r="P794" s="638"/>
      <c r="Q794" s="28">
        <f>R783</f>
        <v>1</v>
      </c>
      <c r="R794" s="28" t="s">
        <v>326</v>
      </c>
      <c r="S794" s="28">
        <f>R783</f>
        <v>1</v>
      </c>
      <c r="T794" s="952"/>
      <c r="U794" s="14"/>
      <c r="V794" s="97"/>
    </row>
    <row r="795" spans="1:22" ht="18" hidden="1" customHeight="1">
      <c r="A795" s="196"/>
      <c r="L795" s="256"/>
      <c r="V795" s="197"/>
    </row>
    <row r="796" spans="1:22" ht="18" hidden="1" customHeight="1">
      <c r="A796" s="196"/>
      <c r="C796" s="30" t="s">
        <v>138</v>
      </c>
      <c r="D796" s="798" t="e">
        <f>D793*F793*(I793/I794)*(M793+O793+(Q793/(Q794*S794)))</f>
        <v>#VALUE!</v>
      </c>
      <c r="E796" s="799"/>
      <c r="F796" s="30" t="s">
        <v>316</v>
      </c>
      <c r="L796" s="256"/>
      <c r="V796" s="197"/>
    </row>
    <row r="797" spans="1:22" ht="18" hidden="1" customHeight="1">
      <c r="A797" s="196"/>
      <c r="L797" s="256"/>
      <c r="V797" s="197"/>
    </row>
    <row r="798" spans="1:22" s="14" customFormat="1" ht="18" hidden="1" customHeight="1">
      <c r="A798" s="1006" t="s">
        <v>428</v>
      </c>
      <c r="B798" s="1008"/>
      <c r="C798" s="1008"/>
      <c r="D798" s="638"/>
      <c r="E798" s="638"/>
      <c r="F798" s="638" t="str">
        <f>R780</f>
        <v>-</v>
      </c>
      <c r="G798" s="639"/>
      <c r="H798" s="638" t="s">
        <v>326</v>
      </c>
      <c r="I798" s="661">
        <f>R782</f>
        <v>1</v>
      </c>
      <c r="J798" s="1068"/>
      <c r="K798" s="638" t="s">
        <v>326</v>
      </c>
      <c r="L798" s="1008" t="s">
        <v>430</v>
      </c>
      <c r="M798" s="920" t="str">
        <f>R784</f>
        <v>-</v>
      </c>
      <c r="N798" s="958" t="s">
        <v>358</v>
      </c>
      <c r="O798" s="1065">
        <f>R785</f>
        <v>1.44186744</v>
      </c>
      <c r="P798" s="638" t="s">
        <v>358</v>
      </c>
      <c r="Q798" s="1066">
        <f>R786</f>
        <v>0.02</v>
      </c>
      <c r="R798" s="1005"/>
      <c r="S798" s="1005"/>
      <c r="T798" s="952" t="s">
        <v>361</v>
      </c>
      <c r="U798" s="242" t="s">
        <v>629</v>
      </c>
      <c r="V798" s="97"/>
    </row>
    <row r="799" spans="1:22" ht="18" hidden="1" customHeight="1">
      <c r="A799" s="1067"/>
      <c r="B799" s="1008"/>
      <c r="C799" s="1008"/>
      <c r="D799" s="638"/>
      <c r="E799" s="638"/>
      <c r="F799" s="639"/>
      <c r="G799" s="639"/>
      <c r="H799" s="638"/>
      <c r="I799" s="638" t="str">
        <f>R776</f>
        <v>-</v>
      </c>
      <c r="J799" s="985"/>
      <c r="K799" s="638"/>
      <c r="L799" s="1008"/>
      <c r="M799" s="920"/>
      <c r="N799" s="958"/>
      <c r="O799" s="920"/>
      <c r="P799" s="638"/>
      <c r="Q799" s="28">
        <f>R783</f>
        <v>1</v>
      </c>
      <c r="R799" s="28" t="s">
        <v>326</v>
      </c>
      <c r="S799" s="28">
        <f>R783</f>
        <v>1</v>
      </c>
      <c r="T799" s="952"/>
      <c r="U799" s="14"/>
      <c r="V799" s="97"/>
    </row>
    <row r="800" spans="1:22" ht="18" hidden="1" customHeight="1">
      <c r="A800" s="196"/>
      <c r="V800" s="197"/>
    </row>
    <row r="801" spans="1:22" ht="18" hidden="1" customHeight="1">
      <c r="A801" s="196"/>
      <c r="C801" s="30" t="s">
        <v>138</v>
      </c>
      <c r="D801" s="798" t="e">
        <f>F798*(I798/I799)*(M798+O798+(Q798/(Q799*S799)))</f>
        <v>#VALUE!</v>
      </c>
      <c r="E801" s="799"/>
      <c r="F801" s="30" t="s">
        <v>316</v>
      </c>
      <c r="G801" s="199" t="s">
        <v>389</v>
      </c>
      <c r="H801" s="198" t="str">
        <f>IF(M773="y","Applicable","Not applicable")</f>
        <v>Not applicable</v>
      </c>
      <c r="V801" s="197"/>
    </row>
    <row r="802" spans="1:22" ht="18" hidden="1" customHeight="1">
      <c r="A802" s="196"/>
      <c r="V802" s="197"/>
    </row>
    <row r="803" spans="1:22" ht="18" hidden="1" customHeight="1">
      <c r="A803" s="206"/>
      <c r="B803" s="207"/>
      <c r="C803" s="207"/>
      <c r="D803" s="207"/>
      <c r="E803" s="207"/>
      <c r="F803" s="207"/>
      <c r="G803" s="207"/>
      <c r="H803" s="207"/>
      <c r="I803" s="207"/>
      <c r="J803" s="207"/>
      <c r="K803" s="207"/>
      <c r="L803" s="207"/>
      <c r="M803" s="207"/>
      <c r="N803" s="207"/>
      <c r="O803" s="207"/>
      <c r="P803" s="207"/>
      <c r="Q803" s="236"/>
      <c r="R803" s="194"/>
      <c r="S803" s="237"/>
      <c r="T803" s="207"/>
      <c r="U803" s="207"/>
      <c r="V803" s="140"/>
    </row>
    <row r="804" spans="1:22" ht="18" hidden="1" customHeight="1">
      <c r="A804" s="238"/>
      <c r="B804" s="239"/>
      <c r="C804" s="239"/>
      <c r="D804" s="239"/>
      <c r="E804" s="239"/>
      <c r="F804" s="239"/>
      <c r="G804" s="239"/>
      <c r="H804" s="239"/>
      <c r="I804" s="239"/>
      <c r="J804" s="239"/>
      <c r="K804" s="239"/>
      <c r="L804" s="239"/>
      <c r="M804" s="239"/>
      <c r="N804" s="239"/>
      <c r="O804" s="239"/>
      <c r="P804" s="239"/>
      <c r="Q804" s="239"/>
      <c r="R804" s="239"/>
      <c r="S804" s="239"/>
      <c r="T804" s="239"/>
      <c r="U804" s="239"/>
      <c r="V804" s="240"/>
    </row>
    <row r="805" spans="1:22" ht="18" hidden="1" customHeight="1">
      <c r="A805" s="196" t="s">
        <v>645</v>
      </c>
      <c r="M805" s="1023" t="str">
        <f>R776</f>
        <v>-</v>
      </c>
      <c r="N805" s="1024"/>
      <c r="O805" s="30" t="s">
        <v>481</v>
      </c>
      <c r="Q805" s="798" t="e">
        <f>IF(M773="Y",MAX(D791,D801),MAX(D791,D796))</f>
        <v>#VALUE!</v>
      </c>
      <c r="R805" s="645"/>
      <c r="S805" s="30" t="s">
        <v>316</v>
      </c>
      <c r="V805" s="197"/>
    </row>
    <row r="806" spans="1:22" ht="18" hidden="1" customHeight="1">
      <c r="A806" s="196"/>
      <c r="M806" s="259"/>
      <c r="N806" s="259"/>
      <c r="Q806" s="223"/>
      <c r="R806" s="27"/>
      <c r="V806" s="197"/>
    </row>
    <row r="807" spans="1:22" ht="18" hidden="1" customHeight="1">
      <c r="A807" s="260" t="s">
        <v>482</v>
      </c>
      <c r="B807" s="14"/>
      <c r="C807" s="14"/>
      <c r="D807" s="261"/>
      <c r="E807" s="14"/>
      <c r="F807" s="14"/>
      <c r="G807" s="47"/>
      <c r="H807" s="14"/>
      <c r="J807" s="14"/>
      <c r="K807" s="14"/>
      <c r="L807" s="14"/>
      <c r="M807" s="14"/>
      <c r="N807" s="14"/>
      <c r="O807" s="14"/>
      <c r="P807" s="262"/>
      <c r="Q807" s="263"/>
      <c r="R807" s="47"/>
      <c r="S807" s="14"/>
      <c r="V807" s="197"/>
    </row>
    <row r="808" spans="1:22" ht="18" hidden="1" customHeight="1">
      <c r="A808" s="260"/>
      <c r="B808" s="14"/>
      <c r="C808" s="14"/>
      <c r="D808" s="261"/>
      <c r="E808" s="14"/>
      <c r="F808" s="14"/>
      <c r="G808" s="47"/>
      <c r="H808" s="14"/>
      <c r="J808" s="14"/>
      <c r="K808" s="14"/>
      <c r="L808" s="14"/>
      <c r="M808" s="14"/>
      <c r="N808" s="14"/>
      <c r="O808" s="14"/>
      <c r="P808" s="262"/>
      <c r="Q808" s="263"/>
      <c r="R808" s="47"/>
      <c r="S808" s="14"/>
      <c r="V808" s="197"/>
    </row>
    <row r="809" spans="1:22" ht="18" hidden="1" customHeight="1">
      <c r="A809" s="96" t="s">
        <v>511</v>
      </c>
      <c r="V809" s="197"/>
    </row>
    <row r="810" spans="1:22" ht="18" hidden="1" customHeight="1">
      <c r="A810" s="196"/>
      <c r="N810" s="14"/>
      <c r="O810" s="14" t="s">
        <v>484</v>
      </c>
      <c r="P810" s="102" t="s">
        <v>138</v>
      </c>
      <c r="Q810" s="261" t="s">
        <v>485</v>
      </c>
      <c r="R810" s="14"/>
      <c r="S810" s="28" t="s">
        <v>326</v>
      </c>
      <c r="T810" s="28">
        <v>0.8</v>
      </c>
      <c r="V810" s="197"/>
    </row>
    <row r="811" spans="1:22" ht="18" hidden="1" customHeight="1">
      <c r="A811" s="196"/>
      <c r="N811" s="264"/>
      <c r="O811" s="14"/>
      <c r="P811" s="102" t="s">
        <v>138</v>
      </c>
      <c r="Q811" s="1026" t="e">
        <f>+Q805</f>
        <v>#VALUE!</v>
      </c>
      <c r="R811" s="1026"/>
      <c r="S811" s="234" t="s">
        <v>326</v>
      </c>
      <c r="T811" s="265">
        <f>+T810</f>
        <v>0.8</v>
      </c>
      <c r="V811" s="197"/>
    </row>
    <row r="812" spans="1:22" ht="18" hidden="1" customHeight="1">
      <c r="A812" s="196"/>
      <c r="O812" s="14"/>
      <c r="P812" s="28" t="s">
        <v>138</v>
      </c>
      <c r="Q812" s="1027" t="e">
        <f>Q811*T811</f>
        <v>#VALUE!</v>
      </c>
      <c r="R812" s="1080"/>
      <c r="S812" s="47" t="s">
        <v>316</v>
      </c>
      <c r="T812" s="14"/>
      <c r="V812" s="197"/>
    </row>
    <row r="813" spans="1:22" ht="18" hidden="1" customHeight="1">
      <c r="A813" s="196"/>
      <c r="V813" s="197"/>
    </row>
    <row r="814" spans="1:22" ht="18" hidden="1" customHeight="1">
      <c r="A814" s="196"/>
      <c r="D814" s="30" t="s">
        <v>486</v>
      </c>
      <c r="G814" s="27" t="e">
        <f>IF(E815&gt;H815,"&gt;","&lt;")</f>
        <v>#VALUE!</v>
      </c>
      <c r="H814" s="30" t="s">
        <v>488</v>
      </c>
      <c r="V814" s="197"/>
    </row>
    <row r="815" spans="1:22" ht="18" hidden="1" customHeight="1">
      <c r="A815" s="196"/>
      <c r="E815" s="639" t="str">
        <f>L723</f>
        <v>-</v>
      </c>
      <c r="F815" s="639"/>
      <c r="G815" s="27" t="e">
        <f>G814</f>
        <v>#VALUE!</v>
      </c>
      <c r="H815" s="637" t="e">
        <f>Q812</f>
        <v>#VALUE!</v>
      </c>
      <c r="I815" s="639"/>
      <c r="V815" s="197"/>
    </row>
    <row r="816" spans="1:22" ht="18" hidden="1" customHeight="1">
      <c r="A816" s="196"/>
      <c r="F816" s="256" t="s">
        <v>489</v>
      </c>
      <c r="H816" s="18" t="e">
        <f>IF(G814="&gt;","Suitably Dimensioned","Under Dimensioned")</f>
        <v>#VALUE!</v>
      </c>
      <c r="V816" s="197"/>
    </row>
    <row r="817" spans="1:22" ht="18" hidden="1" customHeight="1">
      <c r="A817" s="196"/>
      <c r="F817" s="256"/>
      <c r="H817" s="18"/>
      <c r="V817" s="197"/>
    </row>
    <row r="818" spans="1:22" ht="18" hidden="1" customHeight="1">
      <c r="A818" s="196"/>
      <c r="F818" s="256"/>
      <c r="H818" s="18"/>
      <c r="V818" s="197"/>
    </row>
    <row r="819" spans="1:22" ht="18" hidden="1" customHeight="1">
      <c r="A819" s="196"/>
      <c r="F819" s="256"/>
      <c r="H819" s="18"/>
      <c r="V819" s="197"/>
    </row>
    <row r="820" spans="1:22" ht="18" hidden="1" customHeight="1">
      <c r="A820" s="196"/>
      <c r="F820" s="256"/>
      <c r="H820" s="18"/>
      <c r="V820" s="197"/>
    </row>
    <row r="821" spans="1:22" ht="18" hidden="1" customHeight="1">
      <c r="A821" s="196"/>
      <c r="F821" s="256"/>
      <c r="H821" s="18"/>
      <c r="V821" s="197"/>
    </row>
    <row r="822" spans="1:22" ht="18" hidden="1" customHeight="1">
      <c r="A822" s="196"/>
      <c r="F822" s="256"/>
      <c r="H822" s="18"/>
      <c r="V822" s="197"/>
    </row>
    <row r="823" spans="1:22" ht="18" hidden="1" customHeight="1">
      <c r="A823" s="196"/>
      <c r="F823" s="256"/>
      <c r="H823" s="18"/>
      <c r="V823" s="197"/>
    </row>
    <row r="824" spans="1:22" ht="18" hidden="1" customHeight="1">
      <c r="A824" s="196"/>
      <c r="F824" s="256"/>
      <c r="H824" s="18"/>
      <c r="V824" s="197"/>
    </row>
    <row r="825" spans="1:22" ht="18" hidden="1" customHeight="1">
      <c r="A825" s="196"/>
      <c r="F825" s="256"/>
      <c r="H825" s="18"/>
      <c r="V825" s="197"/>
    </row>
    <row r="826" spans="1:22" ht="18" hidden="1" customHeight="1">
      <c r="A826" s="196"/>
      <c r="F826" s="256"/>
      <c r="H826" s="18"/>
      <c r="V826" s="197"/>
    </row>
    <row r="827" spans="1:22" ht="18" hidden="1" customHeight="1">
      <c r="A827" s="196"/>
      <c r="F827" s="256"/>
      <c r="H827" s="18"/>
      <c r="V827" s="197"/>
    </row>
    <row r="828" spans="1:22" ht="18" hidden="1" customHeight="1">
      <c r="A828" s="196"/>
      <c r="F828" s="256"/>
      <c r="H828" s="18"/>
      <c r="V828" s="197"/>
    </row>
    <row r="829" spans="1:22" ht="18" hidden="1" customHeight="1">
      <c r="A829" s="196"/>
      <c r="F829" s="256"/>
      <c r="H829" s="18"/>
      <c r="V829" s="197"/>
    </row>
    <row r="830" spans="1:22" ht="18" hidden="1" customHeight="1">
      <c r="A830" s="196"/>
      <c r="F830" s="256"/>
      <c r="H830" s="18"/>
      <c r="V830" s="197"/>
    </row>
    <row r="831" spans="1:22" ht="18" hidden="1" customHeight="1">
      <c r="A831" s="196"/>
      <c r="F831" s="256"/>
      <c r="H831" s="18"/>
      <c r="V831" s="197"/>
    </row>
    <row r="832" spans="1:22" ht="18" hidden="1" customHeight="1">
      <c r="A832" s="196"/>
      <c r="F832" s="256"/>
      <c r="H832" s="18"/>
      <c r="V832" s="197"/>
    </row>
    <row r="833" spans="1:22" ht="18" hidden="1" customHeight="1">
      <c r="A833" s="196"/>
      <c r="F833" s="256"/>
      <c r="H833" s="18"/>
      <c r="V833" s="197"/>
    </row>
    <row r="834" spans="1:22" ht="18" hidden="1" customHeight="1">
      <c r="A834" s="196"/>
      <c r="F834" s="256"/>
      <c r="H834" s="18"/>
      <c r="V834" s="197"/>
    </row>
    <row r="835" spans="1:22" ht="18" hidden="1" customHeight="1">
      <c r="A835" s="196"/>
      <c r="F835" s="256"/>
      <c r="H835" s="18"/>
      <c r="V835" s="197"/>
    </row>
    <row r="836" spans="1:22" ht="18" hidden="1" customHeight="1">
      <c r="A836" s="196"/>
      <c r="F836" s="256"/>
      <c r="H836" s="18"/>
      <c r="V836" s="197"/>
    </row>
    <row r="837" spans="1:22" ht="18" hidden="1" customHeight="1">
      <c r="A837" s="196"/>
      <c r="F837" s="256"/>
      <c r="H837" s="18"/>
      <c r="V837" s="197"/>
    </row>
    <row r="838" spans="1:22" ht="18" hidden="1" customHeight="1">
      <c r="A838" s="196"/>
      <c r="F838" s="256"/>
      <c r="H838" s="18"/>
      <c r="V838" s="197"/>
    </row>
    <row r="839" spans="1:22" ht="18" hidden="1" customHeight="1">
      <c r="A839" s="196"/>
      <c r="F839" s="256"/>
      <c r="H839" s="18"/>
      <c r="V839" s="197"/>
    </row>
    <row r="840" spans="1:22" ht="18" hidden="1" customHeight="1">
      <c r="A840" s="196"/>
      <c r="F840" s="256"/>
      <c r="H840" s="18"/>
      <c r="V840" s="197"/>
    </row>
    <row r="841" spans="1:22" ht="18" hidden="1" customHeight="1">
      <c r="A841" s="196"/>
      <c r="F841" s="256"/>
      <c r="H841" s="18"/>
      <c r="V841" s="197"/>
    </row>
    <row r="842" spans="1:22" s="14" customFormat="1" ht="18" hidden="1" customHeight="1">
      <c r="A842" s="196"/>
      <c r="B842" s="30"/>
      <c r="C842" s="30"/>
      <c r="D842" s="30"/>
      <c r="E842" s="30"/>
      <c r="F842" s="256"/>
      <c r="G842" s="30"/>
      <c r="H842" s="18"/>
      <c r="I842" s="30"/>
      <c r="J842" s="30"/>
      <c r="K842" s="30"/>
      <c r="L842" s="30"/>
      <c r="M842" s="30"/>
      <c r="N842" s="30"/>
      <c r="O842" s="30"/>
      <c r="P842" s="30"/>
      <c r="Q842" s="30"/>
      <c r="R842" s="30"/>
      <c r="S842" s="30"/>
      <c r="T842" s="30"/>
      <c r="U842" s="30"/>
      <c r="V842" s="197"/>
    </row>
    <row r="843" spans="1:22" ht="18" hidden="1" customHeight="1">
      <c r="A843" s="196"/>
      <c r="F843" s="256"/>
      <c r="H843" s="18"/>
      <c r="V843" s="197"/>
    </row>
    <row r="844" spans="1:22" ht="18" hidden="1" customHeight="1">
      <c r="A844" s="196"/>
      <c r="F844" s="256"/>
      <c r="H844" s="18"/>
      <c r="V844" s="197"/>
    </row>
    <row r="845" spans="1:22" ht="18" hidden="1" customHeight="1">
      <c r="A845" s="196"/>
      <c r="F845" s="256"/>
      <c r="H845" s="18"/>
      <c r="V845" s="197"/>
    </row>
    <row r="846" spans="1:22" ht="18" hidden="1" customHeight="1">
      <c r="A846" s="196"/>
      <c r="F846" s="256"/>
      <c r="H846" s="18"/>
      <c r="V846" s="197"/>
    </row>
    <row r="847" spans="1:22" ht="18" hidden="1" customHeight="1">
      <c r="A847" s="206"/>
      <c r="B847" s="207"/>
      <c r="C847" s="207"/>
      <c r="D847" s="207"/>
      <c r="E847" s="207"/>
      <c r="F847" s="207"/>
      <c r="G847" s="207"/>
      <c r="H847" s="207"/>
      <c r="I847" s="207"/>
      <c r="J847" s="207"/>
      <c r="K847" s="207"/>
      <c r="L847" s="207"/>
      <c r="M847" s="207"/>
      <c r="N847" s="207"/>
      <c r="O847" s="207"/>
      <c r="P847" s="207"/>
      <c r="Q847" s="236"/>
      <c r="R847" s="194"/>
      <c r="S847" s="237"/>
      <c r="T847" s="207"/>
      <c r="U847" s="207"/>
      <c r="V847" s="140"/>
    </row>
    <row r="848" spans="1:22" ht="18" hidden="1" customHeight="1">
      <c r="A848" s="238"/>
      <c r="B848" s="239"/>
      <c r="C848" s="239"/>
      <c r="D848" s="239"/>
      <c r="E848" s="239"/>
      <c r="F848" s="239"/>
      <c r="G848" s="239"/>
      <c r="H848" s="239"/>
      <c r="I848" s="239"/>
      <c r="J848" s="239"/>
      <c r="K848" s="239"/>
      <c r="L848" s="239"/>
      <c r="M848" s="239"/>
      <c r="N848" s="239"/>
      <c r="O848" s="239"/>
      <c r="P848" s="239"/>
      <c r="Q848" s="239"/>
      <c r="R848" s="239"/>
      <c r="S848" s="239"/>
      <c r="T848" s="239"/>
      <c r="U848" s="239"/>
      <c r="V848" s="240"/>
    </row>
    <row r="849" spans="1:22" ht="18" hidden="1" customHeight="1">
      <c r="A849" s="274" t="s">
        <v>512</v>
      </c>
      <c r="B849" s="14"/>
      <c r="C849" s="14"/>
      <c r="D849" s="120"/>
      <c r="E849" s="120"/>
      <c r="F849" s="18"/>
      <c r="G849" s="18"/>
      <c r="H849" s="14"/>
      <c r="I849" s="14"/>
      <c r="J849" s="14"/>
      <c r="K849" s="14"/>
      <c r="L849" s="14"/>
      <c r="M849" s="14"/>
      <c r="N849" s="14"/>
      <c r="O849" s="14"/>
      <c r="P849" s="28"/>
      <c r="Q849" s="120"/>
      <c r="R849" s="47"/>
      <c r="S849" s="218"/>
      <c r="T849" s="271"/>
      <c r="U849" s="14"/>
      <c r="V849" s="97"/>
    </row>
    <row r="850" spans="1:22" ht="18" hidden="1" customHeight="1">
      <c r="A850" s="614" t="s">
        <v>97</v>
      </c>
      <c r="B850" s="620"/>
      <c r="C850" s="1081"/>
      <c r="D850" s="614" t="s">
        <v>98</v>
      </c>
      <c r="E850" s="1084"/>
      <c r="F850" s="1084"/>
      <c r="G850" s="1081"/>
      <c r="H850" s="614" t="s">
        <v>99</v>
      </c>
      <c r="I850" s="615"/>
      <c r="J850" s="614" t="s">
        <v>100</v>
      </c>
      <c r="K850" s="1081"/>
      <c r="L850" s="614" t="s">
        <v>513</v>
      </c>
      <c r="M850" s="620"/>
      <c r="N850" s="615" t="s">
        <v>567</v>
      </c>
      <c r="O850" s="614" t="s">
        <v>514</v>
      </c>
      <c r="P850" s="620"/>
      <c r="Q850" s="1081"/>
      <c r="R850" s="614" t="s">
        <v>657</v>
      </c>
      <c r="S850" s="1089"/>
      <c r="T850" s="1090"/>
      <c r="U850" s="614" t="s">
        <v>516</v>
      </c>
      <c r="V850" s="1069"/>
    </row>
    <row r="851" spans="1:22" ht="18" hidden="1" customHeight="1">
      <c r="A851" s="616"/>
      <c r="B851" s="621"/>
      <c r="C851" s="1082"/>
      <c r="D851" s="1085"/>
      <c r="E851" s="1086"/>
      <c r="F851" s="1086"/>
      <c r="G851" s="1082"/>
      <c r="H851" s="616"/>
      <c r="I851" s="617"/>
      <c r="J851" s="1085"/>
      <c r="K851" s="1082"/>
      <c r="L851" s="616"/>
      <c r="M851" s="621"/>
      <c r="N851" s="617"/>
      <c r="O851" s="616"/>
      <c r="P851" s="621"/>
      <c r="Q851" s="1082"/>
      <c r="R851" s="1091"/>
      <c r="S851" s="1089"/>
      <c r="T851" s="1090"/>
      <c r="U851" s="1070"/>
      <c r="V851" s="1071"/>
    </row>
    <row r="852" spans="1:22" ht="18" hidden="1" customHeight="1">
      <c r="A852" s="618"/>
      <c r="B852" s="622"/>
      <c r="C852" s="1083"/>
      <c r="D852" s="1087"/>
      <c r="E852" s="1088"/>
      <c r="F852" s="1088"/>
      <c r="G852" s="1083"/>
      <c r="H852" s="618"/>
      <c r="I852" s="619"/>
      <c r="J852" s="1087"/>
      <c r="K852" s="1083"/>
      <c r="L852" s="618"/>
      <c r="M852" s="622"/>
      <c r="N852" s="619"/>
      <c r="O852" s="618"/>
      <c r="P852" s="622"/>
      <c r="Q852" s="1083"/>
      <c r="R852" s="1092"/>
      <c r="S852" s="1093"/>
      <c r="T852" s="1094"/>
      <c r="U852" s="1072"/>
      <c r="V852" s="1073"/>
    </row>
    <row r="853" spans="1:22" ht="18" hidden="1" customHeight="1">
      <c r="A853" s="1074" t="str">
        <f>B717</f>
        <v>BCT13,14,15</v>
      </c>
      <c r="B853" s="1075">
        <f>B718</f>
        <v>0</v>
      </c>
      <c r="C853" s="624" t="str">
        <f>D717</f>
        <v>Core2</v>
      </c>
      <c r="D853" s="624">
        <f>H588</f>
        <v>1200</v>
      </c>
      <c r="E853" s="624" t="str">
        <f>J588</f>
        <v>-</v>
      </c>
      <c r="F853" s="624" t="str">
        <f>L720</f>
        <v>-</v>
      </c>
      <c r="G853" s="624">
        <f>O588</f>
        <v>1</v>
      </c>
      <c r="H853" s="624">
        <f>'CT-VT Burdens'!S19</f>
        <v>80</v>
      </c>
      <c r="I853" s="631">
        <f>'CT-VT Burdens'!S10</f>
        <v>2.5</v>
      </c>
      <c r="J853" s="612" t="str">
        <f>J589</f>
        <v>TPS</v>
      </c>
      <c r="K853" s="612"/>
      <c r="L853" s="624">
        <f>H463</f>
        <v>5</v>
      </c>
      <c r="M853" s="624" t="str">
        <f>J590</f>
        <v>-</v>
      </c>
      <c r="N853" s="624" t="str">
        <f>L722</f>
        <v>-</v>
      </c>
      <c r="O853" s="624">
        <f>H464</f>
        <v>430</v>
      </c>
      <c r="P853" s="624" t="str">
        <f>J591</f>
        <v>-</v>
      </c>
      <c r="Q853" s="624" t="str">
        <f>L723</f>
        <v>-</v>
      </c>
      <c r="R853" s="624">
        <f>H465</f>
        <v>20</v>
      </c>
      <c r="S853" s="624" t="str">
        <f>J592</f>
        <v>-</v>
      </c>
      <c r="T853" s="624" t="str">
        <f>L724</f>
        <v>-</v>
      </c>
      <c r="U853" s="612" t="str">
        <f>D596</f>
        <v>RET670</v>
      </c>
      <c r="V853" s="612"/>
    </row>
    <row r="854" spans="1:22" ht="18" hidden="1" customHeight="1">
      <c r="A854" s="623">
        <f>B718</f>
        <v>0</v>
      </c>
      <c r="B854" s="1079">
        <f>A719</f>
        <v>0</v>
      </c>
      <c r="C854" s="1076"/>
      <c r="D854" s="1076"/>
      <c r="E854" s="1076"/>
      <c r="F854" s="1076"/>
      <c r="G854" s="1076"/>
      <c r="H854" s="1076"/>
      <c r="I854" s="1076"/>
      <c r="J854" s="1078"/>
      <c r="K854" s="1078"/>
      <c r="L854" s="1076"/>
      <c r="M854" s="1076"/>
      <c r="N854" s="1076"/>
      <c r="O854" s="1076"/>
      <c r="P854" s="1076"/>
      <c r="Q854" s="1076"/>
      <c r="R854" s="1076"/>
      <c r="S854" s="1076"/>
      <c r="T854" s="1076"/>
      <c r="U854" s="1078"/>
      <c r="V854" s="1078"/>
    </row>
    <row r="855" spans="1:22" ht="18" hidden="1" customHeight="1">
      <c r="A855" s="623">
        <f>A719</f>
        <v>0</v>
      </c>
      <c r="B855" s="1079" t="str">
        <f>B720</f>
        <v>CT Ratio:</v>
      </c>
      <c r="C855" s="1077"/>
      <c r="D855" s="1077"/>
      <c r="E855" s="1077"/>
      <c r="F855" s="1077"/>
      <c r="G855" s="1077"/>
      <c r="H855" s="1077"/>
      <c r="I855" s="1077"/>
      <c r="J855" s="1078"/>
      <c r="K855" s="1078"/>
      <c r="L855" s="1077"/>
      <c r="M855" s="1077"/>
      <c r="N855" s="1077"/>
      <c r="O855" s="1077"/>
      <c r="P855" s="1077"/>
      <c r="Q855" s="1077"/>
      <c r="R855" s="1077"/>
      <c r="S855" s="1077"/>
      <c r="T855" s="1077"/>
      <c r="U855" s="1078"/>
      <c r="V855" s="1078"/>
    </row>
    <row r="856" spans="1:22" ht="18" hidden="1" customHeight="1">
      <c r="A856" s="196"/>
      <c r="V856" s="197"/>
    </row>
    <row r="857" spans="1:22" ht="18" hidden="1" customHeight="1">
      <c r="A857" s="196"/>
      <c r="V857" s="197"/>
    </row>
    <row r="858" spans="1:22" ht="18" hidden="1" customHeight="1">
      <c r="A858" s="196"/>
      <c r="V858" s="197"/>
    </row>
    <row r="859" spans="1:22" ht="18" hidden="1" customHeight="1">
      <c r="A859" s="196"/>
      <c r="V859" s="197"/>
    </row>
    <row r="860" spans="1:22" ht="18" hidden="1" customHeight="1">
      <c r="A860" s="196"/>
      <c r="V860" s="197"/>
    </row>
    <row r="861" spans="1:22" ht="18" hidden="1" customHeight="1">
      <c r="A861" s="196"/>
      <c r="V861" s="197"/>
    </row>
    <row r="862" spans="1:22" ht="18" hidden="1" customHeight="1">
      <c r="A862" s="196"/>
      <c r="V862" s="197"/>
    </row>
    <row r="863" spans="1:22" ht="18" hidden="1" customHeight="1">
      <c r="A863" s="196"/>
      <c r="V863" s="197"/>
    </row>
    <row r="864" spans="1:22" ht="18" hidden="1" customHeight="1">
      <c r="A864" s="196"/>
      <c r="V864" s="197"/>
    </row>
    <row r="865" spans="1:22" ht="18" hidden="1" customHeight="1">
      <c r="A865" s="196"/>
      <c r="V865" s="197"/>
    </row>
    <row r="866" spans="1:22" ht="18" hidden="1" customHeight="1">
      <c r="A866" s="196"/>
      <c r="V866" s="197"/>
    </row>
    <row r="867" spans="1:22" ht="18" hidden="1" customHeight="1">
      <c r="A867" s="196"/>
      <c r="V867" s="197"/>
    </row>
    <row r="868" spans="1:22" ht="18" hidden="1" customHeight="1">
      <c r="A868" s="196"/>
      <c r="V868" s="197"/>
    </row>
    <row r="869" spans="1:22" ht="18" hidden="1" customHeight="1">
      <c r="A869" s="196"/>
      <c r="V869" s="197"/>
    </row>
    <row r="870" spans="1:22" ht="18" hidden="1" customHeight="1">
      <c r="A870" s="196"/>
      <c r="V870" s="197"/>
    </row>
    <row r="871" spans="1:22" ht="18" hidden="1" customHeight="1">
      <c r="A871" s="196"/>
      <c r="V871" s="197"/>
    </row>
    <row r="872" spans="1:22" ht="18" hidden="1" customHeight="1">
      <c r="A872" s="196"/>
      <c r="V872" s="197"/>
    </row>
    <row r="873" spans="1:22" ht="18" hidden="1" customHeight="1">
      <c r="A873" s="196"/>
      <c r="V873" s="197"/>
    </row>
    <row r="874" spans="1:22" ht="18" hidden="1" customHeight="1">
      <c r="A874" s="196"/>
      <c r="V874" s="197"/>
    </row>
    <row r="875" spans="1:22" ht="18" hidden="1" customHeight="1">
      <c r="A875" s="196"/>
      <c r="V875" s="197"/>
    </row>
    <row r="876" spans="1:22" ht="18" hidden="1" customHeight="1">
      <c r="A876" s="196"/>
      <c r="V876" s="197"/>
    </row>
    <row r="877" spans="1:22" ht="18" hidden="1" customHeight="1">
      <c r="A877" s="196"/>
      <c r="V877" s="197"/>
    </row>
    <row r="878" spans="1:22" ht="18" hidden="1" customHeight="1">
      <c r="A878" s="196"/>
      <c r="V878" s="197"/>
    </row>
    <row r="879" spans="1:22" ht="18" hidden="1" customHeight="1">
      <c r="A879" s="196"/>
      <c r="V879" s="197"/>
    </row>
    <row r="880" spans="1:22" ht="18" hidden="1" customHeight="1">
      <c r="A880" s="196"/>
      <c r="V880" s="197"/>
    </row>
    <row r="881" spans="1:22" ht="18" hidden="1" customHeight="1">
      <c r="A881" s="196"/>
      <c r="V881" s="197"/>
    </row>
    <row r="882" spans="1:22" ht="18" hidden="1" customHeight="1">
      <c r="A882" s="196"/>
      <c r="V882" s="197"/>
    </row>
    <row r="883" spans="1:22" ht="18" hidden="1" customHeight="1">
      <c r="A883" s="196"/>
      <c r="V883" s="197"/>
    </row>
    <row r="884" spans="1:22" ht="18" hidden="1" customHeight="1">
      <c r="A884" s="196"/>
      <c r="V884" s="197"/>
    </row>
    <row r="885" spans="1:22" ht="18" hidden="1" customHeight="1">
      <c r="A885" s="196"/>
      <c r="V885" s="197"/>
    </row>
    <row r="886" spans="1:22" s="14" customFormat="1" ht="18" hidden="1" customHeight="1">
      <c r="A886" s="196"/>
      <c r="B886" s="30"/>
      <c r="C886" s="30"/>
      <c r="D886" s="30"/>
      <c r="E886" s="30"/>
      <c r="F886" s="30"/>
      <c r="G886" s="30"/>
      <c r="H886" s="30"/>
      <c r="I886" s="30"/>
      <c r="J886" s="30"/>
      <c r="K886" s="30"/>
      <c r="L886" s="30"/>
      <c r="M886" s="30"/>
      <c r="N886" s="30"/>
      <c r="O886" s="30"/>
      <c r="P886" s="30"/>
      <c r="Q886" s="30"/>
      <c r="R886" s="30"/>
      <c r="S886" s="30"/>
      <c r="T886" s="30"/>
      <c r="U886" s="30"/>
      <c r="V886" s="197"/>
    </row>
    <row r="887" spans="1:22" ht="18" hidden="1" customHeight="1">
      <c r="A887" s="196"/>
      <c r="V887" s="197"/>
    </row>
    <row r="888" spans="1:22" ht="18" hidden="1" customHeight="1">
      <c r="A888" s="196"/>
      <c r="V888" s="197"/>
    </row>
    <row r="889" spans="1:22" ht="18" hidden="1" customHeight="1">
      <c r="A889" s="196"/>
      <c r="V889" s="197"/>
    </row>
    <row r="890" spans="1:22" ht="18" hidden="1" customHeight="1">
      <c r="A890" s="196"/>
      <c r="V890" s="197"/>
    </row>
    <row r="891" spans="1:22" ht="18" hidden="1" customHeight="1">
      <c r="A891" s="206"/>
      <c r="B891" s="207"/>
      <c r="C891" s="207"/>
      <c r="D891" s="207"/>
      <c r="E891" s="207"/>
      <c r="F891" s="207"/>
      <c r="G891" s="207"/>
      <c r="H891" s="207"/>
      <c r="I891" s="207"/>
      <c r="J891" s="207"/>
      <c r="K891" s="207"/>
      <c r="L891" s="207"/>
      <c r="M891" s="207"/>
      <c r="N891" s="207"/>
      <c r="O891" s="207"/>
      <c r="P891" s="207"/>
      <c r="Q891" s="236"/>
      <c r="R891" s="194"/>
      <c r="S891" s="237"/>
      <c r="T891" s="207"/>
      <c r="U891" s="207"/>
      <c r="V891" s="140"/>
    </row>
  </sheetData>
  <mergeCells count="964">
    <mergeCell ref="B7:C7"/>
    <mergeCell ref="D7:E7"/>
    <mergeCell ref="H7:N7"/>
    <mergeCell ref="T7:U7"/>
    <mergeCell ref="B8:C8"/>
    <mergeCell ref="D8:E8"/>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11:I11"/>
    <mergeCell ref="H12:I12"/>
    <mergeCell ref="H13:I13"/>
    <mergeCell ref="AB13:AC13"/>
    <mergeCell ref="H14:I14"/>
    <mergeCell ref="J18:K18"/>
    <mergeCell ref="H9:I9"/>
    <mergeCell ref="J9:K9"/>
    <mergeCell ref="L9:M9"/>
    <mergeCell ref="T9:U9"/>
    <mergeCell ref="H10:I10"/>
    <mergeCell ref="J10:K10"/>
    <mergeCell ref="L10:M10"/>
    <mergeCell ref="P26:Q26"/>
    <mergeCell ref="P27:Q27"/>
    <mergeCell ref="J29:K29"/>
    <mergeCell ref="J30:K30"/>
    <mergeCell ref="J31:K31"/>
    <mergeCell ref="O35:P35"/>
    <mergeCell ref="J19:K19"/>
    <mergeCell ref="J20:K20"/>
    <mergeCell ref="J21:K21"/>
    <mergeCell ref="J22:K22"/>
    <mergeCell ref="P22:Q22"/>
    <mergeCell ref="P25:Q25"/>
    <mergeCell ref="K50:K51"/>
    <mergeCell ref="L50:L51"/>
    <mergeCell ref="L47:L48"/>
    <mergeCell ref="O36:P36"/>
    <mergeCell ref="O37:P37"/>
    <mergeCell ref="A39:V40"/>
    <mergeCell ref="A47:C48"/>
    <mergeCell ref="D47:D48"/>
    <mergeCell ref="E47:E48"/>
    <mergeCell ref="F47:G48"/>
    <mergeCell ref="H47:H48"/>
    <mergeCell ref="I47:J47"/>
    <mergeCell ref="K47:K48"/>
    <mergeCell ref="T47:T48"/>
    <mergeCell ref="I48:J48"/>
    <mergeCell ref="M47:M48"/>
    <mergeCell ref="N47:N48"/>
    <mergeCell ref="O47:O48"/>
    <mergeCell ref="P47:P48"/>
    <mergeCell ref="Q47:S47"/>
    <mergeCell ref="T56:T57"/>
    <mergeCell ref="I51:J51"/>
    <mergeCell ref="A53:V54"/>
    <mergeCell ref="A56:C57"/>
    <mergeCell ref="D56:D57"/>
    <mergeCell ref="E56:E57"/>
    <mergeCell ref="F56:G57"/>
    <mergeCell ref="H56:H57"/>
    <mergeCell ref="I56:J56"/>
    <mergeCell ref="K56:K57"/>
    <mergeCell ref="L56:L57"/>
    <mergeCell ref="M50:M51"/>
    <mergeCell ref="N50:N51"/>
    <mergeCell ref="O50:O51"/>
    <mergeCell ref="P50:P51"/>
    <mergeCell ref="Q50:S50"/>
    <mergeCell ref="T50:T51"/>
    <mergeCell ref="I57:J57"/>
    <mergeCell ref="A50:C51"/>
    <mergeCell ref="D50:D51"/>
    <mergeCell ref="E50:E51"/>
    <mergeCell ref="F50:G51"/>
    <mergeCell ref="H50:H51"/>
    <mergeCell ref="I50:J50"/>
    <mergeCell ref="M59:N59"/>
    <mergeCell ref="R62:S62"/>
    <mergeCell ref="R63:S63"/>
    <mergeCell ref="R64:S64"/>
    <mergeCell ref="R66:S66"/>
    <mergeCell ref="M56:M57"/>
    <mergeCell ref="N56:N57"/>
    <mergeCell ref="O56:O57"/>
    <mergeCell ref="P56:P57"/>
    <mergeCell ref="Q56:S56"/>
    <mergeCell ref="R68:S68"/>
    <mergeCell ref="R69:S69"/>
    <mergeCell ref="R70:S70"/>
    <mergeCell ref="R71:S71"/>
    <mergeCell ref="R72:S72"/>
    <mergeCell ref="A74:C75"/>
    <mergeCell ref="D74:D75"/>
    <mergeCell ref="E74:E75"/>
    <mergeCell ref="F74:G75"/>
    <mergeCell ref="H74:H75"/>
    <mergeCell ref="P74:P75"/>
    <mergeCell ref="Q74:S74"/>
    <mergeCell ref="T74:T75"/>
    <mergeCell ref="I75:J75"/>
    <mergeCell ref="D77:E77"/>
    <mergeCell ref="A79:C80"/>
    <mergeCell ref="D79:D80"/>
    <mergeCell ref="E79:E80"/>
    <mergeCell ref="F79:G80"/>
    <mergeCell ref="H79:H80"/>
    <mergeCell ref="I74:J74"/>
    <mergeCell ref="K74:K75"/>
    <mergeCell ref="L74:L75"/>
    <mergeCell ref="M74:M75"/>
    <mergeCell ref="N74:N75"/>
    <mergeCell ref="O74:O75"/>
    <mergeCell ref="P79:P80"/>
    <mergeCell ref="Q79:S79"/>
    <mergeCell ref="T79:T80"/>
    <mergeCell ref="I80:J80"/>
    <mergeCell ref="M79:M80"/>
    <mergeCell ref="N79:N80"/>
    <mergeCell ref="O79:O80"/>
    <mergeCell ref="D82:E82"/>
    <mergeCell ref="A95:C96"/>
    <mergeCell ref="D95:D96"/>
    <mergeCell ref="E95:E96"/>
    <mergeCell ref="F95:G96"/>
    <mergeCell ref="H95:H96"/>
    <mergeCell ref="I79:J79"/>
    <mergeCell ref="K79:K80"/>
    <mergeCell ref="L79:L80"/>
    <mergeCell ref="P95:P96"/>
    <mergeCell ref="Q95:S95"/>
    <mergeCell ref="T95:T96"/>
    <mergeCell ref="I96:J96"/>
    <mergeCell ref="D98:E98"/>
    <mergeCell ref="M100:N100"/>
    <mergeCell ref="Q100:R100"/>
    <mergeCell ref="I95:J95"/>
    <mergeCell ref="K95:K96"/>
    <mergeCell ref="L95:L96"/>
    <mergeCell ref="M95:M96"/>
    <mergeCell ref="N95:N96"/>
    <mergeCell ref="O95:O96"/>
    <mergeCell ref="T143:U143"/>
    <mergeCell ref="B144:C144"/>
    <mergeCell ref="T144:U144"/>
    <mergeCell ref="H145:I145"/>
    <mergeCell ref="J145:K145"/>
    <mergeCell ref="L145:M145"/>
    <mergeCell ref="T145:U145"/>
    <mergeCell ref="Q105:R105"/>
    <mergeCell ref="Q106:R106"/>
    <mergeCell ref="Q107:R107"/>
    <mergeCell ref="E110:F110"/>
    <mergeCell ref="H110:I110"/>
    <mergeCell ref="B143:C143"/>
    <mergeCell ref="D143:E144"/>
    <mergeCell ref="H143:N143"/>
    <mergeCell ref="AB149:AC149"/>
    <mergeCell ref="J150:K150"/>
    <mergeCell ref="J154:K154"/>
    <mergeCell ref="J155:K155"/>
    <mergeCell ref="J156:K156"/>
    <mergeCell ref="J157:K157"/>
    <mergeCell ref="H146:I146"/>
    <mergeCell ref="J146:K146"/>
    <mergeCell ref="L146:M146"/>
    <mergeCell ref="J147:K147"/>
    <mergeCell ref="J148:K148"/>
    <mergeCell ref="J149:K149"/>
    <mergeCell ref="J166:K166"/>
    <mergeCell ref="J167:K167"/>
    <mergeCell ref="O171:P171"/>
    <mergeCell ref="O172:P172"/>
    <mergeCell ref="O173:P173"/>
    <mergeCell ref="A175:V176"/>
    <mergeCell ref="J158:K158"/>
    <mergeCell ref="P158:Q158"/>
    <mergeCell ref="P161:Q161"/>
    <mergeCell ref="P162:Q162"/>
    <mergeCell ref="P163:Q163"/>
    <mergeCell ref="J165:K165"/>
    <mergeCell ref="Q185:S185"/>
    <mergeCell ref="T185:T186"/>
    <mergeCell ref="I186:J186"/>
    <mergeCell ref="A188:C189"/>
    <mergeCell ref="D188:D189"/>
    <mergeCell ref="E188:E189"/>
    <mergeCell ref="F188:G189"/>
    <mergeCell ref="H188:H189"/>
    <mergeCell ref="I188:J188"/>
    <mergeCell ref="K188:K189"/>
    <mergeCell ref="K185:K186"/>
    <mergeCell ref="L185:L186"/>
    <mergeCell ref="M185:M186"/>
    <mergeCell ref="N185:N186"/>
    <mergeCell ref="O185:O186"/>
    <mergeCell ref="P185:P186"/>
    <mergeCell ref="A185:C186"/>
    <mergeCell ref="D185:D186"/>
    <mergeCell ref="E185:E186"/>
    <mergeCell ref="F185:G186"/>
    <mergeCell ref="H185:H186"/>
    <mergeCell ref="I185:J185"/>
    <mergeCell ref="T188:T189"/>
    <mergeCell ref="I189:J189"/>
    <mergeCell ref="A191:V192"/>
    <mergeCell ref="A194:C195"/>
    <mergeCell ref="D194:D195"/>
    <mergeCell ref="E194:E195"/>
    <mergeCell ref="F194:G195"/>
    <mergeCell ref="H194:H195"/>
    <mergeCell ref="I194:J194"/>
    <mergeCell ref="K194:K195"/>
    <mergeCell ref="L188:L189"/>
    <mergeCell ref="M188:M189"/>
    <mergeCell ref="N188:N189"/>
    <mergeCell ref="O188:O189"/>
    <mergeCell ref="P188:P189"/>
    <mergeCell ref="Q188:S188"/>
    <mergeCell ref="T194:T195"/>
    <mergeCell ref="I195:J195"/>
    <mergeCell ref="M197:N197"/>
    <mergeCell ref="R200:S200"/>
    <mergeCell ref="R201:S201"/>
    <mergeCell ref="R202:S202"/>
    <mergeCell ref="L194:L195"/>
    <mergeCell ref="M194:M195"/>
    <mergeCell ref="N194:N195"/>
    <mergeCell ref="O194:O195"/>
    <mergeCell ref="P194:P195"/>
    <mergeCell ref="Q194:S194"/>
    <mergeCell ref="D212:D213"/>
    <mergeCell ref="E212:E213"/>
    <mergeCell ref="F212:G213"/>
    <mergeCell ref="H212:H213"/>
    <mergeCell ref="I212:J212"/>
    <mergeCell ref="Q217:S217"/>
    <mergeCell ref="T217:T218"/>
    <mergeCell ref="R204:S204"/>
    <mergeCell ref="R206:S206"/>
    <mergeCell ref="R207:S207"/>
    <mergeCell ref="R208:S208"/>
    <mergeCell ref="R209:S209"/>
    <mergeCell ref="R210:S210"/>
    <mergeCell ref="L217:L218"/>
    <mergeCell ref="M217:M218"/>
    <mergeCell ref="N217:N218"/>
    <mergeCell ref="O217:O218"/>
    <mergeCell ref="P217:P218"/>
    <mergeCell ref="A222:C223"/>
    <mergeCell ref="D222:D223"/>
    <mergeCell ref="E222:E223"/>
    <mergeCell ref="F222:G223"/>
    <mergeCell ref="H222:H223"/>
    <mergeCell ref="I222:J222"/>
    <mergeCell ref="K217:K218"/>
    <mergeCell ref="Q212:S212"/>
    <mergeCell ref="T212:T213"/>
    <mergeCell ref="I213:J213"/>
    <mergeCell ref="D215:E215"/>
    <mergeCell ref="A217:C218"/>
    <mergeCell ref="D217:D218"/>
    <mergeCell ref="E217:E218"/>
    <mergeCell ref="F217:G218"/>
    <mergeCell ref="H217:H218"/>
    <mergeCell ref="I217:J217"/>
    <mergeCell ref="K212:K213"/>
    <mergeCell ref="L212:L213"/>
    <mergeCell ref="M212:M213"/>
    <mergeCell ref="N212:N213"/>
    <mergeCell ref="O212:O213"/>
    <mergeCell ref="P212:P213"/>
    <mergeCell ref="A212:C213"/>
    <mergeCell ref="Q222:S222"/>
    <mergeCell ref="T222:T223"/>
    <mergeCell ref="I223:J223"/>
    <mergeCell ref="D225:E225"/>
    <mergeCell ref="I218:J218"/>
    <mergeCell ref="D220:E220"/>
    <mergeCell ref="M240:N240"/>
    <mergeCell ref="Q240:R240"/>
    <mergeCell ref="K222:K223"/>
    <mergeCell ref="L222:L223"/>
    <mergeCell ref="M222:M223"/>
    <mergeCell ref="N222:N223"/>
    <mergeCell ref="O222:O223"/>
    <mergeCell ref="P222:P223"/>
    <mergeCell ref="T281:U281"/>
    <mergeCell ref="B282:C282"/>
    <mergeCell ref="T282:U282"/>
    <mergeCell ref="H283:I283"/>
    <mergeCell ref="J283:K283"/>
    <mergeCell ref="L283:M283"/>
    <mergeCell ref="T283:U283"/>
    <mergeCell ref="Q245:R245"/>
    <mergeCell ref="Q246:R246"/>
    <mergeCell ref="Q247:R247"/>
    <mergeCell ref="E250:F250"/>
    <mergeCell ref="H250:I250"/>
    <mergeCell ref="B281:C281"/>
    <mergeCell ref="D281:E282"/>
    <mergeCell ref="H281:M281"/>
    <mergeCell ref="AB287:AC287"/>
    <mergeCell ref="L288:M288"/>
    <mergeCell ref="J292:K292"/>
    <mergeCell ref="J293:K293"/>
    <mergeCell ref="J294:K294"/>
    <mergeCell ref="J295:K295"/>
    <mergeCell ref="H284:I284"/>
    <mergeCell ref="J284:K284"/>
    <mergeCell ref="L284:M284"/>
    <mergeCell ref="L285:M285"/>
    <mergeCell ref="L286:M286"/>
    <mergeCell ref="L287:M287"/>
    <mergeCell ref="J304:K304"/>
    <mergeCell ref="J305:K305"/>
    <mergeCell ref="O309:P309"/>
    <mergeCell ref="O310:P310"/>
    <mergeCell ref="O311:P311"/>
    <mergeCell ref="A313:V314"/>
    <mergeCell ref="J296:K296"/>
    <mergeCell ref="P296:Q296"/>
    <mergeCell ref="P299:Q299"/>
    <mergeCell ref="P300:Q300"/>
    <mergeCell ref="P301:Q301"/>
    <mergeCell ref="J303:K303"/>
    <mergeCell ref="Q325:S325"/>
    <mergeCell ref="T325:T326"/>
    <mergeCell ref="I326:J326"/>
    <mergeCell ref="A328:C329"/>
    <mergeCell ref="D328:D329"/>
    <mergeCell ref="E328:E329"/>
    <mergeCell ref="F328:G329"/>
    <mergeCell ref="H328:H329"/>
    <mergeCell ref="I328:J328"/>
    <mergeCell ref="K328:K329"/>
    <mergeCell ref="K325:K326"/>
    <mergeCell ref="L325:L326"/>
    <mergeCell ref="M325:M326"/>
    <mergeCell ref="N325:N326"/>
    <mergeCell ref="O325:O326"/>
    <mergeCell ref="P325:P326"/>
    <mergeCell ref="A325:C326"/>
    <mergeCell ref="D325:D326"/>
    <mergeCell ref="E325:E326"/>
    <mergeCell ref="F325:G326"/>
    <mergeCell ref="H325:H326"/>
    <mergeCell ref="I325:J325"/>
    <mergeCell ref="T328:T329"/>
    <mergeCell ref="I329:J329"/>
    <mergeCell ref="A331:V332"/>
    <mergeCell ref="A334:C335"/>
    <mergeCell ref="D334:D335"/>
    <mergeCell ref="E334:E335"/>
    <mergeCell ref="F334:G335"/>
    <mergeCell ref="H334:H335"/>
    <mergeCell ref="I334:J334"/>
    <mergeCell ref="K334:K335"/>
    <mergeCell ref="L328:L329"/>
    <mergeCell ref="M328:M329"/>
    <mergeCell ref="N328:N329"/>
    <mergeCell ref="O328:O329"/>
    <mergeCell ref="P328:P329"/>
    <mergeCell ref="Q328:S328"/>
    <mergeCell ref="T334:T335"/>
    <mergeCell ref="I335:J335"/>
    <mergeCell ref="M337:N337"/>
    <mergeCell ref="R340:S340"/>
    <mergeCell ref="R341:S341"/>
    <mergeCell ref="R342:S342"/>
    <mergeCell ref="L334:L335"/>
    <mergeCell ref="M334:M335"/>
    <mergeCell ref="N334:N335"/>
    <mergeCell ref="O334:O335"/>
    <mergeCell ref="P334:P335"/>
    <mergeCell ref="Q334:S334"/>
    <mergeCell ref="D352:D353"/>
    <mergeCell ref="E352:E353"/>
    <mergeCell ref="F352:G353"/>
    <mergeCell ref="H352:H353"/>
    <mergeCell ref="I352:J352"/>
    <mergeCell ref="Q357:S357"/>
    <mergeCell ref="T357:T358"/>
    <mergeCell ref="R344:S344"/>
    <mergeCell ref="R346:S346"/>
    <mergeCell ref="R347:S347"/>
    <mergeCell ref="R348:S348"/>
    <mergeCell ref="R349:S349"/>
    <mergeCell ref="R350:S350"/>
    <mergeCell ref="L357:L358"/>
    <mergeCell ref="M357:M358"/>
    <mergeCell ref="N357:N358"/>
    <mergeCell ref="O357:O358"/>
    <mergeCell ref="P357:P358"/>
    <mergeCell ref="A362:C363"/>
    <mergeCell ref="D362:D363"/>
    <mergeCell ref="E362:E363"/>
    <mergeCell ref="F362:G363"/>
    <mergeCell ref="H362:H363"/>
    <mergeCell ref="I362:J362"/>
    <mergeCell ref="K357:K358"/>
    <mergeCell ref="Q352:S352"/>
    <mergeCell ref="T352:T353"/>
    <mergeCell ref="I353:J353"/>
    <mergeCell ref="D355:E355"/>
    <mergeCell ref="A357:C358"/>
    <mergeCell ref="D357:D358"/>
    <mergeCell ref="E357:E358"/>
    <mergeCell ref="F357:G358"/>
    <mergeCell ref="H357:H358"/>
    <mergeCell ref="I357:J357"/>
    <mergeCell ref="K352:K353"/>
    <mergeCell ref="L352:L353"/>
    <mergeCell ref="M352:M353"/>
    <mergeCell ref="N352:N353"/>
    <mergeCell ref="O352:O353"/>
    <mergeCell ref="P352:P353"/>
    <mergeCell ref="A352:C353"/>
    <mergeCell ref="Q362:S362"/>
    <mergeCell ref="T362:T363"/>
    <mergeCell ref="I363:J363"/>
    <mergeCell ref="D365:E365"/>
    <mergeCell ref="I358:J358"/>
    <mergeCell ref="D360:E360"/>
    <mergeCell ref="M369:N369"/>
    <mergeCell ref="Q369:R369"/>
    <mergeCell ref="K362:K363"/>
    <mergeCell ref="L362:L363"/>
    <mergeCell ref="M362:M363"/>
    <mergeCell ref="N362:N363"/>
    <mergeCell ref="O362:O363"/>
    <mergeCell ref="P362:P363"/>
    <mergeCell ref="Q374:R374"/>
    <mergeCell ref="Q375:R375"/>
    <mergeCell ref="Q376:R376"/>
    <mergeCell ref="E379:F379"/>
    <mergeCell ref="H379:I379"/>
    <mergeCell ref="A414:C417"/>
    <mergeCell ref="D414:F417"/>
    <mergeCell ref="G414:H417"/>
    <mergeCell ref="I414:J417"/>
    <mergeCell ref="K414:L417"/>
    <mergeCell ref="M414:N417"/>
    <mergeCell ref="O414:P417"/>
    <mergeCell ref="Q414:R417"/>
    <mergeCell ref="S414:V417"/>
    <mergeCell ref="A418:A420"/>
    <mergeCell ref="B418:C420"/>
    <mergeCell ref="D418:E418"/>
    <mergeCell ref="F418:F420"/>
    <mergeCell ref="G418:G420"/>
    <mergeCell ref="H418:H420"/>
    <mergeCell ref="D419:E419"/>
    <mergeCell ref="K419:L419"/>
    <mergeCell ref="M419:N419"/>
    <mergeCell ref="O419:P419"/>
    <mergeCell ref="S419:V419"/>
    <mergeCell ref="D420:E420"/>
    <mergeCell ref="K420:L420"/>
    <mergeCell ref="M420:N420"/>
    <mergeCell ref="O420:P420"/>
    <mergeCell ref="S420:V420"/>
    <mergeCell ref="I418:J420"/>
    <mergeCell ref="K418:L418"/>
    <mergeCell ref="M418:N418"/>
    <mergeCell ref="O418:P418"/>
    <mergeCell ref="Q418:R420"/>
    <mergeCell ref="S418:V418"/>
    <mergeCell ref="A454:G455"/>
    <mergeCell ref="H454:N455"/>
    <mergeCell ref="O454:Q454"/>
    <mergeCell ref="R454:V454"/>
    <mergeCell ref="O455:Q455"/>
    <mergeCell ref="R455:V455"/>
    <mergeCell ref="A452:G453"/>
    <mergeCell ref="H452:N452"/>
    <mergeCell ref="O452:Q452"/>
    <mergeCell ref="R452:V452"/>
    <mergeCell ref="H453:N453"/>
    <mergeCell ref="O453:Q453"/>
    <mergeCell ref="R453:V453"/>
    <mergeCell ref="A456:B456"/>
    <mergeCell ref="D456:F456"/>
    <mergeCell ref="H456:N456"/>
    <mergeCell ref="O456:Q456"/>
    <mergeCell ref="R456:V456"/>
    <mergeCell ref="B458:C458"/>
    <mergeCell ref="D458:E459"/>
    <mergeCell ref="H458:M458"/>
    <mergeCell ref="T458:U458"/>
    <mergeCell ref="B459:C459"/>
    <mergeCell ref="H462:I462"/>
    <mergeCell ref="H463:I463"/>
    <mergeCell ref="H464:I464"/>
    <mergeCell ref="AB464:AC464"/>
    <mergeCell ref="H465:I465"/>
    <mergeCell ref="J469:K469"/>
    <mergeCell ref="T459:U459"/>
    <mergeCell ref="H460:I460"/>
    <mergeCell ref="J460:K460"/>
    <mergeCell ref="L460:M460"/>
    <mergeCell ref="T460:U460"/>
    <mergeCell ref="H461:I461"/>
    <mergeCell ref="J461:K461"/>
    <mergeCell ref="L461:M461"/>
    <mergeCell ref="P477:Q477"/>
    <mergeCell ref="P478:Q478"/>
    <mergeCell ref="J480:K480"/>
    <mergeCell ref="J481:K481"/>
    <mergeCell ref="J482:K482"/>
    <mergeCell ref="O486:P486"/>
    <mergeCell ref="J470:K470"/>
    <mergeCell ref="J471:K471"/>
    <mergeCell ref="J472:K472"/>
    <mergeCell ref="J473:K473"/>
    <mergeCell ref="P473:Q473"/>
    <mergeCell ref="P476:Q476"/>
    <mergeCell ref="K500:K501"/>
    <mergeCell ref="L500:L501"/>
    <mergeCell ref="L497:L498"/>
    <mergeCell ref="O487:P487"/>
    <mergeCell ref="O488:P488"/>
    <mergeCell ref="A490:V491"/>
    <mergeCell ref="A497:C498"/>
    <mergeCell ref="D497:D498"/>
    <mergeCell ref="E497:E498"/>
    <mergeCell ref="F497:G498"/>
    <mergeCell ref="H497:H498"/>
    <mergeCell ref="I497:J497"/>
    <mergeCell ref="K497:K498"/>
    <mergeCell ref="T497:T498"/>
    <mergeCell ref="I498:J498"/>
    <mergeCell ref="M497:M498"/>
    <mergeCell ref="N497:N498"/>
    <mergeCell ref="O497:O498"/>
    <mergeCell ref="P497:P498"/>
    <mergeCell ref="Q497:S497"/>
    <mergeCell ref="T506:T507"/>
    <mergeCell ref="I501:J501"/>
    <mergeCell ref="A503:V504"/>
    <mergeCell ref="A506:C507"/>
    <mergeCell ref="D506:D507"/>
    <mergeCell ref="E506:E507"/>
    <mergeCell ref="F506:G507"/>
    <mergeCell ref="H506:H507"/>
    <mergeCell ref="I506:J506"/>
    <mergeCell ref="K506:K507"/>
    <mergeCell ref="L506:L507"/>
    <mergeCell ref="M500:M501"/>
    <mergeCell ref="N500:N501"/>
    <mergeCell ref="O500:O501"/>
    <mergeCell ref="P500:P501"/>
    <mergeCell ref="Q500:S500"/>
    <mergeCell ref="T500:T501"/>
    <mergeCell ref="I507:J507"/>
    <mergeCell ref="A500:C501"/>
    <mergeCell ref="D500:D501"/>
    <mergeCell ref="E500:E501"/>
    <mergeCell ref="F500:G501"/>
    <mergeCell ref="H500:H501"/>
    <mergeCell ref="I500:J500"/>
    <mergeCell ref="M509:N509"/>
    <mergeCell ref="R512:S512"/>
    <mergeCell ref="R513:S513"/>
    <mergeCell ref="R514:S514"/>
    <mergeCell ref="R516:S516"/>
    <mergeCell ref="M506:M507"/>
    <mergeCell ref="N506:N507"/>
    <mergeCell ref="O506:O507"/>
    <mergeCell ref="P506:P507"/>
    <mergeCell ref="Q506:S506"/>
    <mergeCell ref="R518:S518"/>
    <mergeCell ref="R519:S519"/>
    <mergeCell ref="R520:S520"/>
    <mergeCell ref="R521:S521"/>
    <mergeCell ref="R522:S522"/>
    <mergeCell ref="A524:C525"/>
    <mergeCell ref="D524:D525"/>
    <mergeCell ref="E524:E525"/>
    <mergeCell ref="F524:G525"/>
    <mergeCell ref="H524:H525"/>
    <mergeCell ref="P524:P525"/>
    <mergeCell ref="Q524:S524"/>
    <mergeCell ref="T524:T525"/>
    <mergeCell ref="I525:J525"/>
    <mergeCell ref="D527:E527"/>
    <mergeCell ref="A529:C530"/>
    <mergeCell ref="D529:D530"/>
    <mergeCell ref="E529:E530"/>
    <mergeCell ref="F529:G530"/>
    <mergeCell ref="H529:H530"/>
    <mergeCell ref="I524:J524"/>
    <mergeCell ref="K524:K525"/>
    <mergeCell ref="L524:L525"/>
    <mergeCell ref="M524:M525"/>
    <mergeCell ref="N524:N525"/>
    <mergeCell ref="O524:O525"/>
    <mergeCell ref="P529:P530"/>
    <mergeCell ref="Q529:S529"/>
    <mergeCell ref="T529:T530"/>
    <mergeCell ref="I530:J530"/>
    <mergeCell ref="M529:M530"/>
    <mergeCell ref="N529:N530"/>
    <mergeCell ref="O529:O530"/>
    <mergeCell ref="D532:E532"/>
    <mergeCell ref="A534:C535"/>
    <mergeCell ref="D534:D535"/>
    <mergeCell ref="E534:E535"/>
    <mergeCell ref="F534:G535"/>
    <mergeCell ref="H534:H535"/>
    <mergeCell ref="I529:J529"/>
    <mergeCell ref="K529:K530"/>
    <mergeCell ref="L529:L530"/>
    <mergeCell ref="P534:P535"/>
    <mergeCell ref="Q534:S534"/>
    <mergeCell ref="T534:T535"/>
    <mergeCell ref="I535:J535"/>
    <mergeCell ref="D537:E537"/>
    <mergeCell ref="M541:N541"/>
    <mergeCell ref="Q541:R541"/>
    <mergeCell ref="I534:J534"/>
    <mergeCell ref="K534:K535"/>
    <mergeCell ref="L534:L535"/>
    <mergeCell ref="M534:M535"/>
    <mergeCell ref="N534:N535"/>
    <mergeCell ref="O534:O535"/>
    <mergeCell ref="T585:U585"/>
    <mergeCell ref="B586:C586"/>
    <mergeCell ref="T586:U586"/>
    <mergeCell ref="H587:I587"/>
    <mergeCell ref="J587:K587"/>
    <mergeCell ref="L587:M587"/>
    <mergeCell ref="T587:U587"/>
    <mergeCell ref="Q547:R547"/>
    <mergeCell ref="Q548:R548"/>
    <mergeCell ref="E551:F551"/>
    <mergeCell ref="H551:I551"/>
    <mergeCell ref="B585:C585"/>
    <mergeCell ref="D585:E586"/>
    <mergeCell ref="H585:M585"/>
    <mergeCell ref="AB591:AC591"/>
    <mergeCell ref="J592:K592"/>
    <mergeCell ref="J596:K596"/>
    <mergeCell ref="J597:K597"/>
    <mergeCell ref="J598:K598"/>
    <mergeCell ref="J599:K599"/>
    <mergeCell ref="H588:I588"/>
    <mergeCell ref="J588:K588"/>
    <mergeCell ref="L588:M588"/>
    <mergeCell ref="J589:K589"/>
    <mergeCell ref="J590:K590"/>
    <mergeCell ref="J591:K591"/>
    <mergeCell ref="J608:K608"/>
    <mergeCell ref="J609:K609"/>
    <mergeCell ref="O613:P613"/>
    <mergeCell ref="O614:P614"/>
    <mergeCell ref="O615:P615"/>
    <mergeCell ref="A617:V618"/>
    <mergeCell ref="J600:K600"/>
    <mergeCell ref="P600:Q600"/>
    <mergeCell ref="P603:Q603"/>
    <mergeCell ref="P604:Q604"/>
    <mergeCell ref="P605:Q605"/>
    <mergeCell ref="J607:K607"/>
    <mergeCell ref="Q629:S629"/>
    <mergeCell ref="T629:T630"/>
    <mergeCell ref="I630:J630"/>
    <mergeCell ref="A632:C633"/>
    <mergeCell ref="D632:D633"/>
    <mergeCell ref="E632:E633"/>
    <mergeCell ref="F632:G633"/>
    <mergeCell ref="H632:H633"/>
    <mergeCell ref="I632:J632"/>
    <mergeCell ref="K632:K633"/>
    <mergeCell ref="K629:K630"/>
    <mergeCell ref="L629:L630"/>
    <mergeCell ref="M629:M630"/>
    <mergeCell ref="N629:N630"/>
    <mergeCell ref="O629:O630"/>
    <mergeCell ref="P629:P630"/>
    <mergeCell ref="A629:C630"/>
    <mergeCell ref="D629:D630"/>
    <mergeCell ref="E629:E630"/>
    <mergeCell ref="F629:G630"/>
    <mergeCell ref="H629:H630"/>
    <mergeCell ref="I629:J629"/>
    <mergeCell ref="T632:T633"/>
    <mergeCell ref="I633:J633"/>
    <mergeCell ref="A635:V636"/>
    <mergeCell ref="A638:C639"/>
    <mergeCell ref="D638:D639"/>
    <mergeCell ref="E638:E639"/>
    <mergeCell ref="F638:G639"/>
    <mergeCell ref="H638:H639"/>
    <mergeCell ref="I638:J638"/>
    <mergeCell ref="K638:K639"/>
    <mergeCell ref="L632:L633"/>
    <mergeCell ref="M632:M633"/>
    <mergeCell ref="N632:N633"/>
    <mergeCell ref="O632:O633"/>
    <mergeCell ref="P632:P633"/>
    <mergeCell ref="Q632:S632"/>
    <mergeCell ref="T638:T639"/>
    <mergeCell ref="I639:J639"/>
    <mergeCell ref="M641:N641"/>
    <mergeCell ref="R644:S644"/>
    <mergeCell ref="R645:S645"/>
    <mergeCell ref="R646:S646"/>
    <mergeCell ref="L638:L639"/>
    <mergeCell ref="M638:M639"/>
    <mergeCell ref="N638:N639"/>
    <mergeCell ref="O638:O639"/>
    <mergeCell ref="P638:P639"/>
    <mergeCell ref="Q638:S638"/>
    <mergeCell ref="D656:D657"/>
    <mergeCell ref="E656:E657"/>
    <mergeCell ref="F656:G657"/>
    <mergeCell ref="H656:H657"/>
    <mergeCell ref="I656:J656"/>
    <mergeCell ref="Q661:S661"/>
    <mergeCell ref="T661:T662"/>
    <mergeCell ref="R648:S648"/>
    <mergeCell ref="R650:S650"/>
    <mergeCell ref="R651:S651"/>
    <mergeCell ref="R652:S652"/>
    <mergeCell ref="R653:S653"/>
    <mergeCell ref="R654:S654"/>
    <mergeCell ref="L661:L662"/>
    <mergeCell ref="M661:M662"/>
    <mergeCell ref="N661:N662"/>
    <mergeCell ref="O661:O662"/>
    <mergeCell ref="P661:P662"/>
    <mergeCell ref="A666:C667"/>
    <mergeCell ref="D666:D667"/>
    <mergeCell ref="E666:E667"/>
    <mergeCell ref="F666:G667"/>
    <mergeCell ref="H666:H667"/>
    <mergeCell ref="I666:J666"/>
    <mergeCell ref="K661:K662"/>
    <mergeCell ref="Q656:S656"/>
    <mergeCell ref="T656:T657"/>
    <mergeCell ref="I657:J657"/>
    <mergeCell ref="D659:E659"/>
    <mergeCell ref="A661:C662"/>
    <mergeCell ref="D661:D662"/>
    <mergeCell ref="E661:E662"/>
    <mergeCell ref="F661:G662"/>
    <mergeCell ref="H661:H662"/>
    <mergeCell ref="I661:J661"/>
    <mergeCell ref="K656:K657"/>
    <mergeCell ref="L656:L657"/>
    <mergeCell ref="M656:M657"/>
    <mergeCell ref="N656:N657"/>
    <mergeCell ref="O656:O657"/>
    <mergeCell ref="P656:P657"/>
    <mergeCell ref="A656:C657"/>
    <mergeCell ref="Q666:S666"/>
    <mergeCell ref="T666:T667"/>
    <mergeCell ref="I667:J667"/>
    <mergeCell ref="D669:E669"/>
    <mergeCell ref="I662:J662"/>
    <mergeCell ref="D664:E664"/>
    <mergeCell ref="M673:N673"/>
    <mergeCell ref="Q673:R673"/>
    <mergeCell ref="K666:K667"/>
    <mergeCell ref="L666:L667"/>
    <mergeCell ref="M666:M667"/>
    <mergeCell ref="N666:N667"/>
    <mergeCell ref="O666:O667"/>
    <mergeCell ref="P666:P667"/>
    <mergeCell ref="T717:U717"/>
    <mergeCell ref="B718:C718"/>
    <mergeCell ref="T718:U718"/>
    <mergeCell ref="H719:I719"/>
    <mergeCell ref="J719:K719"/>
    <mergeCell ref="L719:M719"/>
    <mergeCell ref="T719:U719"/>
    <mergeCell ref="Q679:R679"/>
    <mergeCell ref="Q680:R680"/>
    <mergeCell ref="E683:F683"/>
    <mergeCell ref="H683:I683"/>
    <mergeCell ref="B717:C717"/>
    <mergeCell ref="D717:E718"/>
    <mergeCell ref="H717:M717"/>
    <mergeCell ref="AB723:AC723"/>
    <mergeCell ref="L724:M724"/>
    <mergeCell ref="J728:K728"/>
    <mergeCell ref="J729:K729"/>
    <mergeCell ref="J730:K730"/>
    <mergeCell ref="J731:K731"/>
    <mergeCell ref="H720:I720"/>
    <mergeCell ref="J720:K720"/>
    <mergeCell ref="L720:M720"/>
    <mergeCell ref="L721:M721"/>
    <mergeCell ref="L722:M722"/>
    <mergeCell ref="L723:M723"/>
    <mergeCell ref="J740:K740"/>
    <mergeCell ref="J741:K741"/>
    <mergeCell ref="O745:P745"/>
    <mergeCell ref="O746:P746"/>
    <mergeCell ref="O747:P747"/>
    <mergeCell ref="A749:V750"/>
    <mergeCell ref="J732:K732"/>
    <mergeCell ref="P732:Q732"/>
    <mergeCell ref="P735:Q735"/>
    <mergeCell ref="P736:Q736"/>
    <mergeCell ref="P737:Q737"/>
    <mergeCell ref="J739:K739"/>
    <mergeCell ref="Q761:S761"/>
    <mergeCell ref="T761:T762"/>
    <mergeCell ref="I762:J762"/>
    <mergeCell ref="A764:C765"/>
    <mergeCell ref="D764:D765"/>
    <mergeCell ref="E764:E765"/>
    <mergeCell ref="F764:G765"/>
    <mergeCell ref="H764:H765"/>
    <mergeCell ref="I764:J764"/>
    <mergeCell ref="K764:K765"/>
    <mergeCell ref="K761:K762"/>
    <mergeCell ref="L761:L762"/>
    <mergeCell ref="M761:M762"/>
    <mergeCell ref="N761:N762"/>
    <mergeCell ref="O761:O762"/>
    <mergeCell ref="P761:P762"/>
    <mergeCell ref="A761:C762"/>
    <mergeCell ref="D761:D762"/>
    <mergeCell ref="E761:E762"/>
    <mergeCell ref="F761:G762"/>
    <mergeCell ref="H761:H762"/>
    <mergeCell ref="I761:J761"/>
    <mergeCell ref="T764:T765"/>
    <mergeCell ref="I765:J765"/>
    <mergeCell ref="A767:V768"/>
    <mergeCell ref="A770:C771"/>
    <mergeCell ref="D770:D771"/>
    <mergeCell ref="E770:E771"/>
    <mergeCell ref="F770:G771"/>
    <mergeCell ref="H770:H771"/>
    <mergeCell ref="I770:J770"/>
    <mergeCell ref="K770:K771"/>
    <mergeCell ref="L764:L765"/>
    <mergeCell ref="M764:M765"/>
    <mergeCell ref="N764:N765"/>
    <mergeCell ref="O764:O765"/>
    <mergeCell ref="P764:P765"/>
    <mergeCell ref="Q764:S764"/>
    <mergeCell ref="T770:T771"/>
    <mergeCell ref="I771:J771"/>
    <mergeCell ref="M773:N773"/>
    <mergeCell ref="R776:S776"/>
    <mergeCell ref="R777:S777"/>
    <mergeCell ref="R778:S778"/>
    <mergeCell ref="L770:L771"/>
    <mergeCell ref="M770:M771"/>
    <mergeCell ref="N770:N771"/>
    <mergeCell ref="O770:O771"/>
    <mergeCell ref="P770:P771"/>
    <mergeCell ref="Q770:S770"/>
    <mergeCell ref="D788:D789"/>
    <mergeCell ref="E788:E789"/>
    <mergeCell ref="F788:G789"/>
    <mergeCell ref="H788:H789"/>
    <mergeCell ref="I788:J788"/>
    <mergeCell ref="Q793:S793"/>
    <mergeCell ref="T793:T794"/>
    <mergeCell ref="R780:S780"/>
    <mergeCell ref="R782:S782"/>
    <mergeCell ref="R783:S783"/>
    <mergeCell ref="R784:S784"/>
    <mergeCell ref="R785:S785"/>
    <mergeCell ref="R786:S786"/>
    <mergeCell ref="L793:L794"/>
    <mergeCell ref="M793:M794"/>
    <mergeCell ref="N793:N794"/>
    <mergeCell ref="O793:O794"/>
    <mergeCell ref="P793:P794"/>
    <mergeCell ref="A798:C799"/>
    <mergeCell ref="D798:D799"/>
    <mergeCell ref="E798:E799"/>
    <mergeCell ref="F798:G799"/>
    <mergeCell ref="H798:H799"/>
    <mergeCell ref="I798:J798"/>
    <mergeCell ref="K793:K794"/>
    <mergeCell ref="Q788:S788"/>
    <mergeCell ref="T788:T789"/>
    <mergeCell ref="I789:J789"/>
    <mergeCell ref="D791:E791"/>
    <mergeCell ref="A793:C794"/>
    <mergeCell ref="D793:D794"/>
    <mergeCell ref="E793:E794"/>
    <mergeCell ref="F793:G794"/>
    <mergeCell ref="H793:H794"/>
    <mergeCell ref="I793:J793"/>
    <mergeCell ref="K788:K789"/>
    <mergeCell ref="L788:L789"/>
    <mergeCell ref="M788:M789"/>
    <mergeCell ref="N788:N789"/>
    <mergeCell ref="O788:O789"/>
    <mergeCell ref="P788:P789"/>
    <mergeCell ref="A788:C789"/>
    <mergeCell ref="Q798:S798"/>
    <mergeCell ref="T798:T799"/>
    <mergeCell ref="I799:J799"/>
    <mergeCell ref="D801:E801"/>
    <mergeCell ref="I794:J794"/>
    <mergeCell ref="D796:E796"/>
    <mergeCell ref="M805:N805"/>
    <mergeCell ref="Q805:R805"/>
    <mergeCell ref="K798:K799"/>
    <mergeCell ref="L798:L799"/>
    <mergeCell ref="M798:M799"/>
    <mergeCell ref="N798:N799"/>
    <mergeCell ref="O798:O799"/>
    <mergeCell ref="P798:P799"/>
    <mergeCell ref="Q812:R812"/>
    <mergeCell ref="E815:F815"/>
    <mergeCell ref="H815:I815"/>
    <mergeCell ref="A850:C852"/>
    <mergeCell ref="D850:G852"/>
    <mergeCell ref="H850:I852"/>
    <mergeCell ref="J850:K852"/>
    <mergeCell ref="L850:N852"/>
    <mergeCell ref="O850:Q852"/>
    <mergeCell ref="R850:T852"/>
    <mergeCell ref="R35:V35"/>
    <mergeCell ref="U850:V852"/>
    <mergeCell ref="A853:B853"/>
    <mergeCell ref="C853:C855"/>
    <mergeCell ref="D853:D855"/>
    <mergeCell ref="E853:E855"/>
    <mergeCell ref="F853:F855"/>
    <mergeCell ref="G853:G855"/>
    <mergeCell ref="H853:H855"/>
    <mergeCell ref="I853:I855"/>
    <mergeCell ref="Q853:Q855"/>
    <mergeCell ref="R853:R855"/>
    <mergeCell ref="S853:S855"/>
    <mergeCell ref="T853:T855"/>
    <mergeCell ref="U853:V855"/>
    <mergeCell ref="A854:B854"/>
    <mergeCell ref="A855:B855"/>
    <mergeCell ref="J853:K855"/>
    <mergeCell ref="L853:L855"/>
    <mergeCell ref="M853:M855"/>
    <mergeCell ref="N853:N855"/>
    <mergeCell ref="O853:O855"/>
    <mergeCell ref="P853:P855"/>
    <mergeCell ref="Q811:R811"/>
  </mergeCells>
  <conditionalFormatting sqref="H111:H138 H251 H380 H552:H572 H684:H704 H816:H836">
    <cfRule type="cellIs" dxfId="76" priority="1" stopIfTrue="1" operator="equal">
      <formula>"Under Dimentioned"</formula>
    </cfRule>
  </conditionalFormatting>
  <dataValidations disablePrompts="1" count="2">
    <dataValidation type="list" allowBlank="1" showInputMessage="1" showErrorMessage="1" sqref="M773:N773 JI773:JJ773 TE773:TF773 ADA773:ADB773 AMW773:AMX773 AWS773:AWT773 BGO773:BGP773 BQK773:BQL773 CAG773:CAH773 CKC773:CKD773 CTY773:CTZ773 DDU773:DDV773 DNQ773:DNR773 DXM773:DXN773 EHI773:EHJ773 ERE773:ERF773 FBA773:FBB773 FKW773:FKX773 FUS773:FUT773 GEO773:GEP773 GOK773:GOL773 GYG773:GYH773 HIC773:HID773 HRY773:HRZ773 IBU773:IBV773 ILQ773:ILR773 IVM773:IVN773 JFI773:JFJ773 JPE773:JPF773 JZA773:JZB773 KIW773:KIX773 KSS773:KST773 LCO773:LCP773 LMK773:LML773 LWG773:LWH773 MGC773:MGD773 MPY773:MPZ773 MZU773:MZV773 NJQ773:NJR773 NTM773:NTN773 ODI773:ODJ773 ONE773:ONF773 OXA773:OXB773 PGW773:PGX773 PQS773:PQT773 QAO773:QAP773 QKK773:QKL773 QUG773:QUH773 REC773:RED773 RNY773:RNZ773 RXU773:RXV773 SHQ773:SHR773 SRM773:SRN773 TBI773:TBJ773 TLE773:TLF773 TVA773:TVB773 UEW773:UEX773 UOS773:UOT773 UYO773:UYP773 VIK773:VIL773 VSG773:VSH773 WCC773:WCD773 WLY773:WLZ773 WVU773:WVV773 M66309:N66309 JI66309:JJ66309 TE66309:TF66309 ADA66309:ADB66309 AMW66309:AMX66309 AWS66309:AWT66309 BGO66309:BGP66309 BQK66309:BQL66309 CAG66309:CAH66309 CKC66309:CKD66309 CTY66309:CTZ66309 DDU66309:DDV66309 DNQ66309:DNR66309 DXM66309:DXN66309 EHI66309:EHJ66309 ERE66309:ERF66309 FBA66309:FBB66309 FKW66309:FKX66309 FUS66309:FUT66309 GEO66309:GEP66309 GOK66309:GOL66309 GYG66309:GYH66309 HIC66309:HID66309 HRY66309:HRZ66309 IBU66309:IBV66309 ILQ66309:ILR66309 IVM66309:IVN66309 JFI66309:JFJ66309 JPE66309:JPF66309 JZA66309:JZB66309 KIW66309:KIX66309 KSS66309:KST66309 LCO66309:LCP66309 LMK66309:LML66309 LWG66309:LWH66309 MGC66309:MGD66309 MPY66309:MPZ66309 MZU66309:MZV66309 NJQ66309:NJR66309 NTM66309:NTN66309 ODI66309:ODJ66309 ONE66309:ONF66309 OXA66309:OXB66309 PGW66309:PGX66309 PQS66309:PQT66309 QAO66309:QAP66309 QKK66309:QKL66309 QUG66309:QUH66309 REC66309:RED66309 RNY66309:RNZ66309 RXU66309:RXV66309 SHQ66309:SHR66309 SRM66309:SRN66309 TBI66309:TBJ66309 TLE66309:TLF66309 TVA66309:TVB66309 UEW66309:UEX66309 UOS66309:UOT66309 UYO66309:UYP66309 VIK66309:VIL66309 VSG66309:VSH66309 WCC66309:WCD66309 WLY66309:WLZ66309 WVU66309:WVV66309 M131845:N131845 JI131845:JJ131845 TE131845:TF131845 ADA131845:ADB131845 AMW131845:AMX131845 AWS131845:AWT131845 BGO131845:BGP131845 BQK131845:BQL131845 CAG131845:CAH131845 CKC131845:CKD131845 CTY131845:CTZ131845 DDU131845:DDV131845 DNQ131845:DNR131845 DXM131845:DXN131845 EHI131845:EHJ131845 ERE131845:ERF131845 FBA131845:FBB131845 FKW131845:FKX131845 FUS131845:FUT131845 GEO131845:GEP131845 GOK131845:GOL131845 GYG131845:GYH131845 HIC131845:HID131845 HRY131845:HRZ131845 IBU131845:IBV131845 ILQ131845:ILR131845 IVM131845:IVN131845 JFI131845:JFJ131845 JPE131845:JPF131845 JZA131845:JZB131845 KIW131845:KIX131845 KSS131845:KST131845 LCO131845:LCP131845 LMK131845:LML131845 LWG131845:LWH131845 MGC131845:MGD131845 MPY131845:MPZ131845 MZU131845:MZV131845 NJQ131845:NJR131845 NTM131845:NTN131845 ODI131845:ODJ131845 ONE131845:ONF131845 OXA131845:OXB131845 PGW131845:PGX131845 PQS131845:PQT131845 QAO131845:QAP131845 QKK131845:QKL131845 QUG131845:QUH131845 REC131845:RED131845 RNY131845:RNZ131845 RXU131845:RXV131845 SHQ131845:SHR131845 SRM131845:SRN131845 TBI131845:TBJ131845 TLE131845:TLF131845 TVA131845:TVB131845 UEW131845:UEX131845 UOS131845:UOT131845 UYO131845:UYP131845 VIK131845:VIL131845 VSG131845:VSH131845 WCC131845:WCD131845 WLY131845:WLZ131845 WVU131845:WVV131845 M197381:N197381 JI197381:JJ197381 TE197381:TF197381 ADA197381:ADB197381 AMW197381:AMX197381 AWS197381:AWT197381 BGO197381:BGP197381 BQK197381:BQL197381 CAG197381:CAH197381 CKC197381:CKD197381 CTY197381:CTZ197381 DDU197381:DDV197381 DNQ197381:DNR197381 DXM197381:DXN197381 EHI197381:EHJ197381 ERE197381:ERF197381 FBA197381:FBB197381 FKW197381:FKX197381 FUS197381:FUT197381 GEO197381:GEP197381 GOK197381:GOL197381 GYG197381:GYH197381 HIC197381:HID197381 HRY197381:HRZ197381 IBU197381:IBV197381 ILQ197381:ILR197381 IVM197381:IVN197381 JFI197381:JFJ197381 JPE197381:JPF197381 JZA197381:JZB197381 KIW197381:KIX197381 KSS197381:KST197381 LCO197381:LCP197381 LMK197381:LML197381 LWG197381:LWH197381 MGC197381:MGD197381 MPY197381:MPZ197381 MZU197381:MZV197381 NJQ197381:NJR197381 NTM197381:NTN197381 ODI197381:ODJ197381 ONE197381:ONF197381 OXA197381:OXB197381 PGW197381:PGX197381 PQS197381:PQT197381 QAO197381:QAP197381 QKK197381:QKL197381 QUG197381:QUH197381 REC197381:RED197381 RNY197381:RNZ197381 RXU197381:RXV197381 SHQ197381:SHR197381 SRM197381:SRN197381 TBI197381:TBJ197381 TLE197381:TLF197381 TVA197381:TVB197381 UEW197381:UEX197381 UOS197381:UOT197381 UYO197381:UYP197381 VIK197381:VIL197381 VSG197381:VSH197381 WCC197381:WCD197381 WLY197381:WLZ197381 WVU197381:WVV197381 M262917:N262917 JI262917:JJ262917 TE262917:TF262917 ADA262917:ADB262917 AMW262917:AMX262917 AWS262917:AWT262917 BGO262917:BGP262917 BQK262917:BQL262917 CAG262917:CAH262917 CKC262917:CKD262917 CTY262917:CTZ262917 DDU262917:DDV262917 DNQ262917:DNR262917 DXM262917:DXN262917 EHI262917:EHJ262917 ERE262917:ERF262917 FBA262917:FBB262917 FKW262917:FKX262917 FUS262917:FUT262917 GEO262917:GEP262917 GOK262917:GOL262917 GYG262917:GYH262917 HIC262917:HID262917 HRY262917:HRZ262917 IBU262917:IBV262917 ILQ262917:ILR262917 IVM262917:IVN262917 JFI262917:JFJ262917 JPE262917:JPF262917 JZA262917:JZB262917 KIW262917:KIX262917 KSS262917:KST262917 LCO262917:LCP262917 LMK262917:LML262917 LWG262917:LWH262917 MGC262917:MGD262917 MPY262917:MPZ262917 MZU262917:MZV262917 NJQ262917:NJR262917 NTM262917:NTN262917 ODI262917:ODJ262917 ONE262917:ONF262917 OXA262917:OXB262917 PGW262917:PGX262917 PQS262917:PQT262917 QAO262917:QAP262917 QKK262917:QKL262917 QUG262917:QUH262917 REC262917:RED262917 RNY262917:RNZ262917 RXU262917:RXV262917 SHQ262917:SHR262917 SRM262917:SRN262917 TBI262917:TBJ262917 TLE262917:TLF262917 TVA262917:TVB262917 UEW262917:UEX262917 UOS262917:UOT262917 UYO262917:UYP262917 VIK262917:VIL262917 VSG262917:VSH262917 WCC262917:WCD262917 WLY262917:WLZ262917 WVU262917:WVV262917 M328453:N328453 JI328453:JJ328453 TE328453:TF328453 ADA328453:ADB328453 AMW328453:AMX328453 AWS328453:AWT328453 BGO328453:BGP328453 BQK328453:BQL328453 CAG328453:CAH328453 CKC328453:CKD328453 CTY328453:CTZ328453 DDU328453:DDV328453 DNQ328453:DNR328453 DXM328453:DXN328453 EHI328453:EHJ328453 ERE328453:ERF328453 FBA328453:FBB328453 FKW328453:FKX328453 FUS328453:FUT328453 GEO328453:GEP328453 GOK328453:GOL328453 GYG328453:GYH328453 HIC328453:HID328453 HRY328453:HRZ328453 IBU328453:IBV328453 ILQ328453:ILR328453 IVM328453:IVN328453 JFI328453:JFJ328453 JPE328453:JPF328453 JZA328453:JZB328453 KIW328453:KIX328453 KSS328453:KST328453 LCO328453:LCP328453 LMK328453:LML328453 LWG328453:LWH328453 MGC328453:MGD328453 MPY328453:MPZ328453 MZU328453:MZV328453 NJQ328453:NJR328453 NTM328453:NTN328453 ODI328453:ODJ328453 ONE328453:ONF328453 OXA328453:OXB328453 PGW328453:PGX328453 PQS328453:PQT328453 QAO328453:QAP328453 QKK328453:QKL328453 QUG328453:QUH328453 REC328453:RED328453 RNY328453:RNZ328453 RXU328453:RXV328453 SHQ328453:SHR328453 SRM328453:SRN328453 TBI328453:TBJ328453 TLE328453:TLF328453 TVA328453:TVB328453 UEW328453:UEX328453 UOS328453:UOT328453 UYO328453:UYP328453 VIK328453:VIL328453 VSG328453:VSH328453 WCC328453:WCD328453 WLY328453:WLZ328453 WVU328453:WVV328453 M393989:N393989 JI393989:JJ393989 TE393989:TF393989 ADA393989:ADB393989 AMW393989:AMX393989 AWS393989:AWT393989 BGO393989:BGP393989 BQK393989:BQL393989 CAG393989:CAH393989 CKC393989:CKD393989 CTY393989:CTZ393989 DDU393989:DDV393989 DNQ393989:DNR393989 DXM393989:DXN393989 EHI393989:EHJ393989 ERE393989:ERF393989 FBA393989:FBB393989 FKW393989:FKX393989 FUS393989:FUT393989 GEO393989:GEP393989 GOK393989:GOL393989 GYG393989:GYH393989 HIC393989:HID393989 HRY393989:HRZ393989 IBU393989:IBV393989 ILQ393989:ILR393989 IVM393989:IVN393989 JFI393989:JFJ393989 JPE393989:JPF393989 JZA393989:JZB393989 KIW393989:KIX393989 KSS393989:KST393989 LCO393989:LCP393989 LMK393989:LML393989 LWG393989:LWH393989 MGC393989:MGD393989 MPY393989:MPZ393989 MZU393989:MZV393989 NJQ393989:NJR393989 NTM393989:NTN393989 ODI393989:ODJ393989 ONE393989:ONF393989 OXA393989:OXB393989 PGW393989:PGX393989 PQS393989:PQT393989 QAO393989:QAP393989 QKK393989:QKL393989 QUG393989:QUH393989 REC393989:RED393989 RNY393989:RNZ393989 RXU393989:RXV393989 SHQ393989:SHR393989 SRM393989:SRN393989 TBI393989:TBJ393989 TLE393989:TLF393989 TVA393989:TVB393989 UEW393989:UEX393989 UOS393989:UOT393989 UYO393989:UYP393989 VIK393989:VIL393989 VSG393989:VSH393989 WCC393989:WCD393989 WLY393989:WLZ393989 WVU393989:WVV393989 M459525:N459525 JI459525:JJ459525 TE459525:TF459525 ADA459525:ADB459525 AMW459525:AMX459525 AWS459525:AWT459525 BGO459525:BGP459525 BQK459525:BQL459525 CAG459525:CAH459525 CKC459525:CKD459525 CTY459525:CTZ459525 DDU459525:DDV459525 DNQ459525:DNR459525 DXM459525:DXN459525 EHI459525:EHJ459525 ERE459525:ERF459525 FBA459525:FBB459525 FKW459525:FKX459525 FUS459525:FUT459525 GEO459525:GEP459525 GOK459525:GOL459525 GYG459525:GYH459525 HIC459525:HID459525 HRY459525:HRZ459525 IBU459525:IBV459525 ILQ459525:ILR459525 IVM459525:IVN459525 JFI459525:JFJ459525 JPE459525:JPF459525 JZA459525:JZB459525 KIW459525:KIX459525 KSS459525:KST459525 LCO459525:LCP459525 LMK459525:LML459525 LWG459525:LWH459525 MGC459525:MGD459525 MPY459525:MPZ459525 MZU459525:MZV459525 NJQ459525:NJR459525 NTM459525:NTN459525 ODI459525:ODJ459525 ONE459525:ONF459525 OXA459525:OXB459525 PGW459525:PGX459525 PQS459525:PQT459525 QAO459525:QAP459525 QKK459525:QKL459525 QUG459525:QUH459525 REC459525:RED459525 RNY459525:RNZ459525 RXU459525:RXV459525 SHQ459525:SHR459525 SRM459525:SRN459525 TBI459525:TBJ459525 TLE459525:TLF459525 TVA459525:TVB459525 UEW459525:UEX459525 UOS459525:UOT459525 UYO459525:UYP459525 VIK459525:VIL459525 VSG459525:VSH459525 WCC459525:WCD459525 WLY459525:WLZ459525 WVU459525:WVV459525 M525061:N525061 JI525061:JJ525061 TE525061:TF525061 ADA525061:ADB525061 AMW525061:AMX525061 AWS525061:AWT525061 BGO525061:BGP525061 BQK525061:BQL525061 CAG525061:CAH525061 CKC525061:CKD525061 CTY525061:CTZ525061 DDU525061:DDV525061 DNQ525061:DNR525061 DXM525061:DXN525061 EHI525061:EHJ525061 ERE525061:ERF525061 FBA525061:FBB525061 FKW525061:FKX525061 FUS525061:FUT525061 GEO525061:GEP525061 GOK525061:GOL525061 GYG525061:GYH525061 HIC525061:HID525061 HRY525061:HRZ525061 IBU525061:IBV525061 ILQ525061:ILR525061 IVM525061:IVN525061 JFI525061:JFJ525061 JPE525061:JPF525061 JZA525061:JZB525061 KIW525061:KIX525061 KSS525061:KST525061 LCO525061:LCP525061 LMK525061:LML525061 LWG525061:LWH525061 MGC525061:MGD525061 MPY525061:MPZ525061 MZU525061:MZV525061 NJQ525061:NJR525061 NTM525061:NTN525061 ODI525061:ODJ525061 ONE525061:ONF525061 OXA525061:OXB525061 PGW525061:PGX525061 PQS525061:PQT525061 QAO525061:QAP525061 QKK525061:QKL525061 QUG525061:QUH525061 REC525061:RED525061 RNY525061:RNZ525061 RXU525061:RXV525061 SHQ525061:SHR525061 SRM525061:SRN525061 TBI525061:TBJ525061 TLE525061:TLF525061 TVA525061:TVB525061 UEW525061:UEX525061 UOS525061:UOT525061 UYO525061:UYP525061 VIK525061:VIL525061 VSG525061:VSH525061 WCC525061:WCD525061 WLY525061:WLZ525061 WVU525061:WVV525061 M590597:N590597 JI590597:JJ590597 TE590597:TF590597 ADA590597:ADB590597 AMW590597:AMX590597 AWS590597:AWT590597 BGO590597:BGP590597 BQK590597:BQL590597 CAG590597:CAH590597 CKC590597:CKD590597 CTY590597:CTZ590597 DDU590597:DDV590597 DNQ590597:DNR590597 DXM590597:DXN590597 EHI590597:EHJ590597 ERE590597:ERF590597 FBA590597:FBB590597 FKW590597:FKX590597 FUS590597:FUT590597 GEO590597:GEP590597 GOK590597:GOL590597 GYG590597:GYH590597 HIC590597:HID590597 HRY590597:HRZ590597 IBU590597:IBV590597 ILQ590597:ILR590597 IVM590597:IVN590597 JFI590597:JFJ590597 JPE590597:JPF590597 JZA590597:JZB590597 KIW590597:KIX590597 KSS590597:KST590597 LCO590597:LCP590597 LMK590597:LML590597 LWG590597:LWH590597 MGC590597:MGD590597 MPY590597:MPZ590597 MZU590597:MZV590597 NJQ590597:NJR590597 NTM590597:NTN590597 ODI590597:ODJ590597 ONE590597:ONF590597 OXA590597:OXB590597 PGW590597:PGX590597 PQS590597:PQT590597 QAO590597:QAP590597 QKK590597:QKL590597 QUG590597:QUH590597 REC590597:RED590597 RNY590597:RNZ590597 RXU590597:RXV590597 SHQ590597:SHR590597 SRM590597:SRN590597 TBI590597:TBJ590597 TLE590597:TLF590597 TVA590597:TVB590597 UEW590597:UEX590597 UOS590597:UOT590597 UYO590597:UYP590597 VIK590597:VIL590597 VSG590597:VSH590597 WCC590597:WCD590597 WLY590597:WLZ590597 WVU590597:WVV590597 M656133:N656133 JI656133:JJ656133 TE656133:TF656133 ADA656133:ADB656133 AMW656133:AMX656133 AWS656133:AWT656133 BGO656133:BGP656133 BQK656133:BQL656133 CAG656133:CAH656133 CKC656133:CKD656133 CTY656133:CTZ656133 DDU656133:DDV656133 DNQ656133:DNR656133 DXM656133:DXN656133 EHI656133:EHJ656133 ERE656133:ERF656133 FBA656133:FBB656133 FKW656133:FKX656133 FUS656133:FUT656133 GEO656133:GEP656133 GOK656133:GOL656133 GYG656133:GYH656133 HIC656133:HID656133 HRY656133:HRZ656133 IBU656133:IBV656133 ILQ656133:ILR656133 IVM656133:IVN656133 JFI656133:JFJ656133 JPE656133:JPF656133 JZA656133:JZB656133 KIW656133:KIX656133 KSS656133:KST656133 LCO656133:LCP656133 LMK656133:LML656133 LWG656133:LWH656133 MGC656133:MGD656133 MPY656133:MPZ656133 MZU656133:MZV656133 NJQ656133:NJR656133 NTM656133:NTN656133 ODI656133:ODJ656133 ONE656133:ONF656133 OXA656133:OXB656133 PGW656133:PGX656133 PQS656133:PQT656133 QAO656133:QAP656133 QKK656133:QKL656133 QUG656133:QUH656133 REC656133:RED656133 RNY656133:RNZ656133 RXU656133:RXV656133 SHQ656133:SHR656133 SRM656133:SRN656133 TBI656133:TBJ656133 TLE656133:TLF656133 TVA656133:TVB656133 UEW656133:UEX656133 UOS656133:UOT656133 UYO656133:UYP656133 VIK656133:VIL656133 VSG656133:VSH656133 WCC656133:WCD656133 WLY656133:WLZ656133 WVU656133:WVV656133 M721669:N721669 JI721669:JJ721669 TE721669:TF721669 ADA721669:ADB721669 AMW721669:AMX721669 AWS721669:AWT721669 BGO721669:BGP721669 BQK721669:BQL721669 CAG721669:CAH721669 CKC721669:CKD721669 CTY721669:CTZ721669 DDU721669:DDV721669 DNQ721669:DNR721669 DXM721669:DXN721669 EHI721669:EHJ721669 ERE721669:ERF721669 FBA721669:FBB721669 FKW721669:FKX721669 FUS721669:FUT721669 GEO721669:GEP721669 GOK721669:GOL721669 GYG721669:GYH721669 HIC721669:HID721669 HRY721669:HRZ721669 IBU721669:IBV721669 ILQ721669:ILR721669 IVM721669:IVN721669 JFI721669:JFJ721669 JPE721669:JPF721669 JZA721669:JZB721669 KIW721669:KIX721669 KSS721669:KST721669 LCO721669:LCP721669 LMK721669:LML721669 LWG721669:LWH721669 MGC721669:MGD721669 MPY721669:MPZ721669 MZU721669:MZV721669 NJQ721669:NJR721669 NTM721669:NTN721669 ODI721669:ODJ721669 ONE721669:ONF721669 OXA721669:OXB721669 PGW721669:PGX721669 PQS721669:PQT721669 QAO721669:QAP721669 QKK721669:QKL721669 QUG721669:QUH721669 REC721669:RED721669 RNY721669:RNZ721669 RXU721669:RXV721669 SHQ721669:SHR721669 SRM721669:SRN721669 TBI721669:TBJ721669 TLE721669:TLF721669 TVA721669:TVB721669 UEW721669:UEX721669 UOS721669:UOT721669 UYO721669:UYP721669 VIK721669:VIL721669 VSG721669:VSH721669 WCC721669:WCD721669 WLY721669:WLZ721669 WVU721669:WVV721669 M787205:N787205 JI787205:JJ787205 TE787205:TF787205 ADA787205:ADB787205 AMW787205:AMX787205 AWS787205:AWT787205 BGO787205:BGP787205 BQK787205:BQL787205 CAG787205:CAH787205 CKC787205:CKD787205 CTY787205:CTZ787205 DDU787205:DDV787205 DNQ787205:DNR787205 DXM787205:DXN787205 EHI787205:EHJ787205 ERE787205:ERF787205 FBA787205:FBB787205 FKW787205:FKX787205 FUS787205:FUT787205 GEO787205:GEP787205 GOK787205:GOL787205 GYG787205:GYH787205 HIC787205:HID787205 HRY787205:HRZ787205 IBU787205:IBV787205 ILQ787205:ILR787205 IVM787205:IVN787205 JFI787205:JFJ787205 JPE787205:JPF787205 JZA787205:JZB787205 KIW787205:KIX787205 KSS787205:KST787205 LCO787205:LCP787205 LMK787205:LML787205 LWG787205:LWH787205 MGC787205:MGD787205 MPY787205:MPZ787205 MZU787205:MZV787205 NJQ787205:NJR787205 NTM787205:NTN787205 ODI787205:ODJ787205 ONE787205:ONF787205 OXA787205:OXB787205 PGW787205:PGX787205 PQS787205:PQT787205 QAO787205:QAP787205 QKK787205:QKL787205 QUG787205:QUH787205 REC787205:RED787205 RNY787205:RNZ787205 RXU787205:RXV787205 SHQ787205:SHR787205 SRM787205:SRN787205 TBI787205:TBJ787205 TLE787205:TLF787205 TVA787205:TVB787205 UEW787205:UEX787205 UOS787205:UOT787205 UYO787205:UYP787205 VIK787205:VIL787205 VSG787205:VSH787205 WCC787205:WCD787205 WLY787205:WLZ787205 WVU787205:WVV787205 M852741:N852741 JI852741:JJ852741 TE852741:TF852741 ADA852741:ADB852741 AMW852741:AMX852741 AWS852741:AWT852741 BGO852741:BGP852741 BQK852741:BQL852741 CAG852741:CAH852741 CKC852741:CKD852741 CTY852741:CTZ852741 DDU852741:DDV852741 DNQ852741:DNR852741 DXM852741:DXN852741 EHI852741:EHJ852741 ERE852741:ERF852741 FBA852741:FBB852741 FKW852741:FKX852741 FUS852741:FUT852741 GEO852741:GEP852741 GOK852741:GOL852741 GYG852741:GYH852741 HIC852741:HID852741 HRY852741:HRZ852741 IBU852741:IBV852741 ILQ852741:ILR852741 IVM852741:IVN852741 JFI852741:JFJ852741 JPE852741:JPF852741 JZA852741:JZB852741 KIW852741:KIX852741 KSS852741:KST852741 LCO852741:LCP852741 LMK852741:LML852741 LWG852741:LWH852741 MGC852741:MGD852741 MPY852741:MPZ852741 MZU852741:MZV852741 NJQ852741:NJR852741 NTM852741:NTN852741 ODI852741:ODJ852741 ONE852741:ONF852741 OXA852741:OXB852741 PGW852741:PGX852741 PQS852741:PQT852741 QAO852741:QAP852741 QKK852741:QKL852741 QUG852741:QUH852741 REC852741:RED852741 RNY852741:RNZ852741 RXU852741:RXV852741 SHQ852741:SHR852741 SRM852741:SRN852741 TBI852741:TBJ852741 TLE852741:TLF852741 TVA852741:TVB852741 UEW852741:UEX852741 UOS852741:UOT852741 UYO852741:UYP852741 VIK852741:VIL852741 VSG852741:VSH852741 WCC852741:WCD852741 WLY852741:WLZ852741 WVU852741:WVV852741 M918277:N918277 JI918277:JJ918277 TE918277:TF918277 ADA918277:ADB918277 AMW918277:AMX918277 AWS918277:AWT918277 BGO918277:BGP918277 BQK918277:BQL918277 CAG918277:CAH918277 CKC918277:CKD918277 CTY918277:CTZ918277 DDU918277:DDV918277 DNQ918277:DNR918277 DXM918277:DXN918277 EHI918277:EHJ918277 ERE918277:ERF918277 FBA918277:FBB918277 FKW918277:FKX918277 FUS918277:FUT918277 GEO918277:GEP918277 GOK918277:GOL918277 GYG918277:GYH918277 HIC918277:HID918277 HRY918277:HRZ918277 IBU918277:IBV918277 ILQ918277:ILR918277 IVM918277:IVN918277 JFI918277:JFJ918277 JPE918277:JPF918277 JZA918277:JZB918277 KIW918277:KIX918277 KSS918277:KST918277 LCO918277:LCP918277 LMK918277:LML918277 LWG918277:LWH918277 MGC918277:MGD918277 MPY918277:MPZ918277 MZU918277:MZV918277 NJQ918277:NJR918277 NTM918277:NTN918277 ODI918277:ODJ918277 ONE918277:ONF918277 OXA918277:OXB918277 PGW918277:PGX918277 PQS918277:PQT918277 QAO918277:QAP918277 QKK918277:QKL918277 QUG918277:QUH918277 REC918277:RED918277 RNY918277:RNZ918277 RXU918277:RXV918277 SHQ918277:SHR918277 SRM918277:SRN918277 TBI918277:TBJ918277 TLE918277:TLF918277 TVA918277:TVB918277 UEW918277:UEX918277 UOS918277:UOT918277 UYO918277:UYP918277 VIK918277:VIL918277 VSG918277:VSH918277 WCC918277:WCD918277 WLY918277:WLZ918277 WVU918277:WVV918277 M983813:N983813 JI983813:JJ983813 TE983813:TF983813 ADA983813:ADB983813 AMW983813:AMX983813 AWS983813:AWT983813 BGO983813:BGP983813 BQK983813:BQL983813 CAG983813:CAH983813 CKC983813:CKD983813 CTY983813:CTZ983813 DDU983813:DDV983813 DNQ983813:DNR983813 DXM983813:DXN983813 EHI983813:EHJ983813 ERE983813:ERF983813 FBA983813:FBB983813 FKW983813:FKX983813 FUS983813:FUT983813 GEO983813:GEP983813 GOK983813:GOL983813 GYG983813:GYH983813 HIC983813:HID983813 HRY983813:HRZ983813 IBU983813:IBV983813 ILQ983813:ILR983813 IVM983813:IVN983813 JFI983813:JFJ983813 JPE983813:JPF983813 JZA983813:JZB983813 KIW983813:KIX983813 KSS983813:KST983813 LCO983813:LCP983813 LMK983813:LML983813 LWG983813:LWH983813 MGC983813:MGD983813 MPY983813:MPZ983813 MZU983813:MZV983813 NJQ983813:NJR983813 NTM983813:NTN983813 ODI983813:ODJ983813 ONE983813:ONF983813 OXA983813:OXB983813 PGW983813:PGX983813 PQS983813:PQT983813 QAO983813:QAP983813 QKK983813:QKL983813 QUG983813:QUH983813 REC983813:RED983813 RNY983813:RNZ983813 RXU983813:RXV983813 SHQ983813:SHR983813 SRM983813:SRN983813 TBI983813:TBJ983813 TLE983813:TLF983813 TVA983813:TVB983813 UEW983813:UEX983813 UOS983813:UOT983813 UYO983813:UYP983813 VIK983813:VIL983813 VSG983813:VSH983813 WCC983813:WCD983813 WLY983813:WLZ983813 WVU983813:WVV983813 M641:N641 JI641:JJ641 TE641:TF641 ADA641:ADB641 AMW641:AMX641 AWS641:AWT641 BGO641:BGP641 BQK641:BQL641 CAG641:CAH641 CKC641:CKD641 CTY641:CTZ641 DDU641:DDV641 DNQ641:DNR641 DXM641:DXN641 EHI641:EHJ641 ERE641:ERF641 FBA641:FBB641 FKW641:FKX641 FUS641:FUT641 GEO641:GEP641 GOK641:GOL641 GYG641:GYH641 HIC641:HID641 HRY641:HRZ641 IBU641:IBV641 ILQ641:ILR641 IVM641:IVN641 JFI641:JFJ641 JPE641:JPF641 JZA641:JZB641 KIW641:KIX641 KSS641:KST641 LCO641:LCP641 LMK641:LML641 LWG641:LWH641 MGC641:MGD641 MPY641:MPZ641 MZU641:MZV641 NJQ641:NJR641 NTM641:NTN641 ODI641:ODJ641 ONE641:ONF641 OXA641:OXB641 PGW641:PGX641 PQS641:PQT641 QAO641:QAP641 QKK641:QKL641 QUG641:QUH641 REC641:RED641 RNY641:RNZ641 RXU641:RXV641 SHQ641:SHR641 SRM641:SRN641 TBI641:TBJ641 TLE641:TLF641 TVA641:TVB641 UEW641:UEX641 UOS641:UOT641 UYO641:UYP641 VIK641:VIL641 VSG641:VSH641 WCC641:WCD641 WLY641:WLZ641 WVU641:WVV641 M66177:N66177 JI66177:JJ66177 TE66177:TF66177 ADA66177:ADB66177 AMW66177:AMX66177 AWS66177:AWT66177 BGO66177:BGP66177 BQK66177:BQL66177 CAG66177:CAH66177 CKC66177:CKD66177 CTY66177:CTZ66177 DDU66177:DDV66177 DNQ66177:DNR66177 DXM66177:DXN66177 EHI66177:EHJ66177 ERE66177:ERF66177 FBA66177:FBB66177 FKW66177:FKX66177 FUS66177:FUT66177 GEO66177:GEP66177 GOK66177:GOL66177 GYG66177:GYH66177 HIC66177:HID66177 HRY66177:HRZ66177 IBU66177:IBV66177 ILQ66177:ILR66177 IVM66177:IVN66177 JFI66177:JFJ66177 JPE66177:JPF66177 JZA66177:JZB66177 KIW66177:KIX66177 KSS66177:KST66177 LCO66177:LCP66177 LMK66177:LML66177 LWG66177:LWH66177 MGC66177:MGD66177 MPY66177:MPZ66177 MZU66177:MZV66177 NJQ66177:NJR66177 NTM66177:NTN66177 ODI66177:ODJ66177 ONE66177:ONF66177 OXA66177:OXB66177 PGW66177:PGX66177 PQS66177:PQT66177 QAO66177:QAP66177 QKK66177:QKL66177 QUG66177:QUH66177 REC66177:RED66177 RNY66177:RNZ66177 RXU66177:RXV66177 SHQ66177:SHR66177 SRM66177:SRN66177 TBI66177:TBJ66177 TLE66177:TLF66177 TVA66177:TVB66177 UEW66177:UEX66177 UOS66177:UOT66177 UYO66177:UYP66177 VIK66177:VIL66177 VSG66177:VSH66177 WCC66177:WCD66177 WLY66177:WLZ66177 WVU66177:WVV66177 M131713:N131713 JI131713:JJ131713 TE131713:TF131713 ADA131713:ADB131713 AMW131713:AMX131713 AWS131713:AWT131713 BGO131713:BGP131713 BQK131713:BQL131713 CAG131713:CAH131713 CKC131713:CKD131713 CTY131713:CTZ131713 DDU131713:DDV131713 DNQ131713:DNR131713 DXM131713:DXN131713 EHI131713:EHJ131713 ERE131713:ERF131713 FBA131713:FBB131713 FKW131713:FKX131713 FUS131713:FUT131713 GEO131713:GEP131713 GOK131713:GOL131713 GYG131713:GYH131713 HIC131713:HID131713 HRY131713:HRZ131713 IBU131713:IBV131713 ILQ131713:ILR131713 IVM131713:IVN131713 JFI131713:JFJ131713 JPE131713:JPF131713 JZA131713:JZB131713 KIW131713:KIX131713 KSS131713:KST131713 LCO131713:LCP131713 LMK131713:LML131713 LWG131713:LWH131713 MGC131713:MGD131713 MPY131713:MPZ131713 MZU131713:MZV131713 NJQ131713:NJR131713 NTM131713:NTN131713 ODI131713:ODJ131713 ONE131713:ONF131713 OXA131713:OXB131713 PGW131713:PGX131713 PQS131713:PQT131713 QAO131713:QAP131713 QKK131713:QKL131713 QUG131713:QUH131713 REC131713:RED131713 RNY131713:RNZ131713 RXU131713:RXV131713 SHQ131713:SHR131713 SRM131713:SRN131713 TBI131713:TBJ131713 TLE131713:TLF131713 TVA131713:TVB131713 UEW131713:UEX131713 UOS131713:UOT131713 UYO131713:UYP131713 VIK131713:VIL131713 VSG131713:VSH131713 WCC131713:WCD131713 WLY131713:WLZ131713 WVU131713:WVV131713 M197249:N197249 JI197249:JJ197249 TE197249:TF197249 ADA197249:ADB197249 AMW197249:AMX197249 AWS197249:AWT197249 BGO197249:BGP197249 BQK197249:BQL197249 CAG197249:CAH197249 CKC197249:CKD197249 CTY197249:CTZ197249 DDU197249:DDV197249 DNQ197249:DNR197249 DXM197249:DXN197249 EHI197249:EHJ197249 ERE197249:ERF197249 FBA197249:FBB197249 FKW197249:FKX197249 FUS197249:FUT197249 GEO197249:GEP197249 GOK197249:GOL197249 GYG197249:GYH197249 HIC197249:HID197249 HRY197249:HRZ197249 IBU197249:IBV197249 ILQ197249:ILR197249 IVM197249:IVN197249 JFI197249:JFJ197249 JPE197249:JPF197249 JZA197249:JZB197249 KIW197249:KIX197249 KSS197249:KST197249 LCO197249:LCP197249 LMK197249:LML197249 LWG197249:LWH197249 MGC197249:MGD197249 MPY197249:MPZ197249 MZU197249:MZV197249 NJQ197249:NJR197249 NTM197249:NTN197249 ODI197249:ODJ197249 ONE197249:ONF197249 OXA197249:OXB197249 PGW197249:PGX197249 PQS197249:PQT197249 QAO197249:QAP197249 QKK197249:QKL197249 QUG197249:QUH197249 REC197249:RED197249 RNY197249:RNZ197249 RXU197249:RXV197249 SHQ197249:SHR197249 SRM197249:SRN197249 TBI197249:TBJ197249 TLE197249:TLF197249 TVA197249:TVB197249 UEW197249:UEX197249 UOS197249:UOT197249 UYO197249:UYP197249 VIK197249:VIL197249 VSG197249:VSH197249 WCC197249:WCD197249 WLY197249:WLZ197249 WVU197249:WVV197249 M262785:N262785 JI262785:JJ262785 TE262785:TF262785 ADA262785:ADB262785 AMW262785:AMX262785 AWS262785:AWT262785 BGO262785:BGP262785 BQK262785:BQL262785 CAG262785:CAH262785 CKC262785:CKD262785 CTY262785:CTZ262785 DDU262785:DDV262785 DNQ262785:DNR262785 DXM262785:DXN262785 EHI262785:EHJ262785 ERE262785:ERF262785 FBA262785:FBB262785 FKW262785:FKX262785 FUS262785:FUT262785 GEO262785:GEP262785 GOK262785:GOL262785 GYG262785:GYH262785 HIC262785:HID262785 HRY262785:HRZ262785 IBU262785:IBV262785 ILQ262785:ILR262785 IVM262785:IVN262785 JFI262785:JFJ262785 JPE262785:JPF262785 JZA262785:JZB262785 KIW262785:KIX262785 KSS262785:KST262785 LCO262785:LCP262785 LMK262785:LML262785 LWG262785:LWH262785 MGC262785:MGD262785 MPY262785:MPZ262785 MZU262785:MZV262785 NJQ262785:NJR262785 NTM262785:NTN262785 ODI262785:ODJ262785 ONE262785:ONF262785 OXA262785:OXB262785 PGW262785:PGX262785 PQS262785:PQT262785 QAO262785:QAP262785 QKK262785:QKL262785 QUG262785:QUH262785 REC262785:RED262785 RNY262785:RNZ262785 RXU262785:RXV262785 SHQ262785:SHR262785 SRM262785:SRN262785 TBI262785:TBJ262785 TLE262785:TLF262785 TVA262785:TVB262785 UEW262785:UEX262785 UOS262785:UOT262785 UYO262785:UYP262785 VIK262785:VIL262785 VSG262785:VSH262785 WCC262785:WCD262785 WLY262785:WLZ262785 WVU262785:WVV262785 M328321:N328321 JI328321:JJ328321 TE328321:TF328321 ADA328321:ADB328321 AMW328321:AMX328321 AWS328321:AWT328321 BGO328321:BGP328321 BQK328321:BQL328321 CAG328321:CAH328321 CKC328321:CKD328321 CTY328321:CTZ328321 DDU328321:DDV328321 DNQ328321:DNR328321 DXM328321:DXN328321 EHI328321:EHJ328321 ERE328321:ERF328321 FBA328321:FBB328321 FKW328321:FKX328321 FUS328321:FUT328321 GEO328321:GEP328321 GOK328321:GOL328321 GYG328321:GYH328321 HIC328321:HID328321 HRY328321:HRZ328321 IBU328321:IBV328321 ILQ328321:ILR328321 IVM328321:IVN328321 JFI328321:JFJ328321 JPE328321:JPF328321 JZA328321:JZB328321 KIW328321:KIX328321 KSS328321:KST328321 LCO328321:LCP328321 LMK328321:LML328321 LWG328321:LWH328321 MGC328321:MGD328321 MPY328321:MPZ328321 MZU328321:MZV328321 NJQ328321:NJR328321 NTM328321:NTN328321 ODI328321:ODJ328321 ONE328321:ONF328321 OXA328321:OXB328321 PGW328321:PGX328321 PQS328321:PQT328321 QAO328321:QAP328321 QKK328321:QKL328321 QUG328321:QUH328321 REC328321:RED328321 RNY328321:RNZ328321 RXU328321:RXV328321 SHQ328321:SHR328321 SRM328321:SRN328321 TBI328321:TBJ328321 TLE328321:TLF328321 TVA328321:TVB328321 UEW328321:UEX328321 UOS328321:UOT328321 UYO328321:UYP328321 VIK328321:VIL328321 VSG328321:VSH328321 WCC328321:WCD328321 WLY328321:WLZ328321 WVU328321:WVV328321 M393857:N393857 JI393857:JJ393857 TE393857:TF393857 ADA393857:ADB393857 AMW393857:AMX393857 AWS393857:AWT393857 BGO393857:BGP393857 BQK393857:BQL393857 CAG393857:CAH393857 CKC393857:CKD393857 CTY393857:CTZ393857 DDU393857:DDV393857 DNQ393857:DNR393857 DXM393857:DXN393857 EHI393857:EHJ393857 ERE393857:ERF393857 FBA393857:FBB393857 FKW393857:FKX393857 FUS393857:FUT393857 GEO393857:GEP393857 GOK393857:GOL393857 GYG393857:GYH393857 HIC393857:HID393857 HRY393857:HRZ393857 IBU393857:IBV393857 ILQ393857:ILR393857 IVM393857:IVN393857 JFI393857:JFJ393857 JPE393857:JPF393857 JZA393857:JZB393857 KIW393857:KIX393857 KSS393857:KST393857 LCO393857:LCP393857 LMK393857:LML393857 LWG393857:LWH393857 MGC393857:MGD393857 MPY393857:MPZ393857 MZU393857:MZV393857 NJQ393857:NJR393857 NTM393857:NTN393857 ODI393857:ODJ393857 ONE393857:ONF393857 OXA393857:OXB393857 PGW393857:PGX393857 PQS393857:PQT393857 QAO393857:QAP393857 QKK393857:QKL393857 QUG393857:QUH393857 REC393857:RED393857 RNY393857:RNZ393857 RXU393857:RXV393857 SHQ393857:SHR393857 SRM393857:SRN393857 TBI393857:TBJ393857 TLE393857:TLF393857 TVA393857:TVB393857 UEW393857:UEX393857 UOS393857:UOT393857 UYO393857:UYP393857 VIK393857:VIL393857 VSG393857:VSH393857 WCC393857:WCD393857 WLY393857:WLZ393857 WVU393857:WVV393857 M459393:N459393 JI459393:JJ459393 TE459393:TF459393 ADA459393:ADB459393 AMW459393:AMX459393 AWS459393:AWT459393 BGO459393:BGP459393 BQK459393:BQL459393 CAG459393:CAH459393 CKC459393:CKD459393 CTY459393:CTZ459393 DDU459393:DDV459393 DNQ459393:DNR459393 DXM459393:DXN459393 EHI459393:EHJ459393 ERE459393:ERF459393 FBA459393:FBB459393 FKW459393:FKX459393 FUS459393:FUT459393 GEO459393:GEP459393 GOK459393:GOL459393 GYG459393:GYH459393 HIC459393:HID459393 HRY459393:HRZ459393 IBU459393:IBV459393 ILQ459393:ILR459393 IVM459393:IVN459393 JFI459393:JFJ459393 JPE459393:JPF459393 JZA459393:JZB459393 KIW459393:KIX459393 KSS459393:KST459393 LCO459393:LCP459393 LMK459393:LML459393 LWG459393:LWH459393 MGC459393:MGD459393 MPY459393:MPZ459393 MZU459393:MZV459393 NJQ459393:NJR459393 NTM459393:NTN459393 ODI459393:ODJ459393 ONE459393:ONF459393 OXA459393:OXB459393 PGW459393:PGX459393 PQS459393:PQT459393 QAO459393:QAP459393 QKK459393:QKL459393 QUG459393:QUH459393 REC459393:RED459393 RNY459393:RNZ459393 RXU459393:RXV459393 SHQ459393:SHR459393 SRM459393:SRN459393 TBI459393:TBJ459393 TLE459393:TLF459393 TVA459393:TVB459393 UEW459393:UEX459393 UOS459393:UOT459393 UYO459393:UYP459393 VIK459393:VIL459393 VSG459393:VSH459393 WCC459393:WCD459393 WLY459393:WLZ459393 WVU459393:WVV459393 M524929:N524929 JI524929:JJ524929 TE524929:TF524929 ADA524929:ADB524929 AMW524929:AMX524929 AWS524929:AWT524929 BGO524929:BGP524929 BQK524929:BQL524929 CAG524929:CAH524929 CKC524929:CKD524929 CTY524929:CTZ524929 DDU524929:DDV524929 DNQ524929:DNR524929 DXM524929:DXN524929 EHI524929:EHJ524929 ERE524929:ERF524929 FBA524929:FBB524929 FKW524929:FKX524929 FUS524929:FUT524929 GEO524929:GEP524929 GOK524929:GOL524929 GYG524929:GYH524929 HIC524929:HID524929 HRY524929:HRZ524929 IBU524929:IBV524929 ILQ524929:ILR524929 IVM524929:IVN524929 JFI524929:JFJ524929 JPE524929:JPF524929 JZA524929:JZB524929 KIW524929:KIX524929 KSS524929:KST524929 LCO524929:LCP524929 LMK524929:LML524929 LWG524929:LWH524929 MGC524929:MGD524929 MPY524929:MPZ524929 MZU524929:MZV524929 NJQ524929:NJR524929 NTM524929:NTN524929 ODI524929:ODJ524929 ONE524929:ONF524929 OXA524929:OXB524929 PGW524929:PGX524929 PQS524929:PQT524929 QAO524929:QAP524929 QKK524929:QKL524929 QUG524929:QUH524929 REC524929:RED524929 RNY524929:RNZ524929 RXU524929:RXV524929 SHQ524929:SHR524929 SRM524929:SRN524929 TBI524929:TBJ524929 TLE524929:TLF524929 TVA524929:TVB524929 UEW524929:UEX524929 UOS524929:UOT524929 UYO524929:UYP524929 VIK524929:VIL524929 VSG524929:VSH524929 WCC524929:WCD524929 WLY524929:WLZ524929 WVU524929:WVV524929 M590465:N590465 JI590465:JJ590465 TE590465:TF590465 ADA590465:ADB590465 AMW590465:AMX590465 AWS590465:AWT590465 BGO590465:BGP590465 BQK590465:BQL590465 CAG590465:CAH590465 CKC590465:CKD590465 CTY590465:CTZ590465 DDU590465:DDV590465 DNQ590465:DNR590465 DXM590465:DXN590465 EHI590465:EHJ590465 ERE590465:ERF590465 FBA590465:FBB590465 FKW590465:FKX590465 FUS590465:FUT590465 GEO590465:GEP590465 GOK590465:GOL590465 GYG590465:GYH590465 HIC590465:HID590465 HRY590465:HRZ590465 IBU590465:IBV590465 ILQ590465:ILR590465 IVM590465:IVN590465 JFI590465:JFJ590465 JPE590465:JPF590465 JZA590465:JZB590465 KIW590465:KIX590465 KSS590465:KST590465 LCO590465:LCP590465 LMK590465:LML590465 LWG590465:LWH590465 MGC590465:MGD590465 MPY590465:MPZ590465 MZU590465:MZV590465 NJQ590465:NJR590465 NTM590465:NTN590465 ODI590465:ODJ590465 ONE590465:ONF590465 OXA590465:OXB590465 PGW590465:PGX590465 PQS590465:PQT590465 QAO590465:QAP590465 QKK590465:QKL590465 QUG590465:QUH590465 REC590465:RED590465 RNY590465:RNZ590465 RXU590465:RXV590465 SHQ590465:SHR590465 SRM590465:SRN590465 TBI590465:TBJ590465 TLE590465:TLF590465 TVA590465:TVB590465 UEW590465:UEX590465 UOS590465:UOT590465 UYO590465:UYP590465 VIK590465:VIL590465 VSG590465:VSH590465 WCC590465:WCD590465 WLY590465:WLZ590465 WVU590465:WVV590465 M656001:N656001 JI656001:JJ656001 TE656001:TF656001 ADA656001:ADB656001 AMW656001:AMX656001 AWS656001:AWT656001 BGO656001:BGP656001 BQK656001:BQL656001 CAG656001:CAH656001 CKC656001:CKD656001 CTY656001:CTZ656001 DDU656001:DDV656001 DNQ656001:DNR656001 DXM656001:DXN656001 EHI656001:EHJ656001 ERE656001:ERF656001 FBA656001:FBB656001 FKW656001:FKX656001 FUS656001:FUT656001 GEO656001:GEP656001 GOK656001:GOL656001 GYG656001:GYH656001 HIC656001:HID656001 HRY656001:HRZ656001 IBU656001:IBV656001 ILQ656001:ILR656001 IVM656001:IVN656001 JFI656001:JFJ656001 JPE656001:JPF656001 JZA656001:JZB656001 KIW656001:KIX656001 KSS656001:KST656001 LCO656001:LCP656001 LMK656001:LML656001 LWG656001:LWH656001 MGC656001:MGD656001 MPY656001:MPZ656001 MZU656001:MZV656001 NJQ656001:NJR656001 NTM656001:NTN656001 ODI656001:ODJ656001 ONE656001:ONF656001 OXA656001:OXB656001 PGW656001:PGX656001 PQS656001:PQT656001 QAO656001:QAP656001 QKK656001:QKL656001 QUG656001:QUH656001 REC656001:RED656001 RNY656001:RNZ656001 RXU656001:RXV656001 SHQ656001:SHR656001 SRM656001:SRN656001 TBI656001:TBJ656001 TLE656001:TLF656001 TVA656001:TVB656001 UEW656001:UEX656001 UOS656001:UOT656001 UYO656001:UYP656001 VIK656001:VIL656001 VSG656001:VSH656001 WCC656001:WCD656001 WLY656001:WLZ656001 WVU656001:WVV656001 M721537:N721537 JI721537:JJ721537 TE721537:TF721537 ADA721537:ADB721537 AMW721537:AMX721537 AWS721537:AWT721537 BGO721537:BGP721537 BQK721537:BQL721537 CAG721537:CAH721537 CKC721537:CKD721537 CTY721537:CTZ721537 DDU721537:DDV721537 DNQ721537:DNR721537 DXM721537:DXN721537 EHI721537:EHJ721537 ERE721537:ERF721537 FBA721537:FBB721537 FKW721537:FKX721537 FUS721537:FUT721537 GEO721537:GEP721537 GOK721537:GOL721537 GYG721537:GYH721537 HIC721537:HID721537 HRY721537:HRZ721537 IBU721537:IBV721537 ILQ721537:ILR721537 IVM721537:IVN721537 JFI721537:JFJ721537 JPE721537:JPF721537 JZA721537:JZB721537 KIW721537:KIX721537 KSS721537:KST721537 LCO721537:LCP721537 LMK721537:LML721537 LWG721537:LWH721537 MGC721537:MGD721537 MPY721537:MPZ721537 MZU721537:MZV721537 NJQ721537:NJR721537 NTM721537:NTN721537 ODI721537:ODJ721537 ONE721537:ONF721537 OXA721537:OXB721537 PGW721537:PGX721537 PQS721537:PQT721537 QAO721537:QAP721537 QKK721537:QKL721537 QUG721537:QUH721537 REC721537:RED721537 RNY721537:RNZ721537 RXU721537:RXV721537 SHQ721537:SHR721537 SRM721537:SRN721537 TBI721537:TBJ721537 TLE721537:TLF721537 TVA721537:TVB721537 UEW721537:UEX721537 UOS721537:UOT721537 UYO721537:UYP721537 VIK721537:VIL721537 VSG721537:VSH721537 WCC721537:WCD721537 WLY721537:WLZ721537 WVU721537:WVV721537 M787073:N787073 JI787073:JJ787073 TE787073:TF787073 ADA787073:ADB787073 AMW787073:AMX787073 AWS787073:AWT787073 BGO787073:BGP787073 BQK787073:BQL787073 CAG787073:CAH787073 CKC787073:CKD787073 CTY787073:CTZ787073 DDU787073:DDV787073 DNQ787073:DNR787073 DXM787073:DXN787073 EHI787073:EHJ787073 ERE787073:ERF787073 FBA787073:FBB787073 FKW787073:FKX787073 FUS787073:FUT787073 GEO787073:GEP787073 GOK787073:GOL787073 GYG787073:GYH787073 HIC787073:HID787073 HRY787073:HRZ787073 IBU787073:IBV787073 ILQ787073:ILR787073 IVM787073:IVN787073 JFI787073:JFJ787073 JPE787073:JPF787073 JZA787073:JZB787073 KIW787073:KIX787073 KSS787073:KST787073 LCO787073:LCP787073 LMK787073:LML787073 LWG787073:LWH787073 MGC787073:MGD787073 MPY787073:MPZ787073 MZU787073:MZV787073 NJQ787073:NJR787073 NTM787073:NTN787073 ODI787073:ODJ787073 ONE787073:ONF787073 OXA787073:OXB787073 PGW787073:PGX787073 PQS787073:PQT787073 QAO787073:QAP787073 QKK787073:QKL787073 QUG787073:QUH787073 REC787073:RED787073 RNY787073:RNZ787073 RXU787073:RXV787073 SHQ787073:SHR787073 SRM787073:SRN787073 TBI787073:TBJ787073 TLE787073:TLF787073 TVA787073:TVB787073 UEW787073:UEX787073 UOS787073:UOT787073 UYO787073:UYP787073 VIK787073:VIL787073 VSG787073:VSH787073 WCC787073:WCD787073 WLY787073:WLZ787073 WVU787073:WVV787073 M852609:N852609 JI852609:JJ852609 TE852609:TF852609 ADA852609:ADB852609 AMW852609:AMX852609 AWS852609:AWT852609 BGO852609:BGP852609 BQK852609:BQL852609 CAG852609:CAH852609 CKC852609:CKD852609 CTY852609:CTZ852609 DDU852609:DDV852609 DNQ852609:DNR852609 DXM852609:DXN852609 EHI852609:EHJ852609 ERE852609:ERF852609 FBA852609:FBB852609 FKW852609:FKX852609 FUS852609:FUT852609 GEO852609:GEP852609 GOK852609:GOL852609 GYG852609:GYH852609 HIC852609:HID852609 HRY852609:HRZ852609 IBU852609:IBV852609 ILQ852609:ILR852609 IVM852609:IVN852609 JFI852609:JFJ852609 JPE852609:JPF852609 JZA852609:JZB852609 KIW852609:KIX852609 KSS852609:KST852609 LCO852609:LCP852609 LMK852609:LML852609 LWG852609:LWH852609 MGC852609:MGD852609 MPY852609:MPZ852609 MZU852609:MZV852609 NJQ852609:NJR852609 NTM852609:NTN852609 ODI852609:ODJ852609 ONE852609:ONF852609 OXA852609:OXB852609 PGW852609:PGX852609 PQS852609:PQT852609 QAO852609:QAP852609 QKK852609:QKL852609 QUG852609:QUH852609 REC852609:RED852609 RNY852609:RNZ852609 RXU852609:RXV852609 SHQ852609:SHR852609 SRM852609:SRN852609 TBI852609:TBJ852609 TLE852609:TLF852609 TVA852609:TVB852609 UEW852609:UEX852609 UOS852609:UOT852609 UYO852609:UYP852609 VIK852609:VIL852609 VSG852609:VSH852609 WCC852609:WCD852609 WLY852609:WLZ852609 WVU852609:WVV852609 M918145:N918145 JI918145:JJ918145 TE918145:TF918145 ADA918145:ADB918145 AMW918145:AMX918145 AWS918145:AWT918145 BGO918145:BGP918145 BQK918145:BQL918145 CAG918145:CAH918145 CKC918145:CKD918145 CTY918145:CTZ918145 DDU918145:DDV918145 DNQ918145:DNR918145 DXM918145:DXN918145 EHI918145:EHJ918145 ERE918145:ERF918145 FBA918145:FBB918145 FKW918145:FKX918145 FUS918145:FUT918145 GEO918145:GEP918145 GOK918145:GOL918145 GYG918145:GYH918145 HIC918145:HID918145 HRY918145:HRZ918145 IBU918145:IBV918145 ILQ918145:ILR918145 IVM918145:IVN918145 JFI918145:JFJ918145 JPE918145:JPF918145 JZA918145:JZB918145 KIW918145:KIX918145 KSS918145:KST918145 LCO918145:LCP918145 LMK918145:LML918145 LWG918145:LWH918145 MGC918145:MGD918145 MPY918145:MPZ918145 MZU918145:MZV918145 NJQ918145:NJR918145 NTM918145:NTN918145 ODI918145:ODJ918145 ONE918145:ONF918145 OXA918145:OXB918145 PGW918145:PGX918145 PQS918145:PQT918145 QAO918145:QAP918145 QKK918145:QKL918145 QUG918145:QUH918145 REC918145:RED918145 RNY918145:RNZ918145 RXU918145:RXV918145 SHQ918145:SHR918145 SRM918145:SRN918145 TBI918145:TBJ918145 TLE918145:TLF918145 TVA918145:TVB918145 UEW918145:UEX918145 UOS918145:UOT918145 UYO918145:UYP918145 VIK918145:VIL918145 VSG918145:VSH918145 WCC918145:WCD918145 WLY918145:WLZ918145 WVU918145:WVV918145 M983681:N983681 JI983681:JJ983681 TE983681:TF983681 ADA983681:ADB983681 AMW983681:AMX983681 AWS983681:AWT983681 BGO983681:BGP983681 BQK983681:BQL983681 CAG983681:CAH983681 CKC983681:CKD983681 CTY983681:CTZ983681 DDU983681:DDV983681 DNQ983681:DNR983681 DXM983681:DXN983681 EHI983681:EHJ983681 ERE983681:ERF983681 FBA983681:FBB983681 FKW983681:FKX983681 FUS983681:FUT983681 GEO983681:GEP983681 GOK983681:GOL983681 GYG983681:GYH983681 HIC983681:HID983681 HRY983681:HRZ983681 IBU983681:IBV983681 ILQ983681:ILR983681 IVM983681:IVN983681 JFI983681:JFJ983681 JPE983681:JPF983681 JZA983681:JZB983681 KIW983681:KIX983681 KSS983681:KST983681 LCO983681:LCP983681 LMK983681:LML983681 LWG983681:LWH983681 MGC983681:MGD983681 MPY983681:MPZ983681 MZU983681:MZV983681 NJQ983681:NJR983681 NTM983681:NTN983681 ODI983681:ODJ983681 ONE983681:ONF983681 OXA983681:OXB983681 PGW983681:PGX983681 PQS983681:PQT983681 QAO983681:QAP983681 QKK983681:QKL983681 QUG983681:QUH983681 REC983681:RED983681 RNY983681:RNZ983681 RXU983681:RXV983681 SHQ983681:SHR983681 SRM983681:SRN983681 TBI983681:TBJ983681 TLE983681:TLF983681 TVA983681:TVB983681 UEW983681:UEX983681 UOS983681:UOT983681 UYO983681:UYP983681 VIK983681:VIL983681 VSG983681:VSH983681 WCC983681:WCD983681 WLY983681:WLZ983681 WVU983681:WVV983681 M337:N337 JI337:JJ337 TE337:TF337 ADA337:ADB337 AMW337:AMX337 AWS337:AWT337 BGO337:BGP337 BQK337:BQL337 CAG337:CAH337 CKC337:CKD337 CTY337:CTZ337 DDU337:DDV337 DNQ337:DNR337 DXM337:DXN337 EHI337:EHJ337 ERE337:ERF337 FBA337:FBB337 FKW337:FKX337 FUS337:FUT337 GEO337:GEP337 GOK337:GOL337 GYG337:GYH337 HIC337:HID337 HRY337:HRZ337 IBU337:IBV337 ILQ337:ILR337 IVM337:IVN337 JFI337:JFJ337 JPE337:JPF337 JZA337:JZB337 KIW337:KIX337 KSS337:KST337 LCO337:LCP337 LMK337:LML337 LWG337:LWH337 MGC337:MGD337 MPY337:MPZ337 MZU337:MZV337 NJQ337:NJR337 NTM337:NTN337 ODI337:ODJ337 ONE337:ONF337 OXA337:OXB337 PGW337:PGX337 PQS337:PQT337 QAO337:QAP337 QKK337:QKL337 QUG337:QUH337 REC337:RED337 RNY337:RNZ337 RXU337:RXV337 SHQ337:SHR337 SRM337:SRN337 TBI337:TBJ337 TLE337:TLF337 TVA337:TVB337 UEW337:UEX337 UOS337:UOT337 UYO337:UYP337 VIK337:VIL337 VSG337:VSH337 WCC337:WCD337 WLY337:WLZ337 WVU337:WVV337 M65873:N65873 JI65873:JJ65873 TE65873:TF65873 ADA65873:ADB65873 AMW65873:AMX65873 AWS65873:AWT65873 BGO65873:BGP65873 BQK65873:BQL65873 CAG65873:CAH65873 CKC65873:CKD65873 CTY65873:CTZ65873 DDU65873:DDV65873 DNQ65873:DNR65873 DXM65873:DXN65873 EHI65873:EHJ65873 ERE65873:ERF65873 FBA65873:FBB65873 FKW65873:FKX65873 FUS65873:FUT65873 GEO65873:GEP65873 GOK65873:GOL65873 GYG65873:GYH65873 HIC65873:HID65873 HRY65873:HRZ65873 IBU65873:IBV65873 ILQ65873:ILR65873 IVM65873:IVN65873 JFI65873:JFJ65873 JPE65873:JPF65873 JZA65873:JZB65873 KIW65873:KIX65873 KSS65873:KST65873 LCO65873:LCP65873 LMK65873:LML65873 LWG65873:LWH65873 MGC65873:MGD65873 MPY65873:MPZ65873 MZU65873:MZV65873 NJQ65873:NJR65873 NTM65873:NTN65873 ODI65873:ODJ65873 ONE65873:ONF65873 OXA65873:OXB65873 PGW65873:PGX65873 PQS65873:PQT65873 QAO65873:QAP65873 QKK65873:QKL65873 QUG65873:QUH65873 REC65873:RED65873 RNY65873:RNZ65873 RXU65873:RXV65873 SHQ65873:SHR65873 SRM65873:SRN65873 TBI65873:TBJ65873 TLE65873:TLF65873 TVA65873:TVB65873 UEW65873:UEX65873 UOS65873:UOT65873 UYO65873:UYP65873 VIK65873:VIL65873 VSG65873:VSH65873 WCC65873:WCD65873 WLY65873:WLZ65873 WVU65873:WVV65873 M131409:N131409 JI131409:JJ131409 TE131409:TF131409 ADA131409:ADB131409 AMW131409:AMX131409 AWS131409:AWT131409 BGO131409:BGP131409 BQK131409:BQL131409 CAG131409:CAH131409 CKC131409:CKD131409 CTY131409:CTZ131409 DDU131409:DDV131409 DNQ131409:DNR131409 DXM131409:DXN131409 EHI131409:EHJ131409 ERE131409:ERF131409 FBA131409:FBB131409 FKW131409:FKX131409 FUS131409:FUT131409 GEO131409:GEP131409 GOK131409:GOL131409 GYG131409:GYH131409 HIC131409:HID131409 HRY131409:HRZ131409 IBU131409:IBV131409 ILQ131409:ILR131409 IVM131409:IVN131409 JFI131409:JFJ131409 JPE131409:JPF131409 JZA131409:JZB131409 KIW131409:KIX131409 KSS131409:KST131409 LCO131409:LCP131409 LMK131409:LML131409 LWG131409:LWH131409 MGC131409:MGD131409 MPY131409:MPZ131409 MZU131409:MZV131409 NJQ131409:NJR131409 NTM131409:NTN131409 ODI131409:ODJ131409 ONE131409:ONF131409 OXA131409:OXB131409 PGW131409:PGX131409 PQS131409:PQT131409 QAO131409:QAP131409 QKK131409:QKL131409 QUG131409:QUH131409 REC131409:RED131409 RNY131409:RNZ131409 RXU131409:RXV131409 SHQ131409:SHR131409 SRM131409:SRN131409 TBI131409:TBJ131409 TLE131409:TLF131409 TVA131409:TVB131409 UEW131409:UEX131409 UOS131409:UOT131409 UYO131409:UYP131409 VIK131409:VIL131409 VSG131409:VSH131409 WCC131409:WCD131409 WLY131409:WLZ131409 WVU131409:WVV131409 M196945:N196945 JI196945:JJ196945 TE196945:TF196945 ADA196945:ADB196945 AMW196945:AMX196945 AWS196945:AWT196945 BGO196945:BGP196945 BQK196945:BQL196945 CAG196945:CAH196945 CKC196945:CKD196945 CTY196945:CTZ196945 DDU196945:DDV196945 DNQ196945:DNR196945 DXM196945:DXN196945 EHI196945:EHJ196945 ERE196945:ERF196945 FBA196945:FBB196945 FKW196945:FKX196945 FUS196945:FUT196945 GEO196945:GEP196945 GOK196945:GOL196945 GYG196945:GYH196945 HIC196945:HID196945 HRY196945:HRZ196945 IBU196945:IBV196945 ILQ196945:ILR196945 IVM196945:IVN196945 JFI196945:JFJ196945 JPE196945:JPF196945 JZA196945:JZB196945 KIW196945:KIX196945 KSS196945:KST196945 LCO196945:LCP196945 LMK196945:LML196945 LWG196945:LWH196945 MGC196945:MGD196945 MPY196945:MPZ196945 MZU196945:MZV196945 NJQ196945:NJR196945 NTM196945:NTN196945 ODI196945:ODJ196945 ONE196945:ONF196945 OXA196945:OXB196945 PGW196945:PGX196945 PQS196945:PQT196945 QAO196945:QAP196945 QKK196945:QKL196945 QUG196945:QUH196945 REC196945:RED196945 RNY196945:RNZ196945 RXU196945:RXV196945 SHQ196945:SHR196945 SRM196945:SRN196945 TBI196945:TBJ196945 TLE196945:TLF196945 TVA196945:TVB196945 UEW196945:UEX196945 UOS196945:UOT196945 UYO196945:UYP196945 VIK196945:VIL196945 VSG196945:VSH196945 WCC196945:WCD196945 WLY196945:WLZ196945 WVU196945:WVV196945 M262481:N262481 JI262481:JJ262481 TE262481:TF262481 ADA262481:ADB262481 AMW262481:AMX262481 AWS262481:AWT262481 BGO262481:BGP262481 BQK262481:BQL262481 CAG262481:CAH262481 CKC262481:CKD262481 CTY262481:CTZ262481 DDU262481:DDV262481 DNQ262481:DNR262481 DXM262481:DXN262481 EHI262481:EHJ262481 ERE262481:ERF262481 FBA262481:FBB262481 FKW262481:FKX262481 FUS262481:FUT262481 GEO262481:GEP262481 GOK262481:GOL262481 GYG262481:GYH262481 HIC262481:HID262481 HRY262481:HRZ262481 IBU262481:IBV262481 ILQ262481:ILR262481 IVM262481:IVN262481 JFI262481:JFJ262481 JPE262481:JPF262481 JZA262481:JZB262481 KIW262481:KIX262481 KSS262481:KST262481 LCO262481:LCP262481 LMK262481:LML262481 LWG262481:LWH262481 MGC262481:MGD262481 MPY262481:MPZ262481 MZU262481:MZV262481 NJQ262481:NJR262481 NTM262481:NTN262481 ODI262481:ODJ262481 ONE262481:ONF262481 OXA262481:OXB262481 PGW262481:PGX262481 PQS262481:PQT262481 QAO262481:QAP262481 QKK262481:QKL262481 QUG262481:QUH262481 REC262481:RED262481 RNY262481:RNZ262481 RXU262481:RXV262481 SHQ262481:SHR262481 SRM262481:SRN262481 TBI262481:TBJ262481 TLE262481:TLF262481 TVA262481:TVB262481 UEW262481:UEX262481 UOS262481:UOT262481 UYO262481:UYP262481 VIK262481:VIL262481 VSG262481:VSH262481 WCC262481:WCD262481 WLY262481:WLZ262481 WVU262481:WVV262481 M328017:N328017 JI328017:JJ328017 TE328017:TF328017 ADA328017:ADB328017 AMW328017:AMX328017 AWS328017:AWT328017 BGO328017:BGP328017 BQK328017:BQL328017 CAG328017:CAH328017 CKC328017:CKD328017 CTY328017:CTZ328017 DDU328017:DDV328017 DNQ328017:DNR328017 DXM328017:DXN328017 EHI328017:EHJ328017 ERE328017:ERF328017 FBA328017:FBB328017 FKW328017:FKX328017 FUS328017:FUT328017 GEO328017:GEP328017 GOK328017:GOL328017 GYG328017:GYH328017 HIC328017:HID328017 HRY328017:HRZ328017 IBU328017:IBV328017 ILQ328017:ILR328017 IVM328017:IVN328017 JFI328017:JFJ328017 JPE328017:JPF328017 JZA328017:JZB328017 KIW328017:KIX328017 KSS328017:KST328017 LCO328017:LCP328017 LMK328017:LML328017 LWG328017:LWH328017 MGC328017:MGD328017 MPY328017:MPZ328017 MZU328017:MZV328017 NJQ328017:NJR328017 NTM328017:NTN328017 ODI328017:ODJ328017 ONE328017:ONF328017 OXA328017:OXB328017 PGW328017:PGX328017 PQS328017:PQT328017 QAO328017:QAP328017 QKK328017:QKL328017 QUG328017:QUH328017 REC328017:RED328017 RNY328017:RNZ328017 RXU328017:RXV328017 SHQ328017:SHR328017 SRM328017:SRN328017 TBI328017:TBJ328017 TLE328017:TLF328017 TVA328017:TVB328017 UEW328017:UEX328017 UOS328017:UOT328017 UYO328017:UYP328017 VIK328017:VIL328017 VSG328017:VSH328017 WCC328017:WCD328017 WLY328017:WLZ328017 WVU328017:WVV328017 M393553:N393553 JI393553:JJ393553 TE393553:TF393553 ADA393553:ADB393553 AMW393553:AMX393553 AWS393553:AWT393553 BGO393553:BGP393553 BQK393553:BQL393553 CAG393553:CAH393553 CKC393553:CKD393553 CTY393553:CTZ393553 DDU393553:DDV393553 DNQ393553:DNR393553 DXM393553:DXN393553 EHI393553:EHJ393553 ERE393553:ERF393553 FBA393553:FBB393553 FKW393553:FKX393553 FUS393553:FUT393553 GEO393553:GEP393553 GOK393553:GOL393553 GYG393553:GYH393553 HIC393553:HID393553 HRY393553:HRZ393553 IBU393553:IBV393553 ILQ393553:ILR393553 IVM393553:IVN393553 JFI393553:JFJ393553 JPE393553:JPF393553 JZA393553:JZB393553 KIW393553:KIX393553 KSS393553:KST393553 LCO393553:LCP393553 LMK393553:LML393553 LWG393553:LWH393553 MGC393553:MGD393553 MPY393553:MPZ393553 MZU393553:MZV393553 NJQ393553:NJR393553 NTM393553:NTN393553 ODI393553:ODJ393553 ONE393553:ONF393553 OXA393553:OXB393553 PGW393553:PGX393553 PQS393553:PQT393553 QAO393553:QAP393553 QKK393553:QKL393553 QUG393553:QUH393553 REC393553:RED393553 RNY393553:RNZ393553 RXU393553:RXV393553 SHQ393553:SHR393553 SRM393553:SRN393553 TBI393553:TBJ393553 TLE393553:TLF393553 TVA393553:TVB393553 UEW393553:UEX393553 UOS393553:UOT393553 UYO393553:UYP393553 VIK393553:VIL393553 VSG393553:VSH393553 WCC393553:WCD393553 WLY393553:WLZ393553 WVU393553:WVV393553 M459089:N459089 JI459089:JJ459089 TE459089:TF459089 ADA459089:ADB459089 AMW459089:AMX459089 AWS459089:AWT459089 BGO459089:BGP459089 BQK459089:BQL459089 CAG459089:CAH459089 CKC459089:CKD459089 CTY459089:CTZ459089 DDU459089:DDV459089 DNQ459089:DNR459089 DXM459089:DXN459089 EHI459089:EHJ459089 ERE459089:ERF459089 FBA459089:FBB459089 FKW459089:FKX459089 FUS459089:FUT459089 GEO459089:GEP459089 GOK459089:GOL459089 GYG459089:GYH459089 HIC459089:HID459089 HRY459089:HRZ459089 IBU459089:IBV459089 ILQ459089:ILR459089 IVM459089:IVN459089 JFI459089:JFJ459089 JPE459089:JPF459089 JZA459089:JZB459089 KIW459089:KIX459089 KSS459089:KST459089 LCO459089:LCP459089 LMK459089:LML459089 LWG459089:LWH459089 MGC459089:MGD459089 MPY459089:MPZ459089 MZU459089:MZV459089 NJQ459089:NJR459089 NTM459089:NTN459089 ODI459089:ODJ459089 ONE459089:ONF459089 OXA459089:OXB459089 PGW459089:PGX459089 PQS459089:PQT459089 QAO459089:QAP459089 QKK459089:QKL459089 QUG459089:QUH459089 REC459089:RED459089 RNY459089:RNZ459089 RXU459089:RXV459089 SHQ459089:SHR459089 SRM459089:SRN459089 TBI459089:TBJ459089 TLE459089:TLF459089 TVA459089:TVB459089 UEW459089:UEX459089 UOS459089:UOT459089 UYO459089:UYP459089 VIK459089:VIL459089 VSG459089:VSH459089 WCC459089:WCD459089 WLY459089:WLZ459089 WVU459089:WVV459089 M524625:N524625 JI524625:JJ524625 TE524625:TF524625 ADA524625:ADB524625 AMW524625:AMX524625 AWS524625:AWT524625 BGO524625:BGP524625 BQK524625:BQL524625 CAG524625:CAH524625 CKC524625:CKD524625 CTY524625:CTZ524625 DDU524625:DDV524625 DNQ524625:DNR524625 DXM524625:DXN524625 EHI524625:EHJ524625 ERE524625:ERF524625 FBA524625:FBB524625 FKW524625:FKX524625 FUS524625:FUT524625 GEO524625:GEP524625 GOK524625:GOL524625 GYG524625:GYH524625 HIC524625:HID524625 HRY524625:HRZ524625 IBU524625:IBV524625 ILQ524625:ILR524625 IVM524625:IVN524625 JFI524625:JFJ524625 JPE524625:JPF524625 JZA524625:JZB524625 KIW524625:KIX524625 KSS524625:KST524625 LCO524625:LCP524625 LMK524625:LML524625 LWG524625:LWH524625 MGC524625:MGD524625 MPY524625:MPZ524625 MZU524625:MZV524625 NJQ524625:NJR524625 NTM524625:NTN524625 ODI524625:ODJ524625 ONE524625:ONF524625 OXA524625:OXB524625 PGW524625:PGX524625 PQS524625:PQT524625 QAO524625:QAP524625 QKK524625:QKL524625 QUG524625:QUH524625 REC524625:RED524625 RNY524625:RNZ524625 RXU524625:RXV524625 SHQ524625:SHR524625 SRM524625:SRN524625 TBI524625:TBJ524625 TLE524625:TLF524625 TVA524625:TVB524625 UEW524625:UEX524625 UOS524625:UOT524625 UYO524625:UYP524625 VIK524625:VIL524625 VSG524625:VSH524625 WCC524625:WCD524625 WLY524625:WLZ524625 WVU524625:WVV524625 M590161:N590161 JI590161:JJ590161 TE590161:TF590161 ADA590161:ADB590161 AMW590161:AMX590161 AWS590161:AWT590161 BGO590161:BGP590161 BQK590161:BQL590161 CAG590161:CAH590161 CKC590161:CKD590161 CTY590161:CTZ590161 DDU590161:DDV590161 DNQ590161:DNR590161 DXM590161:DXN590161 EHI590161:EHJ590161 ERE590161:ERF590161 FBA590161:FBB590161 FKW590161:FKX590161 FUS590161:FUT590161 GEO590161:GEP590161 GOK590161:GOL590161 GYG590161:GYH590161 HIC590161:HID590161 HRY590161:HRZ590161 IBU590161:IBV590161 ILQ590161:ILR590161 IVM590161:IVN590161 JFI590161:JFJ590161 JPE590161:JPF590161 JZA590161:JZB590161 KIW590161:KIX590161 KSS590161:KST590161 LCO590161:LCP590161 LMK590161:LML590161 LWG590161:LWH590161 MGC590161:MGD590161 MPY590161:MPZ590161 MZU590161:MZV590161 NJQ590161:NJR590161 NTM590161:NTN590161 ODI590161:ODJ590161 ONE590161:ONF590161 OXA590161:OXB590161 PGW590161:PGX590161 PQS590161:PQT590161 QAO590161:QAP590161 QKK590161:QKL590161 QUG590161:QUH590161 REC590161:RED590161 RNY590161:RNZ590161 RXU590161:RXV590161 SHQ590161:SHR590161 SRM590161:SRN590161 TBI590161:TBJ590161 TLE590161:TLF590161 TVA590161:TVB590161 UEW590161:UEX590161 UOS590161:UOT590161 UYO590161:UYP590161 VIK590161:VIL590161 VSG590161:VSH590161 WCC590161:WCD590161 WLY590161:WLZ590161 WVU590161:WVV590161 M655697:N655697 JI655697:JJ655697 TE655697:TF655697 ADA655697:ADB655697 AMW655697:AMX655697 AWS655697:AWT655697 BGO655697:BGP655697 BQK655697:BQL655697 CAG655697:CAH655697 CKC655697:CKD655697 CTY655697:CTZ655697 DDU655697:DDV655697 DNQ655697:DNR655697 DXM655697:DXN655697 EHI655697:EHJ655697 ERE655697:ERF655697 FBA655697:FBB655697 FKW655697:FKX655697 FUS655697:FUT655697 GEO655697:GEP655697 GOK655697:GOL655697 GYG655697:GYH655697 HIC655697:HID655697 HRY655697:HRZ655697 IBU655697:IBV655697 ILQ655697:ILR655697 IVM655697:IVN655697 JFI655697:JFJ655697 JPE655697:JPF655697 JZA655697:JZB655697 KIW655697:KIX655697 KSS655697:KST655697 LCO655697:LCP655697 LMK655697:LML655697 LWG655697:LWH655697 MGC655697:MGD655697 MPY655697:MPZ655697 MZU655697:MZV655697 NJQ655697:NJR655697 NTM655697:NTN655697 ODI655697:ODJ655697 ONE655697:ONF655697 OXA655697:OXB655697 PGW655697:PGX655697 PQS655697:PQT655697 QAO655697:QAP655697 QKK655697:QKL655697 QUG655697:QUH655697 REC655697:RED655697 RNY655697:RNZ655697 RXU655697:RXV655697 SHQ655697:SHR655697 SRM655697:SRN655697 TBI655697:TBJ655697 TLE655697:TLF655697 TVA655697:TVB655697 UEW655697:UEX655697 UOS655697:UOT655697 UYO655697:UYP655697 VIK655697:VIL655697 VSG655697:VSH655697 WCC655697:WCD655697 WLY655697:WLZ655697 WVU655697:WVV655697 M721233:N721233 JI721233:JJ721233 TE721233:TF721233 ADA721233:ADB721233 AMW721233:AMX721233 AWS721233:AWT721233 BGO721233:BGP721233 BQK721233:BQL721233 CAG721233:CAH721233 CKC721233:CKD721233 CTY721233:CTZ721233 DDU721233:DDV721233 DNQ721233:DNR721233 DXM721233:DXN721233 EHI721233:EHJ721233 ERE721233:ERF721233 FBA721233:FBB721233 FKW721233:FKX721233 FUS721233:FUT721233 GEO721233:GEP721233 GOK721233:GOL721233 GYG721233:GYH721233 HIC721233:HID721233 HRY721233:HRZ721233 IBU721233:IBV721233 ILQ721233:ILR721233 IVM721233:IVN721233 JFI721233:JFJ721233 JPE721233:JPF721233 JZA721233:JZB721233 KIW721233:KIX721233 KSS721233:KST721233 LCO721233:LCP721233 LMK721233:LML721233 LWG721233:LWH721233 MGC721233:MGD721233 MPY721233:MPZ721233 MZU721233:MZV721233 NJQ721233:NJR721233 NTM721233:NTN721233 ODI721233:ODJ721233 ONE721233:ONF721233 OXA721233:OXB721233 PGW721233:PGX721233 PQS721233:PQT721233 QAO721233:QAP721233 QKK721233:QKL721233 QUG721233:QUH721233 REC721233:RED721233 RNY721233:RNZ721233 RXU721233:RXV721233 SHQ721233:SHR721233 SRM721233:SRN721233 TBI721233:TBJ721233 TLE721233:TLF721233 TVA721233:TVB721233 UEW721233:UEX721233 UOS721233:UOT721233 UYO721233:UYP721233 VIK721233:VIL721233 VSG721233:VSH721233 WCC721233:WCD721233 WLY721233:WLZ721233 WVU721233:WVV721233 M786769:N786769 JI786769:JJ786769 TE786769:TF786769 ADA786769:ADB786769 AMW786769:AMX786769 AWS786769:AWT786769 BGO786769:BGP786769 BQK786769:BQL786769 CAG786769:CAH786769 CKC786769:CKD786769 CTY786769:CTZ786769 DDU786769:DDV786769 DNQ786769:DNR786769 DXM786769:DXN786769 EHI786769:EHJ786769 ERE786769:ERF786769 FBA786769:FBB786769 FKW786769:FKX786769 FUS786769:FUT786769 GEO786769:GEP786769 GOK786769:GOL786769 GYG786769:GYH786769 HIC786769:HID786769 HRY786769:HRZ786769 IBU786769:IBV786769 ILQ786769:ILR786769 IVM786769:IVN786769 JFI786769:JFJ786769 JPE786769:JPF786769 JZA786769:JZB786769 KIW786769:KIX786769 KSS786769:KST786769 LCO786769:LCP786769 LMK786769:LML786769 LWG786769:LWH786769 MGC786769:MGD786769 MPY786769:MPZ786769 MZU786769:MZV786769 NJQ786769:NJR786769 NTM786769:NTN786769 ODI786769:ODJ786769 ONE786769:ONF786769 OXA786769:OXB786769 PGW786769:PGX786769 PQS786769:PQT786769 QAO786769:QAP786769 QKK786769:QKL786769 QUG786769:QUH786769 REC786769:RED786769 RNY786769:RNZ786769 RXU786769:RXV786769 SHQ786769:SHR786769 SRM786769:SRN786769 TBI786769:TBJ786769 TLE786769:TLF786769 TVA786769:TVB786769 UEW786769:UEX786769 UOS786769:UOT786769 UYO786769:UYP786769 VIK786769:VIL786769 VSG786769:VSH786769 WCC786769:WCD786769 WLY786769:WLZ786769 WVU786769:WVV786769 M852305:N852305 JI852305:JJ852305 TE852305:TF852305 ADA852305:ADB852305 AMW852305:AMX852305 AWS852305:AWT852305 BGO852305:BGP852305 BQK852305:BQL852305 CAG852305:CAH852305 CKC852305:CKD852305 CTY852305:CTZ852305 DDU852305:DDV852305 DNQ852305:DNR852305 DXM852305:DXN852305 EHI852305:EHJ852305 ERE852305:ERF852305 FBA852305:FBB852305 FKW852305:FKX852305 FUS852305:FUT852305 GEO852305:GEP852305 GOK852305:GOL852305 GYG852305:GYH852305 HIC852305:HID852305 HRY852305:HRZ852305 IBU852305:IBV852305 ILQ852305:ILR852305 IVM852305:IVN852305 JFI852305:JFJ852305 JPE852305:JPF852305 JZA852305:JZB852305 KIW852305:KIX852305 KSS852305:KST852305 LCO852305:LCP852305 LMK852305:LML852305 LWG852305:LWH852305 MGC852305:MGD852305 MPY852305:MPZ852305 MZU852305:MZV852305 NJQ852305:NJR852305 NTM852305:NTN852305 ODI852305:ODJ852305 ONE852305:ONF852305 OXA852305:OXB852305 PGW852305:PGX852305 PQS852305:PQT852305 QAO852305:QAP852305 QKK852305:QKL852305 QUG852305:QUH852305 REC852305:RED852305 RNY852305:RNZ852305 RXU852305:RXV852305 SHQ852305:SHR852305 SRM852305:SRN852305 TBI852305:TBJ852305 TLE852305:TLF852305 TVA852305:TVB852305 UEW852305:UEX852305 UOS852305:UOT852305 UYO852305:UYP852305 VIK852305:VIL852305 VSG852305:VSH852305 WCC852305:WCD852305 WLY852305:WLZ852305 WVU852305:WVV852305 M917841:N917841 JI917841:JJ917841 TE917841:TF917841 ADA917841:ADB917841 AMW917841:AMX917841 AWS917841:AWT917841 BGO917841:BGP917841 BQK917841:BQL917841 CAG917841:CAH917841 CKC917841:CKD917841 CTY917841:CTZ917841 DDU917841:DDV917841 DNQ917841:DNR917841 DXM917841:DXN917841 EHI917841:EHJ917841 ERE917841:ERF917841 FBA917841:FBB917841 FKW917841:FKX917841 FUS917841:FUT917841 GEO917841:GEP917841 GOK917841:GOL917841 GYG917841:GYH917841 HIC917841:HID917841 HRY917841:HRZ917841 IBU917841:IBV917841 ILQ917841:ILR917841 IVM917841:IVN917841 JFI917841:JFJ917841 JPE917841:JPF917841 JZA917841:JZB917841 KIW917841:KIX917841 KSS917841:KST917841 LCO917841:LCP917841 LMK917841:LML917841 LWG917841:LWH917841 MGC917841:MGD917841 MPY917841:MPZ917841 MZU917841:MZV917841 NJQ917841:NJR917841 NTM917841:NTN917841 ODI917841:ODJ917841 ONE917841:ONF917841 OXA917841:OXB917841 PGW917841:PGX917841 PQS917841:PQT917841 QAO917841:QAP917841 QKK917841:QKL917841 QUG917841:QUH917841 REC917841:RED917841 RNY917841:RNZ917841 RXU917841:RXV917841 SHQ917841:SHR917841 SRM917841:SRN917841 TBI917841:TBJ917841 TLE917841:TLF917841 TVA917841:TVB917841 UEW917841:UEX917841 UOS917841:UOT917841 UYO917841:UYP917841 VIK917841:VIL917841 VSG917841:VSH917841 WCC917841:WCD917841 WLY917841:WLZ917841 WVU917841:WVV917841 M983377:N983377 JI983377:JJ983377 TE983377:TF983377 ADA983377:ADB983377 AMW983377:AMX983377 AWS983377:AWT983377 BGO983377:BGP983377 BQK983377:BQL983377 CAG983377:CAH983377 CKC983377:CKD983377 CTY983377:CTZ983377 DDU983377:DDV983377 DNQ983377:DNR983377 DXM983377:DXN983377 EHI983377:EHJ983377 ERE983377:ERF983377 FBA983377:FBB983377 FKW983377:FKX983377 FUS983377:FUT983377 GEO983377:GEP983377 GOK983377:GOL983377 GYG983377:GYH983377 HIC983377:HID983377 HRY983377:HRZ983377 IBU983377:IBV983377 ILQ983377:ILR983377 IVM983377:IVN983377 JFI983377:JFJ983377 JPE983377:JPF983377 JZA983377:JZB983377 KIW983377:KIX983377 KSS983377:KST983377 LCO983377:LCP983377 LMK983377:LML983377 LWG983377:LWH983377 MGC983377:MGD983377 MPY983377:MPZ983377 MZU983377:MZV983377 NJQ983377:NJR983377 NTM983377:NTN983377 ODI983377:ODJ983377 ONE983377:ONF983377 OXA983377:OXB983377 PGW983377:PGX983377 PQS983377:PQT983377 QAO983377:QAP983377 QKK983377:QKL983377 QUG983377:QUH983377 REC983377:RED983377 RNY983377:RNZ983377 RXU983377:RXV983377 SHQ983377:SHR983377 SRM983377:SRN983377 TBI983377:TBJ983377 TLE983377:TLF983377 TVA983377:TVB983377 UEW983377:UEX983377 UOS983377:UOT983377 UYO983377:UYP983377 VIK983377:VIL983377 VSG983377:VSH983377 WCC983377:WCD983377 WLY983377:WLZ983377 WVU983377:WVV983377 M59:N59 JI59:JJ59 TE59:TF59 ADA59:ADB59 AMW59:AMX59 AWS59:AWT59 BGO59:BGP59 BQK59:BQL59 CAG59:CAH59 CKC59:CKD59 CTY59:CTZ59 DDU59:DDV59 DNQ59:DNR59 DXM59:DXN59 EHI59:EHJ59 ERE59:ERF59 FBA59:FBB59 FKW59:FKX59 FUS59:FUT59 GEO59:GEP59 GOK59:GOL59 GYG59:GYH59 HIC59:HID59 HRY59:HRZ59 IBU59:IBV59 ILQ59:ILR59 IVM59:IVN59 JFI59:JFJ59 JPE59:JPF59 JZA59:JZB59 KIW59:KIX59 KSS59:KST59 LCO59:LCP59 LMK59:LML59 LWG59:LWH59 MGC59:MGD59 MPY59:MPZ59 MZU59:MZV59 NJQ59:NJR59 NTM59:NTN59 ODI59:ODJ59 ONE59:ONF59 OXA59:OXB59 PGW59:PGX59 PQS59:PQT59 QAO59:QAP59 QKK59:QKL59 QUG59:QUH59 REC59:RED59 RNY59:RNZ59 RXU59:RXV59 SHQ59:SHR59 SRM59:SRN59 TBI59:TBJ59 TLE59:TLF59 TVA59:TVB59 UEW59:UEX59 UOS59:UOT59 UYO59:UYP59 VIK59:VIL59 VSG59:VSH59 WCC59:WCD59 WLY59:WLZ59 WVU59:WVV59 M65601:N65601 JI65601:JJ65601 TE65601:TF65601 ADA65601:ADB65601 AMW65601:AMX65601 AWS65601:AWT65601 BGO65601:BGP65601 BQK65601:BQL65601 CAG65601:CAH65601 CKC65601:CKD65601 CTY65601:CTZ65601 DDU65601:DDV65601 DNQ65601:DNR65601 DXM65601:DXN65601 EHI65601:EHJ65601 ERE65601:ERF65601 FBA65601:FBB65601 FKW65601:FKX65601 FUS65601:FUT65601 GEO65601:GEP65601 GOK65601:GOL65601 GYG65601:GYH65601 HIC65601:HID65601 HRY65601:HRZ65601 IBU65601:IBV65601 ILQ65601:ILR65601 IVM65601:IVN65601 JFI65601:JFJ65601 JPE65601:JPF65601 JZA65601:JZB65601 KIW65601:KIX65601 KSS65601:KST65601 LCO65601:LCP65601 LMK65601:LML65601 LWG65601:LWH65601 MGC65601:MGD65601 MPY65601:MPZ65601 MZU65601:MZV65601 NJQ65601:NJR65601 NTM65601:NTN65601 ODI65601:ODJ65601 ONE65601:ONF65601 OXA65601:OXB65601 PGW65601:PGX65601 PQS65601:PQT65601 QAO65601:QAP65601 QKK65601:QKL65601 QUG65601:QUH65601 REC65601:RED65601 RNY65601:RNZ65601 RXU65601:RXV65601 SHQ65601:SHR65601 SRM65601:SRN65601 TBI65601:TBJ65601 TLE65601:TLF65601 TVA65601:TVB65601 UEW65601:UEX65601 UOS65601:UOT65601 UYO65601:UYP65601 VIK65601:VIL65601 VSG65601:VSH65601 WCC65601:WCD65601 WLY65601:WLZ65601 WVU65601:WVV65601 M131137:N131137 JI131137:JJ131137 TE131137:TF131137 ADA131137:ADB131137 AMW131137:AMX131137 AWS131137:AWT131137 BGO131137:BGP131137 BQK131137:BQL131137 CAG131137:CAH131137 CKC131137:CKD131137 CTY131137:CTZ131137 DDU131137:DDV131137 DNQ131137:DNR131137 DXM131137:DXN131137 EHI131137:EHJ131137 ERE131137:ERF131137 FBA131137:FBB131137 FKW131137:FKX131137 FUS131137:FUT131137 GEO131137:GEP131137 GOK131137:GOL131137 GYG131137:GYH131137 HIC131137:HID131137 HRY131137:HRZ131137 IBU131137:IBV131137 ILQ131137:ILR131137 IVM131137:IVN131137 JFI131137:JFJ131137 JPE131137:JPF131137 JZA131137:JZB131137 KIW131137:KIX131137 KSS131137:KST131137 LCO131137:LCP131137 LMK131137:LML131137 LWG131137:LWH131137 MGC131137:MGD131137 MPY131137:MPZ131137 MZU131137:MZV131137 NJQ131137:NJR131137 NTM131137:NTN131137 ODI131137:ODJ131137 ONE131137:ONF131137 OXA131137:OXB131137 PGW131137:PGX131137 PQS131137:PQT131137 QAO131137:QAP131137 QKK131137:QKL131137 QUG131137:QUH131137 REC131137:RED131137 RNY131137:RNZ131137 RXU131137:RXV131137 SHQ131137:SHR131137 SRM131137:SRN131137 TBI131137:TBJ131137 TLE131137:TLF131137 TVA131137:TVB131137 UEW131137:UEX131137 UOS131137:UOT131137 UYO131137:UYP131137 VIK131137:VIL131137 VSG131137:VSH131137 WCC131137:WCD131137 WLY131137:WLZ131137 WVU131137:WVV131137 M196673:N196673 JI196673:JJ196673 TE196673:TF196673 ADA196673:ADB196673 AMW196673:AMX196673 AWS196673:AWT196673 BGO196673:BGP196673 BQK196673:BQL196673 CAG196673:CAH196673 CKC196673:CKD196673 CTY196673:CTZ196673 DDU196673:DDV196673 DNQ196673:DNR196673 DXM196673:DXN196673 EHI196673:EHJ196673 ERE196673:ERF196673 FBA196673:FBB196673 FKW196673:FKX196673 FUS196673:FUT196673 GEO196673:GEP196673 GOK196673:GOL196673 GYG196673:GYH196673 HIC196673:HID196673 HRY196673:HRZ196673 IBU196673:IBV196673 ILQ196673:ILR196673 IVM196673:IVN196673 JFI196673:JFJ196673 JPE196673:JPF196673 JZA196673:JZB196673 KIW196673:KIX196673 KSS196673:KST196673 LCO196673:LCP196673 LMK196673:LML196673 LWG196673:LWH196673 MGC196673:MGD196673 MPY196673:MPZ196673 MZU196673:MZV196673 NJQ196673:NJR196673 NTM196673:NTN196673 ODI196673:ODJ196673 ONE196673:ONF196673 OXA196673:OXB196673 PGW196673:PGX196673 PQS196673:PQT196673 QAO196673:QAP196673 QKK196673:QKL196673 QUG196673:QUH196673 REC196673:RED196673 RNY196673:RNZ196673 RXU196673:RXV196673 SHQ196673:SHR196673 SRM196673:SRN196673 TBI196673:TBJ196673 TLE196673:TLF196673 TVA196673:TVB196673 UEW196673:UEX196673 UOS196673:UOT196673 UYO196673:UYP196673 VIK196673:VIL196673 VSG196673:VSH196673 WCC196673:WCD196673 WLY196673:WLZ196673 WVU196673:WVV196673 M262209:N262209 JI262209:JJ262209 TE262209:TF262209 ADA262209:ADB262209 AMW262209:AMX262209 AWS262209:AWT262209 BGO262209:BGP262209 BQK262209:BQL262209 CAG262209:CAH262209 CKC262209:CKD262209 CTY262209:CTZ262209 DDU262209:DDV262209 DNQ262209:DNR262209 DXM262209:DXN262209 EHI262209:EHJ262209 ERE262209:ERF262209 FBA262209:FBB262209 FKW262209:FKX262209 FUS262209:FUT262209 GEO262209:GEP262209 GOK262209:GOL262209 GYG262209:GYH262209 HIC262209:HID262209 HRY262209:HRZ262209 IBU262209:IBV262209 ILQ262209:ILR262209 IVM262209:IVN262209 JFI262209:JFJ262209 JPE262209:JPF262209 JZA262209:JZB262209 KIW262209:KIX262209 KSS262209:KST262209 LCO262209:LCP262209 LMK262209:LML262209 LWG262209:LWH262209 MGC262209:MGD262209 MPY262209:MPZ262209 MZU262209:MZV262209 NJQ262209:NJR262209 NTM262209:NTN262209 ODI262209:ODJ262209 ONE262209:ONF262209 OXA262209:OXB262209 PGW262209:PGX262209 PQS262209:PQT262209 QAO262209:QAP262209 QKK262209:QKL262209 QUG262209:QUH262209 REC262209:RED262209 RNY262209:RNZ262209 RXU262209:RXV262209 SHQ262209:SHR262209 SRM262209:SRN262209 TBI262209:TBJ262209 TLE262209:TLF262209 TVA262209:TVB262209 UEW262209:UEX262209 UOS262209:UOT262209 UYO262209:UYP262209 VIK262209:VIL262209 VSG262209:VSH262209 WCC262209:WCD262209 WLY262209:WLZ262209 WVU262209:WVV262209 M327745:N327745 JI327745:JJ327745 TE327745:TF327745 ADA327745:ADB327745 AMW327745:AMX327745 AWS327745:AWT327745 BGO327745:BGP327745 BQK327745:BQL327745 CAG327745:CAH327745 CKC327745:CKD327745 CTY327745:CTZ327745 DDU327745:DDV327745 DNQ327745:DNR327745 DXM327745:DXN327745 EHI327745:EHJ327745 ERE327745:ERF327745 FBA327745:FBB327745 FKW327745:FKX327745 FUS327745:FUT327745 GEO327745:GEP327745 GOK327745:GOL327745 GYG327745:GYH327745 HIC327745:HID327745 HRY327745:HRZ327745 IBU327745:IBV327745 ILQ327745:ILR327745 IVM327745:IVN327745 JFI327745:JFJ327745 JPE327745:JPF327745 JZA327745:JZB327745 KIW327745:KIX327745 KSS327745:KST327745 LCO327745:LCP327745 LMK327745:LML327745 LWG327745:LWH327745 MGC327745:MGD327745 MPY327745:MPZ327745 MZU327745:MZV327745 NJQ327745:NJR327745 NTM327745:NTN327745 ODI327745:ODJ327745 ONE327745:ONF327745 OXA327745:OXB327745 PGW327745:PGX327745 PQS327745:PQT327745 QAO327745:QAP327745 QKK327745:QKL327745 QUG327745:QUH327745 REC327745:RED327745 RNY327745:RNZ327745 RXU327745:RXV327745 SHQ327745:SHR327745 SRM327745:SRN327745 TBI327745:TBJ327745 TLE327745:TLF327745 TVA327745:TVB327745 UEW327745:UEX327745 UOS327745:UOT327745 UYO327745:UYP327745 VIK327745:VIL327745 VSG327745:VSH327745 WCC327745:WCD327745 WLY327745:WLZ327745 WVU327745:WVV327745 M393281:N393281 JI393281:JJ393281 TE393281:TF393281 ADA393281:ADB393281 AMW393281:AMX393281 AWS393281:AWT393281 BGO393281:BGP393281 BQK393281:BQL393281 CAG393281:CAH393281 CKC393281:CKD393281 CTY393281:CTZ393281 DDU393281:DDV393281 DNQ393281:DNR393281 DXM393281:DXN393281 EHI393281:EHJ393281 ERE393281:ERF393281 FBA393281:FBB393281 FKW393281:FKX393281 FUS393281:FUT393281 GEO393281:GEP393281 GOK393281:GOL393281 GYG393281:GYH393281 HIC393281:HID393281 HRY393281:HRZ393281 IBU393281:IBV393281 ILQ393281:ILR393281 IVM393281:IVN393281 JFI393281:JFJ393281 JPE393281:JPF393281 JZA393281:JZB393281 KIW393281:KIX393281 KSS393281:KST393281 LCO393281:LCP393281 LMK393281:LML393281 LWG393281:LWH393281 MGC393281:MGD393281 MPY393281:MPZ393281 MZU393281:MZV393281 NJQ393281:NJR393281 NTM393281:NTN393281 ODI393281:ODJ393281 ONE393281:ONF393281 OXA393281:OXB393281 PGW393281:PGX393281 PQS393281:PQT393281 QAO393281:QAP393281 QKK393281:QKL393281 QUG393281:QUH393281 REC393281:RED393281 RNY393281:RNZ393281 RXU393281:RXV393281 SHQ393281:SHR393281 SRM393281:SRN393281 TBI393281:TBJ393281 TLE393281:TLF393281 TVA393281:TVB393281 UEW393281:UEX393281 UOS393281:UOT393281 UYO393281:UYP393281 VIK393281:VIL393281 VSG393281:VSH393281 WCC393281:WCD393281 WLY393281:WLZ393281 WVU393281:WVV393281 M458817:N458817 JI458817:JJ458817 TE458817:TF458817 ADA458817:ADB458817 AMW458817:AMX458817 AWS458817:AWT458817 BGO458817:BGP458817 BQK458817:BQL458817 CAG458817:CAH458817 CKC458817:CKD458817 CTY458817:CTZ458817 DDU458817:DDV458817 DNQ458817:DNR458817 DXM458817:DXN458817 EHI458817:EHJ458817 ERE458817:ERF458817 FBA458817:FBB458817 FKW458817:FKX458817 FUS458817:FUT458817 GEO458817:GEP458817 GOK458817:GOL458817 GYG458817:GYH458817 HIC458817:HID458817 HRY458817:HRZ458817 IBU458817:IBV458817 ILQ458817:ILR458817 IVM458817:IVN458817 JFI458817:JFJ458817 JPE458817:JPF458817 JZA458817:JZB458817 KIW458817:KIX458817 KSS458817:KST458817 LCO458817:LCP458817 LMK458817:LML458817 LWG458817:LWH458817 MGC458817:MGD458817 MPY458817:MPZ458817 MZU458817:MZV458817 NJQ458817:NJR458817 NTM458817:NTN458817 ODI458817:ODJ458817 ONE458817:ONF458817 OXA458817:OXB458817 PGW458817:PGX458817 PQS458817:PQT458817 QAO458817:QAP458817 QKK458817:QKL458817 QUG458817:QUH458817 REC458817:RED458817 RNY458817:RNZ458817 RXU458817:RXV458817 SHQ458817:SHR458817 SRM458817:SRN458817 TBI458817:TBJ458817 TLE458817:TLF458817 TVA458817:TVB458817 UEW458817:UEX458817 UOS458817:UOT458817 UYO458817:UYP458817 VIK458817:VIL458817 VSG458817:VSH458817 WCC458817:WCD458817 WLY458817:WLZ458817 WVU458817:WVV458817 M524353:N524353 JI524353:JJ524353 TE524353:TF524353 ADA524353:ADB524353 AMW524353:AMX524353 AWS524353:AWT524353 BGO524353:BGP524353 BQK524353:BQL524353 CAG524353:CAH524353 CKC524353:CKD524353 CTY524353:CTZ524353 DDU524353:DDV524353 DNQ524353:DNR524353 DXM524353:DXN524353 EHI524353:EHJ524353 ERE524353:ERF524353 FBA524353:FBB524353 FKW524353:FKX524353 FUS524353:FUT524353 GEO524353:GEP524353 GOK524353:GOL524353 GYG524353:GYH524353 HIC524353:HID524353 HRY524353:HRZ524353 IBU524353:IBV524353 ILQ524353:ILR524353 IVM524353:IVN524353 JFI524353:JFJ524353 JPE524353:JPF524353 JZA524353:JZB524353 KIW524353:KIX524353 KSS524353:KST524353 LCO524353:LCP524353 LMK524353:LML524353 LWG524353:LWH524353 MGC524353:MGD524353 MPY524353:MPZ524353 MZU524353:MZV524353 NJQ524353:NJR524353 NTM524353:NTN524353 ODI524353:ODJ524353 ONE524353:ONF524353 OXA524353:OXB524353 PGW524353:PGX524353 PQS524353:PQT524353 QAO524353:QAP524353 QKK524353:QKL524353 QUG524353:QUH524353 REC524353:RED524353 RNY524353:RNZ524353 RXU524353:RXV524353 SHQ524353:SHR524353 SRM524353:SRN524353 TBI524353:TBJ524353 TLE524353:TLF524353 TVA524353:TVB524353 UEW524353:UEX524353 UOS524353:UOT524353 UYO524353:UYP524353 VIK524353:VIL524353 VSG524353:VSH524353 WCC524353:WCD524353 WLY524353:WLZ524353 WVU524353:WVV524353 M589889:N589889 JI589889:JJ589889 TE589889:TF589889 ADA589889:ADB589889 AMW589889:AMX589889 AWS589889:AWT589889 BGO589889:BGP589889 BQK589889:BQL589889 CAG589889:CAH589889 CKC589889:CKD589889 CTY589889:CTZ589889 DDU589889:DDV589889 DNQ589889:DNR589889 DXM589889:DXN589889 EHI589889:EHJ589889 ERE589889:ERF589889 FBA589889:FBB589889 FKW589889:FKX589889 FUS589889:FUT589889 GEO589889:GEP589889 GOK589889:GOL589889 GYG589889:GYH589889 HIC589889:HID589889 HRY589889:HRZ589889 IBU589889:IBV589889 ILQ589889:ILR589889 IVM589889:IVN589889 JFI589889:JFJ589889 JPE589889:JPF589889 JZA589889:JZB589889 KIW589889:KIX589889 KSS589889:KST589889 LCO589889:LCP589889 LMK589889:LML589889 LWG589889:LWH589889 MGC589889:MGD589889 MPY589889:MPZ589889 MZU589889:MZV589889 NJQ589889:NJR589889 NTM589889:NTN589889 ODI589889:ODJ589889 ONE589889:ONF589889 OXA589889:OXB589889 PGW589889:PGX589889 PQS589889:PQT589889 QAO589889:QAP589889 QKK589889:QKL589889 QUG589889:QUH589889 REC589889:RED589889 RNY589889:RNZ589889 RXU589889:RXV589889 SHQ589889:SHR589889 SRM589889:SRN589889 TBI589889:TBJ589889 TLE589889:TLF589889 TVA589889:TVB589889 UEW589889:UEX589889 UOS589889:UOT589889 UYO589889:UYP589889 VIK589889:VIL589889 VSG589889:VSH589889 WCC589889:WCD589889 WLY589889:WLZ589889 WVU589889:WVV589889 M655425:N655425 JI655425:JJ655425 TE655425:TF655425 ADA655425:ADB655425 AMW655425:AMX655425 AWS655425:AWT655425 BGO655425:BGP655425 BQK655425:BQL655425 CAG655425:CAH655425 CKC655425:CKD655425 CTY655425:CTZ655425 DDU655425:DDV655425 DNQ655425:DNR655425 DXM655425:DXN655425 EHI655425:EHJ655425 ERE655425:ERF655425 FBA655425:FBB655425 FKW655425:FKX655425 FUS655425:FUT655425 GEO655425:GEP655425 GOK655425:GOL655425 GYG655425:GYH655425 HIC655425:HID655425 HRY655425:HRZ655425 IBU655425:IBV655425 ILQ655425:ILR655425 IVM655425:IVN655425 JFI655425:JFJ655425 JPE655425:JPF655425 JZA655425:JZB655425 KIW655425:KIX655425 KSS655425:KST655425 LCO655425:LCP655425 LMK655425:LML655425 LWG655425:LWH655425 MGC655425:MGD655425 MPY655425:MPZ655425 MZU655425:MZV655425 NJQ655425:NJR655425 NTM655425:NTN655425 ODI655425:ODJ655425 ONE655425:ONF655425 OXA655425:OXB655425 PGW655425:PGX655425 PQS655425:PQT655425 QAO655425:QAP655425 QKK655425:QKL655425 QUG655425:QUH655425 REC655425:RED655425 RNY655425:RNZ655425 RXU655425:RXV655425 SHQ655425:SHR655425 SRM655425:SRN655425 TBI655425:TBJ655425 TLE655425:TLF655425 TVA655425:TVB655425 UEW655425:UEX655425 UOS655425:UOT655425 UYO655425:UYP655425 VIK655425:VIL655425 VSG655425:VSH655425 WCC655425:WCD655425 WLY655425:WLZ655425 WVU655425:WVV655425 M720961:N720961 JI720961:JJ720961 TE720961:TF720961 ADA720961:ADB720961 AMW720961:AMX720961 AWS720961:AWT720961 BGO720961:BGP720961 BQK720961:BQL720961 CAG720961:CAH720961 CKC720961:CKD720961 CTY720961:CTZ720961 DDU720961:DDV720961 DNQ720961:DNR720961 DXM720961:DXN720961 EHI720961:EHJ720961 ERE720961:ERF720961 FBA720961:FBB720961 FKW720961:FKX720961 FUS720961:FUT720961 GEO720961:GEP720961 GOK720961:GOL720961 GYG720961:GYH720961 HIC720961:HID720961 HRY720961:HRZ720961 IBU720961:IBV720961 ILQ720961:ILR720961 IVM720961:IVN720961 JFI720961:JFJ720961 JPE720961:JPF720961 JZA720961:JZB720961 KIW720961:KIX720961 KSS720961:KST720961 LCO720961:LCP720961 LMK720961:LML720961 LWG720961:LWH720961 MGC720961:MGD720961 MPY720961:MPZ720961 MZU720961:MZV720961 NJQ720961:NJR720961 NTM720961:NTN720961 ODI720961:ODJ720961 ONE720961:ONF720961 OXA720961:OXB720961 PGW720961:PGX720961 PQS720961:PQT720961 QAO720961:QAP720961 QKK720961:QKL720961 QUG720961:QUH720961 REC720961:RED720961 RNY720961:RNZ720961 RXU720961:RXV720961 SHQ720961:SHR720961 SRM720961:SRN720961 TBI720961:TBJ720961 TLE720961:TLF720961 TVA720961:TVB720961 UEW720961:UEX720961 UOS720961:UOT720961 UYO720961:UYP720961 VIK720961:VIL720961 VSG720961:VSH720961 WCC720961:WCD720961 WLY720961:WLZ720961 WVU720961:WVV720961 M786497:N786497 JI786497:JJ786497 TE786497:TF786497 ADA786497:ADB786497 AMW786497:AMX786497 AWS786497:AWT786497 BGO786497:BGP786497 BQK786497:BQL786497 CAG786497:CAH786497 CKC786497:CKD786497 CTY786497:CTZ786497 DDU786497:DDV786497 DNQ786497:DNR786497 DXM786497:DXN786497 EHI786497:EHJ786497 ERE786497:ERF786497 FBA786497:FBB786497 FKW786497:FKX786497 FUS786497:FUT786497 GEO786497:GEP786497 GOK786497:GOL786497 GYG786497:GYH786497 HIC786497:HID786497 HRY786497:HRZ786497 IBU786497:IBV786497 ILQ786497:ILR786497 IVM786497:IVN786497 JFI786497:JFJ786497 JPE786497:JPF786497 JZA786497:JZB786497 KIW786497:KIX786497 KSS786497:KST786497 LCO786497:LCP786497 LMK786497:LML786497 LWG786497:LWH786497 MGC786497:MGD786497 MPY786497:MPZ786497 MZU786497:MZV786497 NJQ786497:NJR786497 NTM786497:NTN786497 ODI786497:ODJ786497 ONE786497:ONF786497 OXA786497:OXB786497 PGW786497:PGX786497 PQS786497:PQT786497 QAO786497:QAP786497 QKK786497:QKL786497 QUG786497:QUH786497 REC786497:RED786497 RNY786497:RNZ786497 RXU786497:RXV786497 SHQ786497:SHR786497 SRM786497:SRN786497 TBI786497:TBJ786497 TLE786497:TLF786497 TVA786497:TVB786497 UEW786497:UEX786497 UOS786497:UOT786497 UYO786497:UYP786497 VIK786497:VIL786497 VSG786497:VSH786497 WCC786497:WCD786497 WLY786497:WLZ786497 WVU786497:WVV786497 M852033:N852033 JI852033:JJ852033 TE852033:TF852033 ADA852033:ADB852033 AMW852033:AMX852033 AWS852033:AWT852033 BGO852033:BGP852033 BQK852033:BQL852033 CAG852033:CAH852033 CKC852033:CKD852033 CTY852033:CTZ852033 DDU852033:DDV852033 DNQ852033:DNR852033 DXM852033:DXN852033 EHI852033:EHJ852033 ERE852033:ERF852033 FBA852033:FBB852033 FKW852033:FKX852033 FUS852033:FUT852033 GEO852033:GEP852033 GOK852033:GOL852033 GYG852033:GYH852033 HIC852033:HID852033 HRY852033:HRZ852033 IBU852033:IBV852033 ILQ852033:ILR852033 IVM852033:IVN852033 JFI852033:JFJ852033 JPE852033:JPF852033 JZA852033:JZB852033 KIW852033:KIX852033 KSS852033:KST852033 LCO852033:LCP852033 LMK852033:LML852033 LWG852033:LWH852033 MGC852033:MGD852033 MPY852033:MPZ852033 MZU852033:MZV852033 NJQ852033:NJR852033 NTM852033:NTN852033 ODI852033:ODJ852033 ONE852033:ONF852033 OXA852033:OXB852033 PGW852033:PGX852033 PQS852033:PQT852033 QAO852033:QAP852033 QKK852033:QKL852033 QUG852033:QUH852033 REC852033:RED852033 RNY852033:RNZ852033 RXU852033:RXV852033 SHQ852033:SHR852033 SRM852033:SRN852033 TBI852033:TBJ852033 TLE852033:TLF852033 TVA852033:TVB852033 UEW852033:UEX852033 UOS852033:UOT852033 UYO852033:UYP852033 VIK852033:VIL852033 VSG852033:VSH852033 WCC852033:WCD852033 WLY852033:WLZ852033 WVU852033:WVV852033 M917569:N917569 JI917569:JJ917569 TE917569:TF917569 ADA917569:ADB917569 AMW917569:AMX917569 AWS917569:AWT917569 BGO917569:BGP917569 BQK917569:BQL917569 CAG917569:CAH917569 CKC917569:CKD917569 CTY917569:CTZ917569 DDU917569:DDV917569 DNQ917569:DNR917569 DXM917569:DXN917569 EHI917569:EHJ917569 ERE917569:ERF917569 FBA917569:FBB917569 FKW917569:FKX917569 FUS917569:FUT917569 GEO917569:GEP917569 GOK917569:GOL917569 GYG917569:GYH917569 HIC917569:HID917569 HRY917569:HRZ917569 IBU917569:IBV917569 ILQ917569:ILR917569 IVM917569:IVN917569 JFI917569:JFJ917569 JPE917569:JPF917569 JZA917569:JZB917569 KIW917569:KIX917569 KSS917569:KST917569 LCO917569:LCP917569 LMK917569:LML917569 LWG917569:LWH917569 MGC917569:MGD917569 MPY917569:MPZ917569 MZU917569:MZV917569 NJQ917569:NJR917569 NTM917569:NTN917569 ODI917569:ODJ917569 ONE917569:ONF917569 OXA917569:OXB917569 PGW917569:PGX917569 PQS917569:PQT917569 QAO917569:QAP917569 QKK917569:QKL917569 QUG917569:QUH917569 REC917569:RED917569 RNY917569:RNZ917569 RXU917569:RXV917569 SHQ917569:SHR917569 SRM917569:SRN917569 TBI917569:TBJ917569 TLE917569:TLF917569 TVA917569:TVB917569 UEW917569:UEX917569 UOS917569:UOT917569 UYO917569:UYP917569 VIK917569:VIL917569 VSG917569:VSH917569 WCC917569:WCD917569 WLY917569:WLZ917569 WVU917569:WVV917569 M983105:N983105 JI983105:JJ983105 TE983105:TF983105 ADA983105:ADB983105 AMW983105:AMX983105 AWS983105:AWT983105 BGO983105:BGP983105 BQK983105:BQL983105 CAG983105:CAH983105 CKC983105:CKD983105 CTY983105:CTZ983105 DDU983105:DDV983105 DNQ983105:DNR983105 DXM983105:DXN983105 EHI983105:EHJ983105 ERE983105:ERF983105 FBA983105:FBB983105 FKW983105:FKX983105 FUS983105:FUT983105 GEO983105:GEP983105 GOK983105:GOL983105 GYG983105:GYH983105 HIC983105:HID983105 HRY983105:HRZ983105 IBU983105:IBV983105 ILQ983105:ILR983105 IVM983105:IVN983105 JFI983105:JFJ983105 JPE983105:JPF983105 JZA983105:JZB983105 KIW983105:KIX983105 KSS983105:KST983105 LCO983105:LCP983105 LMK983105:LML983105 LWG983105:LWH983105 MGC983105:MGD983105 MPY983105:MPZ983105 MZU983105:MZV983105 NJQ983105:NJR983105 NTM983105:NTN983105 ODI983105:ODJ983105 ONE983105:ONF983105 OXA983105:OXB983105 PGW983105:PGX983105 PQS983105:PQT983105 QAO983105:QAP983105 QKK983105:QKL983105 QUG983105:QUH983105 REC983105:RED983105 RNY983105:RNZ983105 RXU983105:RXV983105 SHQ983105:SHR983105 SRM983105:SRN983105 TBI983105:TBJ983105 TLE983105:TLF983105 TVA983105:TVB983105 UEW983105:UEX983105 UOS983105:UOT983105 UYO983105:UYP983105 VIK983105:VIL983105 VSG983105:VSH983105 WCC983105:WCD983105 WLY983105:WLZ983105 WVU983105:WVV983105 M197:N197 JI197:JJ197 TE197:TF197 ADA197:ADB197 AMW197:AMX197 AWS197:AWT197 BGO197:BGP197 BQK197:BQL197 CAG197:CAH197 CKC197:CKD197 CTY197:CTZ197 DDU197:DDV197 DNQ197:DNR197 DXM197:DXN197 EHI197:EHJ197 ERE197:ERF197 FBA197:FBB197 FKW197:FKX197 FUS197:FUT197 GEO197:GEP197 GOK197:GOL197 GYG197:GYH197 HIC197:HID197 HRY197:HRZ197 IBU197:IBV197 ILQ197:ILR197 IVM197:IVN197 JFI197:JFJ197 JPE197:JPF197 JZA197:JZB197 KIW197:KIX197 KSS197:KST197 LCO197:LCP197 LMK197:LML197 LWG197:LWH197 MGC197:MGD197 MPY197:MPZ197 MZU197:MZV197 NJQ197:NJR197 NTM197:NTN197 ODI197:ODJ197 ONE197:ONF197 OXA197:OXB197 PGW197:PGX197 PQS197:PQT197 QAO197:QAP197 QKK197:QKL197 QUG197:QUH197 REC197:RED197 RNY197:RNZ197 RXU197:RXV197 SHQ197:SHR197 SRM197:SRN197 TBI197:TBJ197 TLE197:TLF197 TVA197:TVB197 UEW197:UEX197 UOS197:UOT197 UYO197:UYP197 VIK197:VIL197 VSG197:VSH197 WCC197:WCD197 WLY197:WLZ197 WVU197:WVV197 M65735:N65735 JI65735:JJ65735 TE65735:TF65735 ADA65735:ADB65735 AMW65735:AMX65735 AWS65735:AWT65735 BGO65735:BGP65735 BQK65735:BQL65735 CAG65735:CAH65735 CKC65735:CKD65735 CTY65735:CTZ65735 DDU65735:DDV65735 DNQ65735:DNR65735 DXM65735:DXN65735 EHI65735:EHJ65735 ERE65735:ERF65735 FBA65735:FBB65735 FKW65735:FKX65735 FUS65735:FUT65735 GEO65735:GEP65735 GOK65735:GOL65735 GYG65735:GYH65735 HIC65735:HID65735 HRY65735:HRZ65735 IBU65735:IBV65735 ILQ65735:ILR65735 IVM65735:IVN65735 JFI65735:JFJ65735 JPE65735:JPF65735 JZA65735:JZB65735 KIW65735:KIX65735 KSS65735:KST65735 LCO65735:LCP65735 LMK65735:LML65735 LWG65735:LWH65735 MGC65735:MGD65735 MPY65735:MPZ65735 MZU65735:MZV65735 NJQ65735:NJR65735 NTM65735:NTN65735 ODI65735:ODJ65735 ONE65735:ONF65735 OXA65735:OXB65735 PGW65735:PGX65735 PQS65735:PQT65735 QAO65735:QAP65735 QKK65735:QKL65735 QUG65735:QUH65735 REC65735:RED65735 RNY65735:RNZ65735 RXU65735:RXV65735 SHQ65735:SHR65735 SRM65735:SRN65735 TBI65735:TBJ65735 TLE65735:TLF65735 TVA65735:TVB65735 UEW65735:UEX65735 UOS65735:UOT65735 UYO65735:UYP65735 VIK65735:VIL65735 VSG65735:VSH65735 WCC65735:WCD65735 WLY65735:WLZ65735 WVU65735:WVV65735 M131271:N131271 JI131271:JJ131271 TE131271:TF131271 ADA131271:ADB131271 AMW131271:AMX131271 AWS131271:AWT131271 BGO131271:BGP131271 BQK131271:BQL131271 CAG131271:CAH131271 CKC131271:CKD131271 CTY131271:CTZ131271 DDU131271:DDV131271 DNQ131271:DNR131271 DXM131271:DXN131271 EHI131271:EHJ131271 ERE131271:ERF131271 FBA131271:FBB131271 FKW131271:FKX131271 FUS131271:FUT131271 GEO131271:GEP131271 GOK131271:GOL131271 GYG131271:GYH131271 HIC131271:HID131271 HRY131271:HRZ131271 IBU131271:IBV131271 ILQ131271:ILR131271 IVM131271:IVN131271 JFI131271:JFJ131271 JPE131271:JPF131271 JZA131271:JZB131271 KIW131271:KIX131271 KSS131271:KST131271 LCO131271:LCP131271 LMK131271:LML131271 LWG131271:LWH131271 MGC131271:MGD131271 MPY131271:MPZ131271 MZU131271:MZV131271 NJQ131271:NJR131271 NTM131271:NTN131271 ODI131271:ODJ131271 ONE131271:ONF131271 OXA131271:OXB131271 PGW131271:PGX131271 PQS131271:PQT131271 QAO131271:QAP131271 QKK131271:QKL131271 QUG131271:QUH131271 REC131271:RED131271 RNY131271:RNZ131271 RXU131271:RXV131271 SHQ131271:SHR131271 SRM131271:SRN131271 TBI131271:TBJ131271 TLE131271:TLF131271 TVA131271:TVB131271 UEW131271:UEX131271 UOS131271:UOT131271 UYO131271:UYP131271 VIK131271:VIL131271 VSG131271:VSH131271 WCC131271:WCD131271 WLY131271:WLZ131271 WVU131271:WVV131271 M196807:N196807 JI196807:JJ196807 TE196807:TF196807 ADA196807:ADB196807 AMW196807:AMX196807 AWS196807:AWT196807 BGO196807:BGP196807 BQK196807:BQL196807 CAG196807:CAH196807 CKC196807:CKD196807 CTY196807:CTZ196807 DDU196807:DDV196807 DNQ196807:DNR196807 DXM196807:DXN196807 EHI196807:EHJ196807 ERE196807:ERF196807 FBA196807:FBB196807 FKW196807:FKX196807 FUS196807:FUT196807 GEO196807:GEP196807 GOK196807:GOL196807 GYG196807:GYH196807 HIC196807:HID196807 HRY196807:HRZ196807 IBU196807:IBV196807 ILQ196807:ILR196807 IVM196807:IVN196807 JFI196807:JFJ196807 JPE196807:JPF196807 JZA196807:JZB196807 KIW196807:KIX196807 KSS196807:KST196807 LCO196807:LCP196807 LMK196807:LML196807 LWG196807:LWH196807 MGC196807:MGD196807 MPY196807:MPZ196807 MZU196807:MZV196807 NJQ196807:NJR196807 NTM196807:NTN196807 ODI196807:ODJ196807 ONE196807:ONF196807 OXA196807:OXB196807 PGW196807:PGX196807 PQS196807:PQT196807 QAO196807:QAP196807 QKK196807:QKL196807 QUG196807:QUH196807 REC196807:RED196807 RNY196807:RNZ196807 RXU196807:RXV196807 SHQ196807:SHR196807 SRM196807:SRN196807 TBI196807:TBJ196807 TLE196807:TLF196807 TVA196807:TVB196807 UEW196807:UEX196807 UOS196807:UOT196807 UYO196807:UYP196807 VIK196807:VIL196807 VSG196807:VSH196807 WCC196807:WCD196807 WLY196807:WLZ196807 WVU196807:WVV196807 M262343:N262343 JI262343:JJ262343 TE262343:TF262343 ADA262343:ADB262343 AMW262343:AMX262343 AWS262343:AWT262343 BGO262343:BGP262343 BQK262343:BQL262343 CAG262343:CAH262343 CKC262343:CKD262343 CTY262343:CTZ262343 DDU262343:DDV262343 DNQ262343:DNR262343 DXM262343:DXN262343 EHI262343:EHJ262343 ERE262343:ERF262343 FBA262343:FBB262343 FKW262343:FKX262343 FUS262343:FUT262343 GEO262343:GEP262343 GOK262343:GOL262343 GYG262343:GYH262343 HIC262343:HID262343 HRY262343:HRZ262343 IBU262343:IBV262343 ILQ262343:ILR262343 IVM262343:IVN262343 JFI262343:JFJ262343 JPE262343:JPF262343 JZA262343:JZB262343 KIW262343:KIX262343 KSS262343:KST262343 LCO262343:LCP262343 LMK262343:LML262343 LWG262343:LWH262343 MGC262343:MGD262343 MPY262343:MPZ262343 MZU262343:MZV262343 NJQ262343:NJR262343 NTM262343:NTN262343 ODI262343:ODJ262343 ONE262343:ONF262343 OXA262343:OXB262343 PGW262343:PGX262343 PQS262343:PQT262343 QAO262343:QAP262343 QKK262343:QKL262343 QUG262343:QUH262343 REC262343:RED262343 RNY262343:RNZ262343 RXU262343:RXV262343 SHQ262343:SHR262343 SRM262343:SRN262343 TBI262343:TBJ262343 TLE262343:TLF262343 TVA262343:TVB262343 UEW262343:UEX262343 UOS262343:UOT262343 UYO262343:UYP262343 VIK262343:VIL262343 VSG262343:VSH262343 WCC262343:WCD262343 WLY262343:WLZ262343 WVU262343:WVV262343 M327879:N327879 JI327879:JJ327879 TE327879:TF327879 ADA327879:ADB327879 AMW327879:AMX327879 AWS327879:AWT327879 BGO327879:BGP327879 BQK327879:BQL327879 CAG327879:CAH327879 CKC327879:CKD327879 CTY327879:CTZ327879 DDU327879:DDV327879 DNQ327879:DNR327879 DXM327879:DXN327879 EHI327879:EHJ327879 ERE327879:ERF327879 FBA327879:FBB327879 FKW327879:FKX327879 FUS327879:FUT327879 GEO327879:GEP327879 GOK327879:GOL327879 GYG327879:GYH327879 HIC327879:HID327879 HRY327879:HRZ327879 IBU327879:IBV327879 ILQ327879:ILR327879 IVM327879:IVN327879 JFI327879:JFJ327879 JPE327879:JPF327879 JZA327879:JZB327879 KIW327879:KIX327879 KSS327879:KST327879 LCO327879:LCP327879 LMK327879:LML327879 LWG327879:LWH327879 MGC327879:MGD327879 MPY327879:MPZ327879 MZU327879:MZV327879 NJQ327879:NJR327879 NTM327879:NTN327879 ODI327879:ODJ327879 ONE327879:ONF327879 OXA327879:OXB327879 PGW327879:PGX327879 PQS327879:PQT327879 QAO327879:QAP327879 QKK327879:QKL327879 QUG327879:QUH327879 REC327879:RED327879 RNY327879:RNZ327879 RXU327879:RXV327879 SHQ327879:SHR327879 SRM327879:SRN327879 TBI327879:TBJ327879 TLE327879:TLF327879 TVA327879:TVB327879 UEW327879:UEX327879 UOS327879:UOT327879 UYO327879:UYP327879 VIK327879:VIL327879 VSG327879:VSH327879 WCC327879:WCD327879 WLY327879:WLZ327879 WVU327879:WVV327879 M393415:N393415 JI393415:JJ393415 TE393415:TF393415 ADA393415:ADB393415 AMW393415:AMX393415 AWS393415:AWT393415 BGO393415:BGP393415 BQK393415:BQL393415 CAG393415:CAH393415 CKC393415:CKD393415 CTY393415:CTZ393415 DDU393415:DDV393415 DNQ393415:DNR393415 DXM393415:DXN393415 EHI393415:EHJ393415 ERE393415:ERF393415 FBA393415:FBB393415 FKW393415:FKX393415 FUS393415:FUT393415 GEO393415:GEP393415 GOK393415:GOL393415 GYG393415:GYH393415 HIC393415:HID393415 HRY393415:HRZ393415 IBU393415:IBV393415 ILQ393415:ILR393415 IVM393415:IVN393415 JFI393415:JFJ393415 JPE393415:JPF393415 JZA393415:JZB393415 KIW393415:KIX393415 KSS393415:KST393415 LCO393415:LCP393415 LMK393415:LML393415 LWG393415:LWH393415 MGC393415:MGD393415 MPY393415:MPZ393415 MZU393415:MZV393415 NJQ393415:NJR393415 NTM393415:NTN393415 ODI393415:ODJ393415 ONE393415:ONF393415 OXA393415:OXB393415 PGW393415:PGX393415 PQS393415:PQT393415 QAO393415:QAP393415 QKK393415:QKL393415 QUG393415:QUH393415 REC393415:RED393415 RNY393415:RNZ393415 RXU393415:RXV393415 SHQ393415:SHR393415 SRM393415:SRN393415 TBI393415:TBJ393415 TLE393415:TLF393415 TVA393415:TVB393415 UEW393415:UEX393415 UOS393415:UOT393415 UYO393415:UYP393415 VIK393415:VIL393415 VSG393415:VSH393415 WCC393415:WCD393415 WLY393415:WLZ393415 WVU393415:WVV393415 M458951:N458951 JI458951:JJ458951 TE458951:TF458951 ADA458951:ADB458951 AMW458951:AMX458951 AWS458951:AWT458951 BGO458951:BGP458951 BQK458951:BQL458951 CAG458951:CAH458951 CKC458951:CKD458951 CTY458951:CTZ458951 DDU458951:DDV458951 DNQ458951:DNR458951 DXM458951:DXN458951 EHI458951:EHJ458951 ERE458951:ERF458951 FBA458951:FBB458951 FKW458951:FKX458951 FUS458951:FUT458951 GEO458951:GEP458951 GOK458951:GOL458951 GYG458951:GYH458951 HIC458951:HID458951 HRY458951:HRZ458951 IBU458951:IBV458951 ILQ458951:ILR458951 IVM458951:IVN458951 JFI458951:JFJ458951 JPE458951:JPF458951 JZA458951:JZB458951 KIW458951:KIX458951 KSS458951:KST458951 LCO458951:LCP458951 LMK458951:LML458951 LWG458951:LWH458951 MGC458951:MGD458951 MPY458951:MPZ458951 MZU458951:MZV458951 NJQ458951:NJR458951 NTM458951:NTN458951 ODI458951:ODJ458951 ONE458951:ONF458951 OXA458951:OXB458951 PGW458951:PGX458951 PQS458951:PQT458951 QAO458951:QAP458951 QKK458951:QKL458951 QUG458951:QUH458951 REC458951:RED458951 RNY458951:RNZ458951 RXU458951:RXV458951 SHQ458951:SHR458951 SRM458951:SRN458951 TBI458951:TBJ458951 TLE458951:TLF458951 TVA458951:TVB458951 UEW458951:UEX458951 UOS458951:UOT458951 UYO458951:UYP458951 VIK458951:VIL458951 VSG458951:VSH458951 WCC458951:WCD458951 WLY458951:WLZ458951 WVU458951:WVV458951 M524487:N524487 JI524487:JJ524487 TE524487:TF524487 ADA524487:ADB524487 AMW524487:AMX524487 AWS524487:AWT524487 BGO524487:BGP524487 BQK524487:BQL524487 CAG524487:CAH524487 CKC524487:CKD524487 CTY524487:CTZ524487 DDU524487:DDV524487 DNQ524487:DNR524487 DXM524487:DXN524487 EHI524487:EHJ524487 ERE524487:ERF524487 FBA524487:FBB524487 FKW524487:FKX524487 FUS524487:FUT524487 GEO524487:GEP524487 GOK524487:GOL524487 GYG524487:GYH524487 HIC524487:HID524487 HRY524487:HRZ524487 IBU524487:IBV524487 ILQ524487:ILR524487 IVM524487:IVN524487 JFI524487:JFJ524487 JPE524487:JPF524487 JZA524487:JZB524487 KIW524487:KIX524487 KSS524487:KST524487 LCO524487:LCP524487 LMK524487:LML524487 LWG524487:LWH524487 MGC524487:MGD524487 MPY524487:MPZ524487 MZU524487:MZV524487 NJQ524487:NJR524487 NTM524487:NTN524487 ODI524487:ODJ524487 ONE524487:ONF524487 OXA524487:OXB524487 PGW524487:PGX524487 PQS524487:PQT524487 QAO524487:QAP524487 QKK524487:QKL524487 QUG524487:QUH524487 REC524487:RED524487 RNY524487:RNZ524487 RXU524487:RXV524487 SHQ524487:SHR524487 SRM524487:SRN524487 TBI524487:TBJ524487 TLE524487:TLF524487 TVA524487:TVB524487 UEW524487:UEX524487 UOS524487:UOT524487 UYO524487:UYP524487 VIK524487:VIL524487 VSG524487:VSH524487 WCC524487:WCD524487 WLY524487:WLZ524487 WVU524487:WVV524487 M590023:N590023 JI590023:JJ590023 TE590023:TF590023 ADA590023:ADB590023 AMW590023:AMX590023 AWS590023:AWT590023 BGO590023:BGP590023 BQK590023:BQL590023 CAG590023:CAH590023 CKC590023:CKD590023 CTY590023:CTZ590023 DDU590023:DDV590023 DNQ590023:DNR590023 DXM590023:DXN590023 EHI590023:EHJ590023 ERE590023:ERF590023 FBA590023:FBB590023 FKW590023:FKX590023 FUS590023:FUT590023 GEO590023:GEP590023 GOK590023:GOL590023 GYG590023:GYH590023 HIC590023:HID590023 HRY590023:HRZ590023 IBU590023:IBV590023 ILQ590023:ILR590023 IVM590023:IVN590023 JFI590023:JFJ590023 JPE590023:JPF590023 JZA590023:JZB590023 KIW590023:KIX590023 KSS590023:KST590023 LCO590023:LCP590023 LMK590023:LML590023 LWG590023:LWH590023 MGC590023:MGD590023 MPY590023:MPZ590023 MZU590023:MZV590023 NJQ590023:NJR590023 NTM590023:NTN590023 ODI590023:ODJ590023 ONE590023:ONF590023 OXA590023:OXB590023 PGW590023:PGX590023 PQS590023:PQT590023 QAO590023:QAP590023 QKK590023:QKL590023 QUG590023:QUH590023 REC590023:RED590023 RNY590023:RNZ590023 RXU590023:RXV590023 SHQ590023:SHR590023 SRM590023:SRN590023 TBI590023:TBJ590023 TLE590023:TLF590023 TVA590023:TVB590023 UEW590023:UEX590023 UOS590023:UOT590023 UYO590023:UYP590023 VIK590023:VIL590023 VSG590023:VSH590023 WCC590023:WCD590023 WLY590023:WLZ590023 WVU590023:WVV590023 M655559:N655559 JI655559:JJ655559 TE655559:TF655559 ADA655559:ADB655559 AMW655559:AMX655559 AWS655559:AWT655559 BGO655559:BGP655559 BQK655559:BQL655559 CAG655559:CAH655559 CKC655559:CKD655559 CTY655559:CTZ655559 DDU655559:DDV655559 DNQ655559:DNR655559 DXM655559:DXN655559 EHI655559:EHJ655559 ERE655559:ERF655559 FBA655559:FBB655559 FKW655559:FKX655559 FUS655559:FUT655559 GEO655559:GEP655559 GOK655559:GOL655559 GYG655559:GYH655559 HIC655559:HID655559 HRY655559:HRZ655559 IBU655559:IBV655559 ILQ655559:ILR655559 IVM655559:IVN655559 JFI655559:JFJ655559 JPE655559:JPF655559 JZA655559:JZB655559 KIW655559:KIX655559 KSS655559:KST655559 LCO655559:LCP655559 LMK655559:LML655559 LWG655559:LWH655559 MGC655559:MGD655559 MPY655559:MPZ655559 MZU655559:MZV655559 NJQ655559:NJR655559 NTM655559:NTN655559 ODI655559:ODJ655559 ONE655559:ONF655559 OXA655559:OXB655559 PGW655559:PGX655559 PQS655559:PQT655559 QAO655559:QAP655559 QKK655559:QKL655559 QUG655559:QUH655559 REC655559:RED655559 RNY655559:RNZ655559 RXU655559:RXV655559 SHQ655559:SHR655559 SRM655559:SRN655559 TBI655559:TBJ655559 TLE655559:TLF655559 TVA655559:TVB655559 UEW655559:UEX655559 UOS655559:UOT655559 UYO655559:UYP655559 VIK655559:VIL655559 VSG655559:VSH655559 WCC655559:WCD655559 WLY655559:WLZ655559 WVU655559:WVV655559 M721095:N721095 JI721095:JJ721095 TE721095:TF721095 ADA721095:ADB721095 AMW721095:AMX721095 AWS721095:AWT721095 BGO721095:BGP721095 BQK721095:BQL721095 CAG721095:CAH721095 CKC721095:CKD721095 CTY721095:CTZ721095 DDU721095:DDV721095 DNQ721095:DNR721095 DXM721095:DXN721095 EHI721095:EHJ721095 ERE721095:ERF721095 FBA721095:FBB721095 FKW721095:FKX721095 FUS721095:FUT721095 GEO721095:GEP721095 GOK721095:GOL721095 GYG721095:GYH721095 HIC721095:HID721095 HRY721095:HRZ721095 IBU721095:IBV721095 ILQ721095:ILR721095 IVM721095:IVN721095 JFI721095:JFJ721095 JPE721095:JPF721095 JZA721095:JZB721095 KIW721095:KIX721095 KSS721095:KST721095 LCO721095:LCP721095 LMK721095:LML721095 LWG721095:LWH721095 MGC721095:MGD721095 MPY721095:MPZ721095 MZU721095:MZV721095 NJQ721095:NJR721095 NTM721095:NTN721095 ODI721095:ODJ721095 ONE721095:ONF721095 OXA721095:OXB721095 PGW721095:PGX721095 PQS721095:PQT721095 QAO721095:QAP721095 QKK721095:QKL721095 QUG721095:QUH721095 REC721095:RED721095 RNY721095:RNZ721095 RXU721095:RXV721095 SHQ721095:SHR721095 SRM721095:SRN721095 TBI721095:TBJ721095 TLE721095:TLF721095 TVA721095:TVB721095 UEW721095:UEX721095 UOS721095:UOT721095 UYO721095:UYP721095 VIK721095:VIL721095 VSG721095:VSH721095 WCC721095:WCD721095 WLY721095:WLZ721095 WVU721095:WVV721095 M786631:N786631 JI786631:JJ786631 TE786631:TF786631 ADA786631:ADB786631 AMW786631:AMX786631 AWS786631:AWT786631 BGO786631:BGP786631 BQK786631:BQL786631 CAG786631:CAH786631 CKC786631:CKD786631 CTY786631:CTZ786631 DDU786631:DDV786631 DNQ786631:DNR786631 DXM786631:DXN786631 EHI786631:EHJ786631 ERE786631:ERF786631 FBA786631:FBB786631 FKW786631:FKX786631 FUS786631:FUT786631 GEO786631:GEP786631 GOK786631:GOL786631 GYG786631:GYH786631 HIC786631:HID786631 HRY786631:HRZ786631 IBU786631:IBV786631 ILQ786631:ILR786631 IVM786631:IVN786631 JFI786631:JFJ786631 JPE786631:JPF786631 JZA786631:JZB786631 KIW786631:KIX786631 KSS786631:KST786631 LCO786631:LCP786631 LMK786631:LML786631 LWG786631:LWH786631 MGC786631:MGD786631 MPY786631:MPZ786631 MZU786631:MZV786631 NJQ786631:NJR786631 NTM786631:NTN786631 ODI786631:ODJ786631 ONE786631:ONF786631 OXA786631:OXB786631 PGW786631:PGX786631 PQS786631:PQT786631 QAO786631:QAP786631 QKK786631:QKL786631 QUG786631:QUH786631 REC786631:RED786631 RNY786631:RNZ786631 RXU786631:RXV786631 SHQ786631:SHR786631 SRM786631:SRN786631 TBI786631:TBJ786631 TLE786631:TLF786631 TVA786631:TVB786631 UEW786631:UEX786631 UOS786631:UOT786631 UYO786631:UYP786631 VIK786631:VIL786631 VSG786631:VSH786631 WCC786631:WCD786631 WLY786631:WLZ786631 WVU786631:WVV786631 M852167:N852167 JI852167:JJ852167 TE852167:TF852167 ADA852167:ADB852167 AMW852167:AMX852167 AWS852167:AWT852167 BGO852167:BGP852167 BQK852167:BQL852167 CAG852167:CAH852167 CKC852167:CKD852167 CTY852167:CTZ852167 DDU852167:DDV852167 DNQ852167:DNR852167 DXM852167:DXN852167 EHI852167:EHJ852167 ERE852167:ERF852167 FBA852167:FBB852167 FKW852167:FKX852167 FUS852167:FUT852167 GEO852167:GEP852167 GOK852167:GOL852167 GYG852167:GYH852167 HIC852167:HID852167 HRY852167:HRZ852167 IBU852167:IBV852167 ILQ852167:ILR852167 IVM852167:IVN852167 JFI852167:JFJ852167 JPE852167:JPF852167 JZA852167:JZB852167 KIW852167:KIX852167 KSS852167:KST852167 LCO852167:LCP852167 LMK852167:LML852167 LWG852167:LWH852167 MGC852167:MGD852167 MPY852167:MPZ852167 MZU852167:MZV852167 NJQ852167:NJR852167 NTM852167:NTN852167 ODI852167:ODJ852167 ONE852167:ONF852167 OXA852167:OXB852167 PGW852167:PGX852167 PQS852167:PQT852167 QAO852167:QAP852167 QKK852167:QKL852167 QUG852167:QUH852167 REC852167:RED852167 RNY852167:RNZ852167 RXU852167:RXV852167 SHQ852167:SHR852167 SRM852167:SRN852167 TBI852167:TBJ852167 TLE852167:TLF852167 TVA852167:TVB852167 UEW852167:UEX852167 UOS852167:UOT852167 UYO852167:UYP852167 VIK852167:VIL852167 VSG852167:VSH852167 WCC852167:WCD852167 WLY852167:WLZ852167 WVU852167:WVV852167 M917703:N917703 JI917703:JJ917703 TE917703:TF917703 ADA917703:ADB917703 AMW917703:AMX917703 AWS917703:AWT917703 BGO917703:BGP917703 BQK917703:BQL917703 CAG917703:CAH917703 CKC917703:CKD917703 CTY917703:CTZ917703 DDU917703:DDV917703 DNQ917703:DNR917703 DXM917703:DXN917703 EHI917703:EHJ917703 ERE917703:ERF917703 FBA917703:FBB917703 FKW917703:FKX917703 FUS917703:FUT917703 GEO917703:GEP917703 GOK917703:GOL917703 GYG917703:GYH917703 HIC917703:HID917703 HRY917703:HRZ917703 IBU917703:IBV917703 ILQ917703:ILR917703 IVM917703:IVN917703 JFI917703:JFJ917703 JPE917703:JPF917703 JZA917703:JZB917703 KIW917703:KIX917703 KSS917703:KST917703 LCO917703:LCP917703 LMK917703:LML917703 LWG917703:LWH917703 MGC917703:MGD917703 MPY917703:MPZ917703 MZU917703:MZV917703 NJQ917703:NJR917703 NTM917703:NTN917703 ODI917703:ODJ917703 ONE917703:ONF917703 OXA917703:OXB917703 PGW917703:PGX917703 PQS917703:PQT917703 QAO917703:QAP917703 QKK917703:QKL917703 QUG917703:QUH917703 REC917703:RED917703 RNY917703:RNZ917703 RXU917703:RXV917703 SHQ917703:SHR917703 SRM917703:SRN917703 TBI917703:TBJ917703 TLE917703:TLF917703 TVA917703:TVB917703 UEW917703:UEX917703 UOS917703:UOT917703 UYO917703:UYP917703 VIK917703:VIL917703 VSG917703:VSH917703 WCC917703:WCD917703 WLY917703:WLZ917703 WVU917703:WVV917703 M983239:N983239 JI983239:JJ983239 TE983239:TF983239 ADA983239:ADB983239 AMW983239:AMX983239 AWS983239:AWT983239 BGO983239:BGP983239 BQK983239:BQL983239 CAG983239:CAH983239 CKC983239:CKD983239 CTY983239:CTZ983239 DDU983239:DDV983239 DNQ983239:DNR983239 DXM983239:DXN983239 EHI983239:EHJ983239 ERE983239:ERF983239 FBA983239:FBB983239 FKW983239:FKX983239 FUS983239:FUT983239 GEO983239:GEP983239 GOK983239:GOL983239 GYG983239:GYH983239 HIC983239:HID983239 HRY983239:HRZ983239 IBU983239:IBV983239 ILQ983239:ILR983239 IVM983239:IVN983239 JFI983239:JFJ983239 JPE983239:JPF983239 JZA983239:JZB983239 KIW983239:KIX983239 KSS983239:KST983239 LCO983239:LCP983239 LMK983239:LML983239 LWG983239:LWH983239 MGC983239:MGD983239 MPY983239:MPZ983239 MZU983239:MZV983239 NJQ983239:NJR983239 NTM983239:NTN983239 ODI983239:ODJ983239 ONE983239:ONF983239 OXA983239:OXB983239 PGW983239:PGX983239 PQS983239:PQT983239 QAO983239:QAP983239 QKK983239:QKL983239 QUG983239:QUH983239 REC983239:RED983239 RNY983239:RNZ983239 RXU983239:RXV983239 SHQ983239:SHR983239 SRM983239:SRN983239 TBI983239:TBJ983239 TLE983239:TLF983239 TVA983239:TVB983239 UEW983239:UEX983239 UOS983239:UOT983239 UYO983239:UYP983239 VIK983239:VIL983239 VSG983239:VSH983239 WCC983239:WCD983239 WLY983239:WLZ983239 WVU983239:WVV983239 M509:N509 JI509:JJ509 TE509:TF509 ADA509:ADB509 AMW509:AMX509 AWS509:AWT509 BGO509:BGP509 BQK509:BQL509 CAG509:CAH509 CKC509:CKD509 CTY509:CTZ509 DDU509:DDV509 DNQ509:DNR509 DXM509:DXN509 EHI509:EHJ509 ERE509:ERF509 FBA509:FBB509 FKW509:FKX509 FUS509:FUT509 GEO509:GEP509 GOK509:GOL509 GYG509:GYH509 HIC509:HID509 HRY509:HRZ509 IBU509:IBV509 ILQ509:ILR509 IVM509:IVN509 JFI509:JFJ509 JPE509:JPF509 JZA509:JZB509 KIW509:KIX509 KSS509:KST509 LCO509:LCP509 LMK509:LML509 LWG509:LWH509 MGC509:MGD509 MPY509:MPZ509 MZU509:MZV509 NJQ509:NJR509 NTM509:NTN509 ODI509:ODJ509 ONE509:ONF509 OXA509:OXB509 PGW509:PGX509 PQS509:PQT509 QAO509:QAP509 QKK509:QKL509 QUG509:QUH509 REC509:RED509 RNY509:RNZ509 RXU509:RXV509 SHQ509:SHR509 SRM509:SRN509 TBI509:TBJ509 TLE509:TLF509 TVA509:TVB509 UEW509:UEX509 UOS509:UOT509 UYO509:UYP509 VIK509:VIL509 VSG509:VSH509 WCC509:WCD509 WLY509:WLZ509 WVU509:WVV509 M66045:N66045 JI66045:JJ66045 TE66045:TF66045 ADA66045:ADB66045 AMW66045:AMX66045 AWS66045:AWT66045 BGO66045:BGP66045 BQK66045:BQL66045 CAG66045:CAH66045 CKC66045:CKD66045 CTY66045:CTZ66045 DDU66045:DDV66045 DNQ66045:DNR66045 DXM66045:DXN66045 EHI66045:EHJ66045 ERE66045:ERF66045 FBA66045:FBB66045 FKW66045:FKX66045 FUS66045:FUT66045 GEO66045:GEP66045 GOK66045:GOL66045 GYG66045:GYH66045 HIC66045:HID66045 HRY66045:HRZ66045 IBU66045:IBV66045 ILQ66045:ILR66045 IVM66045:IVN66045 JFI66045:JFJ66045 JPE66045:JPF66045 JZA66045:JZB66045 KIW66045:KIX66045 KSS66045:KST66045 LCO66045:LCP66045 LMK66045:LML66045 LWG66045:LWH66045 MGC66045:MGD66045 MPY66045:MPZ66045 MZU66045:MZV66045 NJQ66045:NJR66045 NTM66045:NTN66045 ODI66045:ODJ66045 ONE66045:ONF66045 OXA66045:OXB66045 PGW66045:PGX66045 PQS66045:PQT66045 QAO66045:QAP66045 QKK66045:QKL66045 QUG66045:QUH66045 REC66045:RED66045 RNY66045:RNZ66045 RXU66045:RXV66045 SHQ66045:SHR66045 SRM66045:SRN66045 TBI66045:TBJ66045 TLE66045:TLF66045 TVA66045:TVB66045 UEW66045:UEX66045 UOS66045:UOT66045 UYO66045:UYP66045 VIK66045:VIL66045 VSG66045:VSH66045 WCC66045:WCD66045 WLY66045:WLZ66045 WVU66045:WVV66045 M131581:N131581 JI131581:JJ131581 TE131581:TF131581 ADA131581:ADB131581 AMW131581:AMX131581 AWS131581:AWT131581 BGO131581:BGP131581 BQK131581:BQL131581 CAG131581:CAH131581 CKC131581:CKD131581 CTY131581:CTZ131581 DDU131581:DDV131581 DNQ131581:DNR131581 DXM131581:DXN131581 EHI131581:EHJ131581 ERE131581:ERF131581 FBA131581:FBB131581 FKW131581:FKX131581 FUS131581:FUT131581 GEO131581:GEP131581 GOK131581:GOL131581 GYG131581:GYH131581 HIC131581:HID131581 HRY131581:HRZ131581 IBU131581:IBV131581 ILQ131581:ILR131581 IVM131581:IVN131581 JFI131581:JFJ131581 JPE131581:JPF131581 JZA131581:JZB131581 KIW131581:KIX131581 KSS131581:KST131581 LCO131581:LCP131581 LMK131581:LML131581 LWG131581:LWH131581 MGC131581:MGD131581 MPY131581:MPZ131581 MZU131581:MZV131581 NJQ131581:NJR131581 NTM131581:NTN131581 ODI131581:ODJ131581 ONE131581:ONF131581 OXA131581:OXB131581 PGW131581:PGX131581 PQS131581:PQT131581 QAO131581:QAP131581 QKK131581:QKL131581 QUG131581:QUH131581 REC131581:RED131581 RNY131581:RNZ131581 RXU131581:RXV131581 SHQ131581:SHR131581 SRM131581:SRN131581 TBI131581:TBJ131581 TLE131581:TLF131581 TVA131581:TVB131581 UEW131581:UEX131581 UOS131581:UOT131581 UYO131581:UYP131581 VIK131581:VIL131581 VSG131581:VSH131581 WCC131581:WCD131581 WLY131581:WLZ131581 WVU131581:WVV131581 M197117:N197117 JI197117:JJ197117 TE197117:TF197117 ADA197117:ADB197117 AMW197117:AMX197117 AWS197117:AWT197117 BGO197117:BGP197117 BQK197117:BQL197117 CAG197117:CAH197117 CKC197117:CKD197117 CTY197117:CTZ197117 DDU197117:DDV197117 DNQ197117:DNR197117 DXM197117:DXN197117 EHI197117:EHJ197117 ERE197117:ERF197117 FBA197117:FBB197117 FKW197117:FKX197117 FUS197117:FUT197117 GEO197117:GEP197117 GOK197117:GOL197117 GYG197117:GYH197117 HIC197117:HID197117 HRY197117:HRZ197117 IBU197117:IBV197117 ILQ197117:ILR197117 IVM197117:IVN197117 JFI197117:JFJ197117 JPE197117:JPF197117 JZA197117:JZB197117 KIW197117:KIX197117 KSS197117:KST197117 LCO197117:LCP197117 LMK197117:LML197117 LWG197117:LWH197117 MGC197117:MGD197117 MPY197117:MPZ197117 MZU197117:MZV197117 NJQ197117:NJR197117 NTM197117:NTN197117 ODI197117:ODJ197117 ONE197117:ONF197117 OXA197117:OXB197117 PGW197117:PGX197117 PQS197117:PQT197117 QAO197117:QAP197117 QKK197117:QKL197117 QUG197117:QUH197117 REC197117:RED197117 RNY197117:RNZ197117 RXU197117:RXV197117 SHQ197117:SHR197117 SRM197117:SRN197117 TBI197117:TBJ197117 TLE197117:TLF197117 TVA197117:TVB197117 UEW197117:UEX197117 UOS197117:UOT197117 UYO197117:UYP197117 VIK197117:VIL197117 VSG197117:VSH197117 WCC197117:WCD197117 WLY197117:WLZ197117 WVU197117:WVV197117 M262653:N262653 JI262653:JJ262653 TE262653:TF262653 ADA262653:ADB262653 AMW262653:AMX262653 AWS262653:AWT262653 BGO262653:BGP262653 BQK262653:BQL262653 CAG262653:CAH262653 CKC262653:CKD262653 CTY262653:CTZ262653 DDU262653:DDV262653 DNQ262653:DNR262653 DXM262653:DXN262653 EHI262653:EHJ262653 ERE262653:ERF262653 FBA262653:FBB262653 FKW262653:FKX262653 FUS262653:FUT262653 GEO262653:GEP262653 GOK262653:GOL262653 GYG262653:GYH262653 HIC262653:HID262653 HRY262653:HRZ262653 IBU262653:IBV262653 ILQ262653:ILR262653 IVM262653:IVN262653 JFI262653:JFJ262653 JPE262653:JPF262653 JZA262653:JZB262653 KIW262653:KIX262653 KSS262653:KST262653 LCO262653:LCP262653 LMK262653:LML262653 LWG262653:LWH262653 MGC262653:MGD262653 MPY262653:MPZ262653 MZU262653:MZV262653 NJQ262653:NJR262653 NTM262653:NTN262653 ODI262653:ODJ262653 ONE262653:ONF262653 OXA262653:OXB262653 PGW262653:PGX262653 PQS262653:PQT262653 QAO262653:QAP262653 QKK262653:QKL262653 QUG262653:QUH262653 REC262653:RED262653 RNY262653:RNZ262653 RXU262653:RXV262653 SHQ262653:SHR262653 SRM262653:SRN262653 TBI262653:TBJ262653 TLE262653:TLF262653 TVA262653:TVB262653 UEW262653:UEX262653 UOS262653:UOT262653 UYO262653:UYP262653 VIK262653:VIL262653 VSG262653:VSH262653 WCC262653:WCD262653 WLY262653:WLZ262653 WVU262653:WVV262653 M328189:N328189 JI328189:JJ328189 TE328189:TF328189 ADA328189:ADB328189 AMW328189:AMX328189 AWS328189:AWT328189 BGO328189:BGP328189 BQK328189:BQL328189 CAG328189:CAH328189 CKC328189:CKD328189 CTY328189:CTZ328189 DDU328189:DDV328189 DNQ328189:DNR328189 DXM328189:DXN328189 EHI328189:EHJ328189 ERE328189:ERF328189 FBA328189:FBB328189 FKW328189:FKX328189 FUS328189:FUT328189 GEO328189:GEP328189 GOK328189:GOL328189 GYG328189:GYH328189 HIC328189:HID328189 HRY328189:HRZ328189 IBU328189:IBV328189 ILQ328189:ILR328189 IVM328189:IVN328189 JFI328189:JFJ328189 JPE328189:JPF328189 JZA328189:JZB328189 KIW328189:KIX328189 KSS328189:KST328189 LCO328189:LCP328189 LMK328189:LML328189 LWG328189:LWH328189 MGC328189:MGD328189 MPY328189:MPZ328189 MZU328189:MZV328189 NJQ328189:NJR328189 NTM328189:NTN328189 ODI328189:ODJ328189 ONE328189:ONF328189 OXA328189:OXB328189 PGW328189:PGX328189 PQS328189:PQT328189 QAO328189:QAP328189 QKK328189:QKL328189 QUG328189:QUH328189 REC328189:RED328189 RNY328189:RNZ328189 RXU328189:RXV328189 SHQ328189:SHR328189 SRM328189:SRN328189 TBI328189:TBJ328189 TLE328189:TLF328189 TVA328189:TVB328189 UEW328189:UEX328189 UOS328189:UOT328189 UYO328189:UYP328189 VIK328189:VIL328189 VSG328189:VSH328189 WCC328189:WCD328189 WLY328189:WLZ328189 WVU328189:WVV328189 M393725:N393725 JI393725:JJ393725 TE393725:TF393725 ADA393725:ADB393725 AMW393725:AMX393725 AWS393725:AWT393725 BGO393725:BGP393725 BQK393725:BQL393725 CAG393725:CAH393725 CKC393725:CKD393725 CTY393725:CTZ393725 DDU393725:DDV393725 DNQ393725:DNR393725 DXM393725:DXN393725 EHI393725:EHJ393725 ERE393725:ERF393725 FBA393725:FBB393725 FKW393725:FKX393725 FUS393725:FUT393725 GEO393725:GEP393725 GOK393725:GOL393725 GYG393725:GYH393725 HIC393725:HID393725 HRY393725:HRZ393725 IBU393725:IBV393725 ILQ393725:ILR393725 IVM393725:IVN393725 JFI393725:JFJ393725 JPE393725:JPF393725 JZA393725:JZB393725 KIW393725:KIX393725 KSS393725:KST393725 LCO393725:LCP393725 LMK393725:LML393725 LWG393725:LWH393725 MGC393725:MGD393725 MPY393725:MPZ393725 MZU393725:MZV393725 NJQ393725:NJR393725 NTM393725:NTN393725 ODI393725:ODJ393725 ONE393725:ONF393725 OXA393725:OXB393725 PGW393725:PGX393725 PQS393725:PQT393725 QAO393725:QAP393725 QKK393725:QKL393725 QUG393725:QUH393725 REC393725:RED393725 RNY393725:RNZ393725 RXU393725:RXV393725 SHQ393725:SHR393725 SRM393725:SRN393725 TBI393725:TBJ393725 TLE393725:TLF393725 TVA393725:TVB393725 UEW393725:UEX393725 UOS393725:UOT393725 UYO393725:UYP393725 VIK393725:VIL393725 VSG393725:VSH393725 WCC393725:WCD393725 WLY393725:WLZ393725 WVU393725:WVV393725 M459261:N459261 JI459261:JJ459261 TE459261:TF459261 ADA459261:ADB459261 AMW459261:AMX459261 AWS459261:AWT459261 BGO459261:BGP459261 BQK459261:BQL459261 CAG459261:CAH459261 CKC459261:CKD459261 CTY459261:CTZ459261 DDU459261:DDV459261 DNQ459261:DNR459261 DXM459261:DXN459261 EHI459261:EHJ459261 ERE459261:ERF459261 FBA459261:FBB459261 FKW459261:FKX459261 FUS459261:FUT459261 GEO459261:GEP459261 GOK459261:GOL459261 GYG459261:GYH459261 HIC459261:HID459261 HRY459261:HRZ459261 IBU459261:IBV459261 ILQ459261:ILR459261 IVM459261:IVN459261 JFI459261:JFJ459261 JPE459261:JPF459261 JZA459261:JZB459261 KIW459261:KIX459261 KSS459261:KST459261 LCO459261:LCP459261 LMK459261:LML459261 LWG459261:LWH459261 MGC459261:MGD459261 MPY459261:MPZ459261 MZU459261:MZV459261 NJQ459261:NJR459261 NTM459261:NTN459261 ODI459261:ODJ459261 ONE459261:ONF459261 OXA459261:OXB459261 PGW459261:PGX459261 PQS459261:PQT459261 QAO459261:QAP459261 QKK459261:QKL459261 QUG459261:QUH459261 REC459261:RED459261 RNY459261:RNZ459261 RXU459261:RXV459261 SHQ459261:SHR459261 SRM459261:SRN459261 TBI459261:TBJ459261 TLE459261:TLF459261 TVA459261:TVB459261 UEW459261:UEX459261 UOS459261:UOT459261 UYO459261:UYP459261 VIK459261:VIL459261 VSG459261:VSH459261 WCC459261:WCD459261 WLY459261:WLZ459261 WVU459261:WVV459261 M524797:N524797 JI524797:JJ524797 TE524797:TF524797 ADA524797:ADB524797 AMW524797:AMX524797 AWS524797:AWT524797 BGO524797:BGP524797 BQK524797:BQL524797 CAG524797:CAH524797 CKC524797:CKD524797 CTY524797:CTZ524797 DDU524797:DDV524797 DNQ524797:DNR524797 DXM524797:DXN524797 EHI524797:EHJ524797 ERE524797:ERF524797 FBA524797:FBB524797 FKW524797:FKX524797 FUS524797:FUT524797 GEO524797:GEP524797 GOK524797:GOL524797 GYG524797:GYH524797 HIC524797:HID524797 HRY524797:HRZ524797 IBU524797:IBV524797 ILQ524797:ILR524797 IVM524797:IVN524797 JFI524797:JFJ524797 JPE524797:JPF524797 JZA524797:JZB524797 KIW524797:KIX524797 KSS524797:KST524797 LCO524797:LCP524797 LMK524797:LML524797 LWG524797:LWH524797 MGC524797:MGD524797 MPY524797:MPZ524797 MZU524797:MZV524797 NJQ524797:NJR524797 NTM524797:NTN524797 ODI524797:ODJ524797 ONE524797:ONF524797 OXA524797:OXB524797 PGW524797:PGX524797 PQS524797:PQT524797 QAO524797:QAP524797 QKK524797:QKL524797 QUG524797:QUH524797 REC524797:RED524797 RNY524797:RNZ524797 RXU524797:RXV524797 SHQ524797:SHR524797 SRM524797:SRN524797 TBI524797:TBJ524797 TLE524797:TLF524797 TVA524797:TVB524797 UEW524797:UEX524797 UOS524797:UOT524797 UYO524797:UYP524797 VIK524797:VIL524797 VSG524797:VSH524797 WCC524797:WCD524797 WLY524797:WLZ524797 WVU524797:WVV524797 M590333:N590333 JI590333:JJ590333 TE590333:TF590333 ADA590333:ADB590333 AMW590333:AMX590333 AWS590333:AWT590333 BGO590333:BGP590333 BQK590333:BQL590333 CAG590333:CAH590333 CKC590333:CKD590333 CTY590333:CTZ590333 DDU590333:DDV590333 DNQ590333:DNR590333 DXM590333:DXN590333 EHI590333:EHJ590333 ERE590333:ERF590333 FBA590333:FBB590333 FKW590333:FKX590333 FUS590333:FUT590333 GEO590333:GEP590333 GOK590333:GOL590333 GYG590333:GYH590333 HIC590333:HID590333 HRY590333:HRZ590333 IBU590333:IBV590333 ILQ590333:ILR590333 IVM590333:IVN590333 JFI590333:JFJ590333 JPE590333:JPF590333 JZA590333:JZB590333 KIW590333:KIX590333 KSS590333:KST590333 LCO590333:LCP590333 LMK590333:LML590333 LWG590333:LWH590333 MGC590333:MGD590333 MPY590333:MPZ590333 MZU590333:MZV590333 NJQ590333:NJR590333 NTM590333:NTN590333 ODI590333:ODJ590333 ONE590333:ONF590333 OXA590333:OXB590333 PGW590333:PGX590333 PQS590333:PQT590333 QAO590333:QAP590333 QKK590333:QKL590333 QUG590333:QUH590333 REC590333:RED590333 RNY590333:RNZ590333 RXU590333:RXV590333 SHQ590333:SHR590333 SRM590333:SRN590333 TBI590333:TBJ590333 TLE590333:TLF590333 TVA590333:TVB590333 UEW590333:UEX590333 UOS590333:UOT590333 UYO590333:UYP590333 VIK590333:VIL590333 VSG590333:VSH590333 WCC590333:WCD590333 WLY590333:WLZ590333 WVU590333:WVV590333 M655869:N655869 JI655869:JJ655869 TE655869:TF655869 ADA655869:ADB655869 AMW655869:AMX655869 AWS655869:AWT655869 BGO655869:BGP655869 BQK655869:BQL655869 CAG655869:CAH655869 CKC655869:CKD655869 CTY655869:CTZ655869 DDU655869:DDV655869 DNQ655869:DNR655869 DXM655869:DXN655869 EHI655869:EHJ655869 ERE655869:ERF655869 FBA655869:FBB655869 FKW655869:FKX655869 FUS655869:FUT655869 GEO655869:GEP655869 GOK655869:GOL655869 GYG655869:GYH655869 HIC655869:HID655869 HRY655869:HRZ655869 IBU655869:IBV655869 ILQ655869:ILR655869 IVM655869:IVN655869 JFI655869:JFJ655869 JPE655869:JPF655869 JZA655869:JZB655869 KIW655869:KIX655869 KSS655869:KST655869 LCO655869:LCP655869 LMK655869:LML655869 LWG655869:LWH655869 MGC655869:MGD655869 MPY655869:MPZ655869 MZU655869:MZV655869 NJQ655869:NJR655869 NTM655869:NTN655869 ODI655869:ODJ655869 ONE655869:ONF655869 OXA655869:OXB655869 PGW655869:PGX655869 PQS655869:PQT655869 QAO655869:QAP655869 QKK655869:QKL655869 QUG655869:QUH655869 REC655869:RED655869 RNY655869:RNZ655869 RXU655869:RXV655869 SHQ655869:SHR655869 SRM655869:SRN655869 TBI655869:TBJ655869 TLE655869:TLF655869 TVA655869:TVB655869 UEW655869:UEX655869 UOS655869:UOT655869 UYO655869:UYP655869 VIK655869:VIL655869 VSG655869:VSH655869 WCC655869:WCD655869 WLY655869:WLZ655869 WVU655869:WVV655869 M721405:N721405 JI721405:JJ721405 TE721405:TF721405 ADA721405:ADB721405 AMW721405:AMX721405 AWS721405:AWT721405 BGO721405:BGP721405 BQK721405:BQL721405 CAG721405:CAH721405 CKC721405:CKD721405 CTY721405:CTZ721405 DDU721405:DDV721405 DNQ721405:DNR721405 DXM721405:DXN721405 EHI721405:EHJ721405 ERE721405:ERF721405 FBA721405:FBB721405 FKW721405:FKX721405 FUS721405:FUT721405 GEO721405:GEP721405 GOK721405:GOL721405 GYG721405:GYH721405 HIC721405:HID721405 HRY721405:HRZ721405 IBU721405:IBV721405 ILQ721405:ILR721405 IVM721405:IVN721405 JFI721405:JFJ721405 JPE721405:JPF721405 JZA721405:JZB721405 KIW721405:KIX721405 KSS721405:KST721405 LCO721405:LCP721405 LMK721405:LML721405 LWG721405:LWH721405 MGC721405:MGD721405 MPY721405:MPZ721405 MZU721405:MZV721405 NJQ721405:NJR721405 NTM721405:NTN721405 ODI721405:ODJ721405 ONE721405:ONF721405 OXA721405:OXB721405 PGW721405:PGX721405 PQS721405:PQT721405 QAO721405:QAP721405 QKK721405:QKL721405 QUG721405:QUH721405 REC721405:RED721405 RNY721405:RNZ721405 RXU721405:RXV721405 SHQ721405:SHR721405 SRM721405:SRN721405 TBI721405:TBJ721405 TLE721405:TLF721405 TVA721405:TVB721405 UEW721405:UEX721405 UOS721405:UOT721405 UYO721405:UYP721405 VIK721405:VIL721405 VSG721405:VSH721405 WCC721405:WCD721405 WLY721405:WLZ721405 WVU721405:WVV721405 M786941:N786941 JI786941:JJ786941 TE786941:TF786941 ADA786941:ADB786941 AMW786941:AMX786941 AWS786941:AWT786941 BGO786941:BGP786941 BQK786941:BQL786941 CAG786941:CAH786941 CKC786941:CKD786941 CTY786941:CTZ786941 DDU786941:DDV786941 DNQ786941:DNR786941 DXM786941:DXN786941 EHI786941:EHJ786941 ERE786941:ERF786941 FBA786941:FBB786941 FKW786941:FKX786941 FUS786941:FUT786941 GEO786941:GEP786941 GOK786941:GOL786941 GYG786941:GYH786941 HIC786941:HID786941 HRY786941:HRZ786941 IBU786941:IBV786941 ILQ786941:ILR786941 IVM786941:IVN786941 JFI786941:JFJ786941 JPE786941:JPF786941 JZA786941:JZB786941 KIW786941:KIX786941 KSS786941:KST786941 LCO786941:LCP786941 LMK786941:LML786941 LWG786941:LWH786941 MGC786941:MGD786941 MPY786941:MPZ786941 MZU786941:MZV786941 NJQ786941:NJR786941 NTM786941:NTN786941 ODI786941:ODJ786941 ONE786941:ONF786941 OXA786941:OXB786941 PGW786941:PGX786941 PQS786941:PQT786941 QAO786941:QAP786941 QKK786941:QKL786941 QUG786941:QUH786941 REC786941:RED786941 RNY786941:RNZ786941 RXU786941:RXV786941 SHQ786941:SHR786941 SRM786941:SRN786941 TBI786941:TBJ786941 TLE786941:TLF786941 TVA786941:TVB786941 UEW786941:UEX786941 UOS786941:UOT786941 UYO786941:UYP786941 VIK786941:VIL786941 VSG786941:VSH786941 WCC786941:WCD786941 WLY786941:WLZ786941 WVU786941:WVV786941 M852477:N852477 JI852477:JJ852477 TE852477:TF852477 ADA852477:ADB852477 AMW852477:AMX852477 AWS852477:AWT852477 BGO852477:BGP852477 BQK852477:BQL852477 CAG852477:CAH852477 CKC852477:CKD852477 CTY852477:CTZ852477 DDU852477:DDV852477 DNQ852477:DNR852477 DXM852477:DXN852477 EHI852477:EHJ852477 ERE852477:ERF852477 FBA852477:FBB852477 FKW852477:FKX852477 FUS852477:FUT852477 GEO852477:GEP852477 GOK852477:GOL852477 GYG852477:GYH852477 HIC852477:HID852477 HRY852477:HRZ852477 IBU852477:IBV852477 ILQ852477:ILR852477 IVM852477:IVN852477 JFI852477:JFJ852477 JPE852477:JPF852477 JZA852477:JZB852477 KIW852477:KIX852477 KSS852477:KST852477 LCO852477:LCP852477 LMK852477:LML852477 LWG852477:LWH852477 MGC852477:MGD852477 MPY852477:MPZ852477 MZU852477:MZV852477 NJQ852477:NJR852477 NTM852477:NTN852477 ODI852477:ODJ852477 ONE852477:ONF852477 OXA852477:OXB852477 PGW852477:PGX852477 PQS852477:PQT852477 QAO852477:QAP852477 QKK852477:QKL852477 QUG852477:QUH852477 REC852477:RED852477 RNY852477:RNZ852477 RXU852477:RXV852477 SHQ852477:SHR852477 SRM852477:SRN852477 TBI852477:TBJ852477 TLE852477:TLF852477 TVA852477:TVB852477 UEW852477:UEX852477 UOS852477:UOT852477 UYO852477:UYP852477 VIK852477:VIL852477 VSG852477:VSH852477 WCC852477:WCD852477 WLY852477:WLZ852477 WVU852477:WVV852477 M918013:N918013 JI918013:JJ918013 TE918013:TF918013 ADA918013:ADB918013 AMW918013:AMX918013 AWS918013:AWT918013 BGO918013:BGP918013 BQK918013:BQL918013 CAG918013:CAH918013 CKC918013:CKD918013 CTY918013:CTZ918013 DDU918013:DDV918013 DNQ918013:DNR918013 DXM918013:DXN918013 EHI918013:EHJ918013 ERE918013:ERF918013 FBA918013:FBB918013 FKW918013:FKX918013 FUS918013:FUT918013 GEO918013:GEP918013 GOK918013:GOL918013 GYG918013:GYH918013 HIC918013:HID918013 HRY918013:HRZ918013 IBU918013:IBV918013 ILQ918013:ILR918013 IVM918013:IVN918013 JFI918013:JFJ918013 JPE918013:JPF918013 JZA918013:JZB918013 KIW918013:KIX918013 KSS918013:KST918013 LCO918013:LCP918013 LMK918013:LML918013 LWG918013:LWH918013 MGC918013:MGD918013 MPY918013:MPZ918013 MZU918013:MZV918013 NJQ918013:NJR918013 NTM918013:NTN918013 ODI918013:ODJ918013 ONE918013:ONF918013 OXA918013:OXB918013 PGW918013:PGX918013 PQS918013:PQT918013 QAO918013:QAP918013 QKK918013:QKL918013 QUG918013:QUH918013 REC918013:RED918013 RNY918013:RNZ918013 RXU918013:RXV918013 SHQ918013:SHR918013 SRM918013:SRN918013 TBI918013:TBJ918013 TLE918013:TLF918013 TVA918013:TVB918013 UEW918013:UEX918013 UOS918013:UOT918013 UYO918013:UYP918013 VIK918013:VIL918013 VSG918013:VSH918013 WCC918013:WCD918013 WLY918013:WLZ918013 WVU918013:WVV918013 M983549:N983549 JI983549:JJ983549 TE983549:TF983549 ADA983549:ADB983549 AMW983549:AMX983549 AWS983549:AWT983549 BGO983549:BGP983549 BQK983549:BQL983549 CAG983549:CAH983549 CKC983549:CKD983549 CTY983549:CTZ983549 DDU983549:DDV983549 DNQ983549:DNR983549 DXM983549:DXN983549 EHI983549:EHJ983549 ERE983549:ERF983549 FBA983549:FBB983549 FKW983549:FKX983549 FUS983549:FUT983549 GEO983549:GEP983549 GOK983549:GOL983549 GYG983549:GYH983549 HIC983549:HID983549 HRY983549:HRZ983549 IBU983549:IBV983549 ILQ983549:ILR983549 IVM983549:IVN983549 JFI983549:JFJ983549 JPE983549:JPF983549 JZA983549:JZB983549 KIW983549:KIX983549 KSS983549:KST983549 LCO983549:LCP983549 LMK983549:LML983549 LWG983549:LWH983549 MGC983549:MGD983549 MPY983549:MPZ983549 MZU983549:MZV983549 NJQ983549:NJR983549 NTM983549:NTN983549 ODI983549:ODJ983549 ONE983549:ONF983549 OXA983549:OXB983549 PGW983549:PGX983549 PQS983549:PQT983549 QAO983549:QAP983549 QKK983549:QKL983549 QUG983549:QUH983549 REC983549:RED983549 RNY983549:RNZ983549 RXU983549:RXV983549 SHQ983549:SHR983549 SRM983549:SRN983549 TBI983549:TBJ983549 TLE983549:TLF983549 TVA983549:TVB983549 UEW983549:UEX983549 UOS983549:UOT983549 UYO983549:UYP983549 VIK983549:VIL983549 VSG983549:VSH983549 WCC983549:WCD983549 WLY983549:WLZ983549 WVU983549:WVV983549" xr:uid="{995ECD97-0AD6-4612-9CD0-3B89B455E54B}">
      <formula1>"Y,N"</formula1>
    </dataValidation>
    <dataValidation type="list" allowBlank="1" showInputMessage="1" showErrorMessage="1" sqref="D717 IZ717 SV717 ACR717 AMN717 AWJ717 BGF717 BQB717 BZX717 CJT717 CTP717 DDL717 DNH717 DXD717 EGZ717 EQV717 FAR717 FKN717 FUJ717 GEF717 GOB717 GXX717 HHT717 HRP717 IBL717 ILH717 IVD717 JEZ717 JOV717 JYR717 KIN717 KSJ717 LCF717 LMB717 LVX717 MFT717 MPP717 MZL717 NJH717 NTD717 OCZ717 OMV717 OWR717 PGN717 PQJ717 QAF717 QKB717 QTX717 RDT717 RNP717 RXL717 SHH717 SRD717 TAZ717 TKV717 TUR717 UEN717 UOJ717 UYF717 VIB717 VRX717 WBT717 WLP717 WVL717 D66253 IZ66253 SV66253 ACR66253 AMN66253 AWJ66253 BGF66253 BQB66253 BZX66253 CJT66253 CTP66253 DDL66253 DNH66253 DXD66253 EGZ66253 EQV66253 FAR66253 FKN66253 FUJ66253 GEF66253 GOB66253 GXX66253 HHT66253 HRP66253 IBL66253 ILH66253 IVD66253 JEZ66253 JOV66253 JYR66253 KIN66253 KSJ66253 LCF66253 LMB66253 LVX66253 MFT66253 MPP66253 MZL66253 NJH66253 NTD66253 OCZ66253 OMV66253 OWR66253 PGN66253 PQJ66253 QAF66253 QKB66253 QTX66253 RDT66253 RNP66253 RXL66253 SHH66253 SRD66253 TAZ66253 TKV66253 TUR66253 UEN66253 UOJ66253 UYF66253 VIB66253 VRX66253 WBT66253 WLP66253 WVL66253 D131789 IZ131789 SV131789 ACR131789 AMN131789 AWJ131789 BGF131789 BQB131789 BZX131789 CJT131789 CTP131789 DDL131789 DNH131789 DXD131789 EGZ131789 EQV131789 FAR131789 FKN131789 FUJ131789 GEF131789 GOB131789 GXX131789 HHT131789 HRP131789 IBL131789 ILH131789 IVD131789 JEZ131789 JOV131789 JYR131789 KIN131789 KSJ131789 LCF131789 LMB131789 LVX131789 MFT131789 MPP131789 MZL131789 NJH131789 NTD131789 OCZ131789 OMV131789 OWR131789 PGN131789 PQJ131789 QAF131789 QKB131789 QTX131789 RDT131789 RNP131789 RXL131789 SHH131789 SRD131789 TAZ131789 TKV131789 TUR131789 UEN131789 UOJ131789 UYF131789 VIB131789 VRX131789 WBT131789 WLP131789 WVL131789 D197325 IZ197325 SV197325 ACR197325 AMN197325 AWJ197325 BGF197325 BQB197325 BZX197325 CJT197325 CTP197325 DDL197325 DNH197325 DXD197325 EGZ197325 EQV197325 FAR197325 FKN197325 FUJ197325 GEF197325 GOB197325 GXX197325 HHT197325 HRP197325 IBL197325 ILH197325 IVD197325 JEZ197325 JOV197325 JYR197325 KIN197325 KSJ197325 LCF197325 LMB197325 LVX197325 MFT197325 MPP197325 MZL197325 NJH197325 NTD197325 OCZ197325 OMV197325 OWR197325 PGN197325 PQJ197325 QAF197325 QKB197325 QTX197325 RDT197325 RNP197325 RXL197325 SHH197325 SRD197325 TAZ197325 TKV197325 TUR197325 UEN197325 UOJ197325 UYF197325 VIB197325 VRX197325 WBT197325 WLP197325 WVL197325 D262861 IZ262861 SV262861 ACR262861 AMN262861 AWJ262861 BGF262861 BQB262861 BZX262861 CJT262861 CTP262861 DDL262861 DNH262861 DXD262861 EGZ262861 EQV262861 FAR262861 FKN262861 FUJ262861 GEF262861 GOB262861 GXX262861 HHT262861 HRP262861 IBL262861 ILH262861 IVD262861 JEZ262861 JOV262861 JYR262861 KIN262861 KSJ262861 LCF262861 LMB262861 LVX262861 MFT262861 MPP262861 MZL262861 NJH262861 NTD262861 OCZ262861 OMV262861 OWR262861 PGN262861 PQJ262861 QAF262861 QKB262861 QTX262861 RDT262861 RNP262861 RXL262861 SHH262861 SRD262861 TAZ262861 TKV262861 TUR262861 UEN262861 UOJ262861 UYF262861 VIB262861 VRX262861 WBT262861 WLP262861 WVL262861 D328397 IZ328397 SV328397 ACR328397 AMN328397 AWJ328397 BGF328397 BQB328397 BZX328397 CJT328397 CTP328397 DDL328397 DNH328397 DXD328397 EGZ328397 EQV328397 FAR328397 FKN328397 FUJ328397 GEF328397 GOB328397 GXX328397 HHT328397 HRP328397 IBL328397 ILH328397 IVD328397 JEZ328397 JOV328397 JYR328397 KIN328397 KSJ328397 LCF328397 LMB328397 LVX328397 MFT328397 MPP328397 MZL328397 NJH328397 NTD328397 OCZ328397 OMV328397 OWR328397 PGN328397 PQJ328397 QAF328397 QKB328397 QTX328397 RDT328397 RNP328397 RXL328397 SHH328397 SRD328397 TAZ328397 TKV328397 TUR328397 UEN328397 UOJ328397 UYF328397 VIB328397 VRX328397 WBT328397 WLP328397 WVL328397 D393933 IZ393933 SV393933 ACR393933 AMN393933 AWJ393933 BGF393933 BQB393933 BZX393933 CJT393933 CTP393933 DDL393933 DNH393933 DXD393933 EGZ393933 EQV393933 FAR393933 FKN393933 FUJ393933 GEF393933 GOB393933 GXX393933 HHT393933 HRP393933 IBL393933 ILH393933 IVD393933 JEZ393933 JOV393933 JYR393933 KIN393933 KSJ393933 LCF393933 LMB393933 LVX393933 MFT393933 MPP393933 MZL393933 NJH393933 NTD393933 OCZ393933 OMV393933 OWR393933 PGN393933 PQJ393933 QAF393933 QKB393933 QTX393933 RDT393933 RNP393933 RXL393933 SHH393933 SRD393933 TAZ393933 TKV393933 TUR393933 UEN393933 UOJ393933 UYF393933 VIB393933 VRX393933 WBT393933 WLP393933 WVL393933 D459469 IZ459469 SV459469 ACR459469 AMN459469 AWJ459469 BGF459469 BQB459469 BZX459469 CJT459469 CTP459469 DDL459469 DNH459469 DXD459469 EGZ459469 EQV459469 FAR459469 FKN459469 FUJ459469 GEF459469 GOB459469 GXX459469 HHT459469 HRP459469 IBL459469 ILH459469 IVD459469 JEZ459469 JOV459469 JYR459469 KIN459469 KSJ459469 LCF459469 LMB459469 LVX459469 MFT459469 MPP459469 MZL459469 NJH459469 NTD459469 OCZ459469 OMV459469 OWR459469 PGN459469 PQJ459469 QAF459469 QKB459469 QTX459469 RDT459469 RNP459469 RXL459469 SHH459469 SRD459469 TAZ459469 TKV459469 TUR459469 UEN459469 UOJ459469 UYF459469 VIB459469 VRX459469 WBT459469 WLP459469 WVL459469 D525005 IZ525005 SV525005 ACR525005 AMN525005 AWJ525005 BGF525005 BQB525005 BZX525005 CJT525005 CTP525005 DDL525005 DNH525005 DXD525005 EGZ525005 EQV525005 FAR525005 FKN525005 FUJ525005 GEF525005 GOB525005 GXX525005 HHT525005 HRP525005 IBL525005 ILH525005 IVD525005 JEZ525005 JOV525005 JYR525005 KIN525005 KSJ525005 LCF525005 LMB525005 LVX525005 MFT525005 MPP525005 MZL525005 NJH525005 NTD525005 OCZ525005 OMV525005 OWR525005 PGN525005 PQJ525005 QAF525005 QKB525005 QTX525005 RDT525005 RNP525005 RXL525005 SHH525005 SRD525005 TAZ525005 TKV525005 TUR525005 UEN525005 UOJ525005 UYF525005 VIB525005 VRX525005 WBT525005 WLP525005 WVL525005 D590541 IZ590541 SV590541 ACR590541 AMN590541 AWJ590541 BGF590541 BQB590541 BZX590541 CJT590541 CTP590541 DDL590541 DNH590541 DXD590541 EGZ590541 EQV590541 FAR590541 FKN590541 FUJ590541 GEF590541 GOB590541 GXX590541 HHT590541 HRP590541 IBL590541 ILH590541 IVD590541 JEZ590541 JOV590541 JYR590541 KIN590541 KSJ590541 LCF590541 LMB590541 LVX590541 MFT590541 MPP590541 MZL590541 NJH590541 NTD590541 OCZ590541 OMV590541 OWR590541 PGN590541 PQJ590541 QAF590541 QKB590541 QTX590541 RDT590541 RNP590541 RXL590541 SHH590541 SRD590541 TAZ590541 TKV590541 TUR590541 UEN590541 UOJ590541 UYF590541 VIB590541 VRX590541 WBT590541 WLP590541 WVL590541 D656077 IZ656077 SV656077 ACR656077 AMN656077 AWJ656077 BGF656077 BQB656077 BZX656077 CJT656077 CTP656077 DDL656077 DNH656077 DXD656077 EGZ656077 EQV656077 FAR656077 FKN656077 FUJ656077 GEF656077 GOB656077 GXX656077 HHT656077 HRP656077 IBL656077 ILH656077 IVD656077 JEZ656077 JOV656077 JYR656077 KIN656077 KSJ656077 LCF656077 LMB656077 LVX656077 MFT656077 MPP656077 MZL656077 NJH656077 NTD656077 OCZ656077 OMV656077 OWR656077 PGN656077 PQJ656077 QAF656077 QKB656077 QTX656077 RDT656077 RNP656077 RXL656077 SHH656077 SRD656077 TAZ656077 TKV656077 TUR656077 UEN656077 UOJ656077 UYF656077 VIB656077 VRX656077 WBT656077 WLP656077 WVL656077 D721613 IZ721613 SV721613 ACR721613 AMN721613 AWJ721613 BGF721613 BQB721613 BZX721613 CJT721613 CTP721613 DDL721613 DNH721613 DXD721613 EGZ721613 EQV721613 FAR721613 FKN721613 FUJ721613 GEF721613 GOB721613 GXX721613 HHT721613 HRP721613 IBL721613 ILH721613 IVD721613 JEZ721613 JOV721613 JYR721613 KIN721613 KSJ721613 LCF721613 LMB721613 LVX721613 MFT721613 MPP721613 MZL721613 NJH721613 NTD721613 OCZ721613 OMV721613 OWR721613 PGN721613 PQJ721613 QAF721613 QKB721613 QTX721613 RDT721613 RNP721613 RXL721613 SHH721613 SRD721613 TAZ721613 TKV721613 TUR721613 UEN721613 UOJ721613 UYF721613 VIB721613 VRX721613 WBT721613 WLP721613 WVL721613 D787149 IZ787149 SV787149 ACR787149 AMN787149 AWJ787149 BGF787149 BQB787149 BZX787149 CJT787149 CTP787149 DDL787149 DNH787149 DXD787149 EGZ787149 EQV787149 FAR787149 FKN787149 FUJ787149 GEF787149 GOB787149 GXX787149 HHT787149 HRP787149 IBL787149 ILH787149 IVD787149 JEZ787149 JOV787149 JYR787149 KIN787149 KSJ787149 LCF787149 LMB787149 LVX787149 MFT787149 MPP787149 MZL787149 NJH787149 NTD787149 OCZ787149 OMV787149 OWR787149 PGN787149 PQJ787149 QAF787149 QKB787149 QTX787149 RDT787149 RNP787149 RXL787149 SHH787149 SRD787149 TAZ787149 TKV787149 TUR787149 UEN787149 UOJ787149 UYF787149 VIB787149 VRX787149 WBT787149 WLP787149 WVL787149 D852685 IZ852685 SV852685 ACR852685 AMN852685 AWJ852685 BGF852685 BQB852685 BZX852685 CJT852685 CTP852685 DDL852685 DNH852685 DXD852685 EGZ852685 EQV852685 FAR852685 FKN852685 FUJ852685 GEF852685 GOB852685 GXX852685 HHT852685 HRP852685 IBL852685 ILH852685 IVD852685 JEZ852685 JOV852685 JYR852685 KIN852685 KSJ852685 LCF852685 LMB852685 LVX852685 MFT852685 MPP852685 MZL852685 NJH852685 NTD852685 OCZ852685 OMV852685 OWR852685 PGN852685 PQJ852685 QAF852685 QKB852685 QTX852685 RDT852685 RNP852685 RXL852685 SHH852685 SRD852685 TAZ852685 TKV852685 TUR852685 UEN852685 UOJ852685 UYF852685 VIB852685 VRX852685 WBT852685 WLP852685 WVL852685 D918221 IZ918221 SV918221 ACR918221 AMN918221 AWJ918221 BGF918221 BQB918221 BZX918221 CJT918221 CTP918221 DDL918221 DNH918221 DXD918221 EGZ918221 EQV918221 FAR918221 FKN918221 FUJ918221 GEF918221 GOB918221 GXX918221 HHT918221 HRP918221 IBL918221 ILH918221 IVD918221 JEZ918221 JOV918221 JYR918221 KIN918221 KSJ918221 LCF918221 LMB918221 LVX918221 MFT918221 MPP918221 MZL918221 NJH918221 NTD918221 OCZ918221 OMV918221 OWR918221 PGN918221 PQJ918221 QAF918221 QKB918221 QTX918221 RDT918221 RNP918221 RXL918221 SHH918221 SRD918221 TAZ918221 TKV918221 TUR918221 UEN918221 UOJ918221 UYF918221 VIB918221 VRX918221 WBT918221 WLP918221 WVL918221 D983757 IZ983757 SV983757 ACR983757 AMN983757 AWJ983757 BGF983757 BQB983757 BZX983757 CJT983757 CTP983757 DDL983757 DNH983757 DXD983757 EGZ983757 EQV983757 FAR983757 FKN983757 FUJ983757 GEF983757 GOB983757 GXX983757 HHT983757 HRP983757 IBL983757 ILH983757 IVD983757 JEZ983757 JOV983757 JYR983757 KIN983757 KSJ983757 LCF983757 LMB983757 LVX983757 MFT983757 MPP983757 MZL983757 NJH983757 NTD983757 OCZ983757 OMV983757 OWR983757 PGN983757 PQJ983757 QAF983757 QKB983757 QTX983757 RDT983757 RNP983757 RXL983757 SHH983757 SRD983757 TAZ983757 TKV983757 TUR983757 UEN983757 UOJ983757 UYF983757 VIB983757 VRX983757 WBT983757 WLP983757 WVL983757 D585 IZ585 SV585 ACR585 AMN585 AWJ585 BGF585 BQB585 BZX585 CJT585 CTP585 DDL585 DNH585 DXD585 EGZ585 EQV585 FAR585 FKN585 FUJ585 GEF585 GOB585 GXX585 HHT585 HRP585 IBL585 ILH585 IVD585 JEZ585 JOV585 JYR585 KIN585 KSJ585 LCF585 LMB585 LVX585 MFT585 MPP585 MZL585 NJH585 NTD585 OCZ585 OMV585 OWR585 PGN585 PQJ585 QAF585 QKB585 QTX585 RDT585 RNP585 RXL585 SHH585 SRD585 TAZ585 TKV585 TUR585 UEN585 UOJ585 UYF585 VIB585 VRX585 WBT585 WLP585 WVL585 D66121 IZ66121 SV66121 ACR66121 AMN66121 AWJ66121 BGF66121 BQB66121 BZX66121 CJT66121 CTP66121 DDL66121 DNH66121 DXD66121 EGZ66121 EQV66121 FAR66121 FKN66121 FUJ66121 GEF66121 GOB66121 GXX66121 HHT66121 HRP66121 IBL66121 ILH66121 IVD66121 JEZ66121 JOV66121 JYR66121 KIN66121 KSJ66121 LCF66121 LMB66121 LVX66121 MFT66121 MPP66121 MZL66121 NJH66121 NTD66121 OCZ66121 OMV66121 OWR66121 PGN66121 PQJ66121 QAF66121 QKB66121 QTX66121 RDT66121 RNP66121 RXL66121 SHH66121 SRD66121 TAZ66121 TKV66121 TUR66121 UEN66121 UOJ66121 UYF66121 VIB66121 VRX66121 WBT66121 WLP66121 WVL66121 D131657 IZ131657 SV131657 ACR131657 AMN131657 AWJ131657 BGF131657 BQB131657 BZX131657 CJT131657 CTP131657 DDL131657 DNH131657 DXD131657 EGZ131657 EQV131657 FAR131657 FKN131657 FUJ131657 GEF131657 GOB131657 GXX131657 HHT131657 HRP131657 IBL131657 ILH131657 IVD131657 JEZ131657 JOV131657 JYR131657 KIN131657 KSJ131657 LCF131657 LMB131657 LVX131657 MFT131657 MPP131657 MZL131657 NJH131657 NTD131657 OCZ131657 OMV131657 OWR131657 PGN131657 PQJ131657 QAF131657 QKB131657 QTX131657 RDT131657 RNP131657 RXL131657 SHH131657 SRD131657 TAZ131657 TKV131657 TUR131657 UEN131657 UOJ131657 UYF131657 VIB131657 VRX131657 WBT131657 WLP131657 WVL131657 D197193 IZ197193 SV197193 ACR197193 AMN197193 AWJ197193 BGF197193 BQB197193 BZX197193 CJT197193 CTP197193 DDL197193 DNH197193 DXD197193 EGZ197193 EQV197193 FAR197193 FKN197193 FUJ197193 GEF197193 GOB197193 GXX197193 HHT197193 HRP197193 IBL197193 ILH197193 IVD197193 JEZ197193 JOV197193 JYR197193 KIN197193 KSJ197193 LCF197193 LMB197193 LVX197193 MFT197193 MPP197193 MZL197193 NJH197193 NTD197193 OCZ197193 OMV197193 OWR197193 PGN197193 PQJ197193 QAF197193 QKB197193 QTX197193 RDT197193 RNP197193 RXL197193 SHH197193 SRD197193 TAZ197193 TKV197193 TUR197193 UEN197193 UOJ197193 UYF197193 VIB197193 VRX197193 WBT197193 WLP197193 WVL197193 D262729 IZ262729 SV262729 ACR262729 AMN262729 AWJ262729 BGF262729 BQB262729 BZX262729 CJT262729 CTP262729 DDL262729 DNH262729 DXD262729 EGZ262729 EQV262729 FAR262729 FKN262729 FUJ262729 GEF262729 GOB262729 GXX262729 HHT262729 HRP262729 IBL262729 ILH262729 IVD262729 JEZ262729 JOV262729 JYR262729 KIN262729 KSJ262729 LCF262729 LMB262729 LVX262729 MFT262729 MPP262729 MZL262729 NJH262729 NTD262729 OCZ262729 OMV262729 OWR262729 PGN262729 PQJ262729 QAF262729 QKB262729 QTX262729 RDT262729 RNP262729 RXL262729 SHH262729 SRD262729 TAZ262729 TKV262729 TUR262729 UEN262729 UOJ262729 UYF262729 VIB262729 VRX262729 WBT262729 WLP262729 WVL262729 D328265 IZ328265 SV328265 ACR328265 AMN328265 AWJ328265 BGF328265 BQB328265 BZX328265 CJT328265 CTP328265 DDL328265 DNH328265 DXD328265 EGZ328265 EQV328265 FAR328265 FKN328265 FUJ328265 GEF328265 GOB328265 GXX328265 HHT328265 HRP328265 IBL328265 ILH328265 IVD328265 JEZ328265 JOV328265 JYR328265 KIN328265 KSJ328265 LCF328265 LMB328265 LVX328265 MFT328265 MPP328265 MZL328265 NJH328265 NTD328265 OCZ328265 OMV328265 OWR328265 PGN328265 PQJ328265 QAF328265 QKB328265 QTX328265 RDT328265 RNP328265 RXL328265 SHH328265 SRD328265 TAZ328265 TKV328265 TUR328265 UEN328265 UOJ328265 UYF328265 VIB328265 VRX328265 WBT328265 WLP328265 WVL328265 D393801 IZ393801 SV393801 ACR393801 AMN393801 AWJ393801 BGF393801 BQB393801 BZX393801 CJT393801 CTP393801 DDL393801 DNH393801 DXD393801 EGZ393801 EQV393801 FAR393801 FKN393801 FUJ393801 GEF393801 GOB393801 GXX393801 HHT393801 HRP393801 IBL393801 ILH393801 IVD393801 JEZ393801 JOV393801 JYR393801 KIN393801 KSJ393801 LCF393801 LMB393801 LVX393801 MFT393801 MPP393801 MZL393801 NJH393801 NTD393801 OCZ393801 OMV393801 OWR393801 PGN393801 PQJ393801 QAF393801 QKB393801 QTX393801 RDT393801 RNP393801 RXL393801 SHH393801 SRD393801 TAZ393801 TKV393801 TUR393801 UEN393801 UOJ393801 UYF393801 VIB393801 VRX393801 WBT393801 WLP393801 WVL393801 D459337 IZ459337 SV459337 ACR459337 AMN459337 AWJ459337 BGF459337 BQB459337 BZX459337 CJT459337 CTP459337 DDL459337 DNH459337 DXD459337 EGZ459337 EQV459337 FAR459337 FKN459337 FUJ459337 GEF459337 GOB459337 GXX459337 HHT459337 HRP459337 IBL459337 ILH459337 IVD459337 JEZ459337 JOV459337 JYR459337 KIN459337 KSJ459337 LCF459337 LMB459337 LVX459337 MFT459337 MPP459337 MZL459337 NJH459337 NTD459337 OCZ459337 OMV459337 OWR459337 PGN459337 PQJ459337 QAF459337 QKB459337 QTX459337 RDT459337 RNP459337 RXL459337 SHH459337 SRD459337 TAZ459337 TKV459337 TUR459337 UEN459337 UOJ459337 UYF459337 VIB459337 VRX459337 WBT459337 WLP459337 WVL459337 D524873 IZ524873 SV524873 ACR524873 AMN524873 AWJ524873 BGF524873 BQB524873 BZX524873 CJT524873 CTP524873 DDL524873 DNH524873 DXD524873 EGZ524873 EQV524873 FAR524873 FKN524873 FUJ524873 GEF524873 GOB524873 GXX524873 HHT524873 HRP524873 IBL524873 ILH524873 IVD524873 JEZ524873 JOV524873 JYR524873 KIN524873 KSJ524873 LCF524873 LMB524873 LVX524873 MFT524873 MPP524873 MZL524873 NJH524873 NTD524873 OCZ524873 OMV524873 OWR524873 PGN524873 PQJ524873 QAF524873 QKB524873 QTX524873 RDT524873 RNP524873 RXL524873 SHH524873 SRD524873 TAZ524873 TKV524873 TUR524873 UEN524873 UOJ524873 UYF524873 VIB524873 VRX524873 WBT524873 WLP524873 WVL524873 D590409 IZ590409 SV590409 ACR590409 AMN590409 AWJ590409 BGF590409 BQB590409 BZX590409 CJT590409 CTP590409 DDL590409 DNH590409 DXD590409 EGZ590409 EQV590409 FAR590409 FKN590409 FUJ590409 GEF590409 GOB590409 GXX590409 HHT590409 HRP590409 IBL590409 ILH590409 IVD590409 JEZ590409 JOV590409 JYR590409 KIN590409 KSJ590409 LCF590409 LMB590409 LVX590409 MFT590409 MPP590409 MZL590409 NJH590409 NTD590409 OCZ590409 OMV590409 OWR590409 PGN590409 PQJ590409 QAF590409 QKB590409 QTX590409 RDT590409 RNP590409 RXL590409 SHH590409 SRD590409 TAZ590409 TKV590409 TUR590409 UEN590409 UOJ590409 UYF590409 VIB590409 VRX590409 WBT590409 WLP590409 WVL590409 D655945 IZ655945 SV655945 ACR655945 AMN655945 AWJ655945 BGF655945 BQB655945 BZX655945 CJT655945 CTP655945 DDL655945 DNH655945 DXD655945 EGZ655945 EQV655945 FAR655945 FKN655945 FUJ655945 GEF655945 GOB655945 GXX655945 HHT655945 HRP655945 IBL655945 ILH655945 IVD655945 JEZ655945 JOV655945 JYR655945 KIN655945 KSJ655945 LCF655945 LMB655945 LVX655945 MFT655945 MPP655945 MZL655945 NJH655945 NTD655945 OCZ655945 OMV655945 OWR655945 PGN655945 PQJ655945 QAF655945 QKB655945 QTX655945 RDT655945 RNP655945 RXL655945 SHH655945 SRD655945 TAZ655945 TKV655945 TUR655945 UEN655945 UOJ655945 UYF655945 VIB655945 VRX655945 WBT655945 WLP655945 WVL655945 D721481 IZ721481 SV721481 ACR721481 AMN721481 AWJ721481 BGF721481 BQB721481 BZX721481 CJT721481 CTP721481 DDL721481 DNH721481 DXD721481 EGZ721481 EQV721481 FAR721481 FKN721481 FUJ721481 GEF721481 GOB721481 GXX721481 HHT721481 HRP721481 IBL721481 ILH721481 IVD721481 JEZ721481 JOV721481 JYR721481 KIN721481 KSJ721481 LCF721481 LMB721481 LVX721481 MFT721481 MPP721481 MZL721481 NJH721481 NTD721481 OCZ721481 OMV721481 OWR721481 PGN721481 PQJ721481 QAF721481 QKB721481 QTX721481 RDT721481 RNP721481 RXL721481 SHH721481 SRD721481 TAZ721481 TKV721481 TUR721481 UEN721481 UOJ721481 UYF721481 VIB721481 VRX721481 WBT721481 WLP721481 WVL721481 D787017 IZ787017 SV787017 ACR787017 AMN787017 AWJ787017 BGF787017 BQB787017 BZX787017 CJT787017 CTP787017 DDL787017 DNH787017 DXD787017 EGZ787017 EQV787017 FAR787017 FKN787017 FUJ787017 GEF787017 GOB787017 GXX787017 HHT787017 HRP787017 IBL787017 ILH787017 IVD787017 JEZ787017 JOV787017 JYR787017 KIN787017 KSJ787017 LCF787017 LMB787017 LVX787017 MFT787017 MPP787017 MZL787017 NJH787017 NTD787017 OCZ787017 OMV787017 OWR787017 PGN787017 PQJ787017 QAF787017 QKB787017 QTX787017 RDT787017 RNP787017 RXL787017 SHH787017 SRD787017 TAZ787017 TKV787017 TUR787017 UEN787017 UOJ787017 UYF787017 VIB787017 VRX787017 WBT787017 WLP787017 WVL787017 D852553 IZ852553 SV852553 ACR852553 AMN852553 AWJ852553 BGF852553 BQB852553 BZX852553 CJT852553 CTP852553 DDL852553 DNH852553 DXD852553 EGZ852553 EQV852553 FAR852553 FKN852553 FUJ852553 GEF852553 GOB852553 GXX852553 HHT852553 HRP852553 IBL852553 ILH852553 IVD852553 JEZ852553 JOV852553 JYR852553 KIN852553 KSJ852553 LCF852553 LMB852553 LVX852553 MFT852553 MPP852553 MZL852553 NJH852553 NTD852553 OCZ852553 OMV852553 OWR852553 PGN852553 PQJ852553 QAF852553 QKB852553 QTX852553 RDT852553 RNP852553 RXL852553 SHH852553 SRD852553 TAZ852553 TKV852553 TUR852553 UEN852553 UOJ852553 UYF852553 VIB852553 VRX852553 WBT852553 WLP852553 WVL852553 D918089 IZ918089 SV918089 ACR918089 AMN918089 AWJ918089 BGF918089 BQB918089 BZX918089 CJT918089 CTP918089 DDL918089 DNH918089 DXD918089 EGZ918089 EQV918089 FAR918089 FKN918089 FUJ918089 GEF918089 GOB918089 GXX918089 HHT918089 HRP918089 IBL918089 ILH918089 IVD918089 JEZ918089 JOV918089 JYR918089 KIN918089 KSJ918089 LCF918089 LMB918089 LVX918089 MFT918089 MPP918089 MZL918089 NJH918089 NTD918089 OCZ918089 OMV918089 OWR918089 PGN918089 PQJ918089 QAF918089 QKB918089 QTX918089 RDT918089 RNP918089 RXL918089 SHH918089 SRD918089 TAZ918089 TKV918089 TUR918089 UEN918089 UOJ918089 UYF918089 VIB918089 VRX918089 WBT918089 WLP918089 WVL918089 D983625 IZ983625 SV983625 ACR983625 AMN983625 AWJ983625 BGF983625 BQB983625 BZX983625 CJT983625 CTP983625 DDL983625 DNH983625 DXD983625 EGZ983625 EQV983625 FAR983625 FKN983625 FUJ983625 GEF983625 GOB983625 GXX983625 HHT983625 HRP983625 IBL983625 ILH983625 IVD983625 JEZ983625 JOV983625 JYR983625 KIN983625 KSJ983625 LCF983625 LMB983625 LVX983625 MFT983625 MPP983625 MZL983625 NJH983625 NTD983625 OCZ983625 OMV983625 OWR983625 PGN983625 PQJ983625 QAF983625 QKB983625 QTX983625 RDT983625 RNP983625 RXL983625 SHH983625 SRD983625 TAZ983625 TKV983625 TUR983625 UEN983625 UOJ983625 UYF983625 VIB983625 VRX983625 WBT983625 WLP983625 WVL983625 D281 IZ281 SV281 ACR281 AMN281 AWJ281 BGF281 BQB281 BZX281 CJT281 CTP281 DDL281 DNH281 DXD281 EGZ281 EQV281 FAR281 FKN281 FUJ281 GEF281 GOB281 GXX281 HHT281 HRP281 IBL281 ILH281 IVD281 JEZ281 JOV281 JYR281 KIN281 KSJ281 LCF281 LMB281 LVX281 MFT281 MPP281 MZL281 NJH281 NTD281 OCZ281 OMV281 OWR281 PGN281 PQJ281 QAF281 QKB281 QTX281 RDT281 RNP281 RXL281 SHH281 SRD281 TAZ281 TKV281 TUR281 UEN281 UOJ281 UYF281 VIB281 VRX281 WBT281 WLP281 WVL281 D65817 IZ65817 SV65817 ACR65817 AMN65817 AWJ65817 BGF65817 BQB65817 BZX65817 CJT65817 CTP65817 DDL65817 DNH65817 DXD65817 EGZ65817 EQV65817 FAR65817 FKN65817 FUJ65817 GEF65817 GOB65817 GXX65817 HHT65817 HRP65817 IBL65817 ILH65817 IVD65817 JEZ65817 JOV65817 JYR65817 KIN65817 KSJ65817 LCF65817 LMB65817 LVX65817 MFT65817 MPP65817 MZL65817 NJH65817 NTD65817 OCZ65817 OMV65817 OWR65817 PGN65817 PQJ65817 QAF65817 QKB65817 QTX65817 RDT65817 RNP65817 RXL65817 SHH65817 SRD65817 TAZ65817 TKV65817 TUR65817 UEN65817 UOJ65817 UYF65817 VIB65817 VRX65817 WBT65817 WLP65817 WVL65817 D131353 IZ131353 SV131353 ACR131353 AMN131353 AWJ131353 BGF131353 BQB131353 BZX131353 CJT131353 CTP131353 DDL131353 DNH131353 DXD131353 EGZ131353 EQV131353 FAR131353 FKN131353 FUJ131353 GEF131353 GOB131353 GXX131353 HHT131353 HRP131353 IBL131353 ILH131353 IVD131353 JEZ131353 JOV131353 JYR131353 KIN131353 KSJ131353 LCF131353 LMB131353 LVX131353 MFT131353 MPP131353 MZL131353 NJH131353 NTD131353 OCZ131353 OMV131353 OWR131353 PGN131353 PQJ131353 QAF131353 QKB131353 QTX131353 RDT131353 RNP131353 RXL131353 SHH131353 SRD131353 TAZ131353 TKV131353 TUR131353 UEN131353 UOJ131353 UYF131353 VIB131353 VRX131353 WBT131353 WLP131353 WVL131353 D196889 IZ196889 SV196889 ACR196889 AMN196889 AWJ196889 BGF196889 BQB196889 BZX196889 CJT196889 CTP196889 DDL196889 DNH196889 DXD196889 EGZ196889 EQV196889 FAR196889 FKN196889 FUJ196889 GEF196889 GOB196889 GXX196889 HHT196889 HRP196889 IBL196889 ILH196889 IVD196889 JEZ196889 JOV196889 JYR196889 KIN196889 KSJ196889 LCF196889 LMB196889 LVX196889 MFT196889 MPP196889 MZL196889 NJH196889 NTD196889 OCZ196889 OMV196889 OWR196889 PGN196889 PQJ196889 QAF196889 QKB196889 QTX196889 RDT196889 RNP196889 RXL196889 SHH196889 SRD196889 TAZ196889 TKV196889 TUR196889 UEN196889 UOJ196889 UYF196889 VIB196889 VRX196889 WBT196889 WLP196889 WVL196889 D262425 IZ262425 SV262425 ACR262425 AMN262425 AWJ262425 BGF262425 BQB262425 BZX262425 CJT262425 CTP262425 DDL262425 DNH262425 DXD262425 EGZ262425 EQV262425 FAR262425 FKN262425 FUJ262425 GEF262425 GOB262425 GXX262425 HHT262425 HRP262425 IBL262425 ILH262425 IVD262425 JEZ262425 JOV262425 JYR262425 KIN262425 KSJ262425 LCF262425 LMB262425 LVX262425 MFT262425 MPP262425 MZL262425 NJH262425 NTD262425 OCZ262425 OMV262425 OWR262425 PGN262425 PQJ262425 QAF262425 QKB262425 QTX262425 RDT262425 RNP262425 RXL262425 SHH262425 SRD262425 TAZ262425 TKV262425 TUR262425 UEN262425 UOJ262425 UYF262425 VIB262425 VRX262425 WBT262425 WLP262425 WVL262425 D327961 IZ327961 SV327961 ACR327961 AMN327961 AWJ327961 BGF327961 BQB327961 BZX327961 CJT327961 CTP327961 DDL327961 DNH327961 DXD327961 EGZ327961 EQV327961 FAR327961 FKN327961 FUJ327961 GEF327961 GOB327961 GXX327961 HHT327961 HRP327961 IBL327961 ILH327961 IVD327961 JEZ327961 JOV327961 JYR327961 KIN327961 KSJ327961 LCF327961 LMB327961 LVX327961 MFT327961 MPP327961 MZL327961 NJH327961 NTD327961 OCZ327961 OMV327961 OWR327961 PGN327961 PQJ327961 QAF327961 QKB327961 QTX327961 RDT327961 RNP327961 RXL327961 SHH327961 SRD327961 TAZ327961 TKV327961 TUR327961 UEN327961 UOJ327961 UYF327961 VIB327961 VRX327961 WBT327961 WLP327961 WVL327961 D393497 IZ393497 SV393497 ACR393497 AMN393497 AWJ393497 BGF393497 BQB393497 BZX393497 CJT393497 CTP393497 DDL393497 DNH393497 DXD393497 EGZ393497 EQV393497 FAR393497 FKN393497 FUJ393497 GEF393497 GOB393497 GXX393497 HHT393497 HRP393497 IBL393497 ILH393497 IVD393497 JEZ393497 JOV393497 JYR393497 KIN393497 KSJ393497 LCF393497 LMB393497 LVX393497 MFT393497 MPP393497 MZL393497 NJH393497 NTD393497 OCZ393497 OMV393497 OWR393497 PGN393497 PQJ393497 QAF393497 QKB393497 QTX393497 RDT393497 RNP393497 RXL393497 SHH393497 SRD393497 TAZ393497 TKV393497 TUR393497 UEN393497 UOJ393497 UYF393497 VIB393497 VRX393497 WBT393497 WLP393497 WVL393497 D459033 IZ459033 SV459033 ACR459033 AMN459033 AWJ459033 BGF459033 BQB459033 BZX459033 CJT459033 CTP459033 DDL459033 DNH459033 DXD459033 EGZ459033 EQV459033 FAR459033 FKN459033 FUJ459033 GEF459033 GOB459033 GXX459033 HHT459033 HRP459033 IBL459033 ILH459033 IVD459033 JEZ459033 JOV459033 JYR459033 KIN459033 KSJ459033 LCF459033 LMB459033 LVX459033 MFT459033 MPP459033 MZL459033 NJH459033 NTD459033 OCZ459033 OMV459033 OWR459033 PGN459033 PQJ459033 QAF459033 QKB459033 QTX459033 RDT459033 RNP459033 RXL459033 SHH459033 SRD459033 TAZ459033 TKV459033 TUR459033 UEN459033 UOJ459033 UYF459033 VIB459033 VRX459033 WBT459033 WLP459033 WVL459033 D524569 IZ524569 SV524569 ACR524569 AMN524569 AWJ524569 BGF524569 BQB524569 BZX524569 CJT524569 CTP524569 DDL524569 DNH524569 DXD524569 EGZ524569 EQV524569 FAR524569 FKN524569 FUJ524569 GEF524569 GOB524569 GXX524569 HHT524569 HRP524569 IBL524569 ILH524569 IVD524569 JEZ524569 JOV524569 JYR524569 KIN524569 KSJ524569 LCF524569 LMB524569 LVX524569 MFT524569 MPP524569 MZL524569 NJH524569 NTD524569 OCZ524569 OMV524569 OWR524569 PGN524569 PQJ524569 QAF524569 QKB524569 QTX524569 RDT524569 RNP524569 RXL524569 SHH524569 SRD524569 TAZ524569 TKV524569 TUR524569 UEN524569 UOJ524569 UYF524569 VIB524569 VRX524569 WBT524569 WLP524569 WVL524569 D590105 IZ590105 SV590105 ACR590105 AMN590105 AWJ590105 BGF590105 BQB590105 BZX590105 CJT590105 CTP590105 DDL590105 DNH590105 DXD590105 EGZ590105 EQV590105 FAR590105 FKN590105 FUJ590105 GEF590105 GOB590105 GXX590105 HHT590105 HRP590105 IBL590105 ILH590105 IVD590105 JEZ590105 JOV590105 JYR590105 KIN590105 KSJ590105 LCF590105 LMB590105 LVX590105 MFT590105 MPP590105 MZL590105 NJH590105 NTD590105 OCZ590105 OMV590105 OWR590105 PGN590105 PQJ590105 QAF590105 QKB590105 QTX590105 RDT590105 RNP590105 RXL590105 SHH590105 SRD590105 TAZ590105 TKV590105 TUR590105 UEN590105 UOJ590105 UYF590105 VIB590105 VRX590105 WBT590105 WLP590105 WVL590105 D655641 IZ655641 SV655641 ACR655641 AMN655641 AWJ655641 BGF655641 BQB655641 BZX655641 CJT655641 CTP655641 DDL655641 DNH655641 DXD655641 EGZ655641 EQV655641 FAR655641 FKN655641 FUJ655641 GEF655641 GOB655641 GXX655641 HHT655641 HRP655641 IBL655641 ILH655641 IVD655641 JEZ655641 JOV655641 JYR655641 KIN655641 KSJ655641 LCF655641 LMB655641 LVX655641 MFT655641 MPP655641 MZL655641 NJH655641 NTD655641 OCZ655641 OMV655641 OWR655641 PGN655641 PQJ655641 QAF655641 QKB655641 QTX655641 RDT655641 RNP655641 RXL655641 SHH655641 SRD655641 TAZ655641 TKV655641 TUR655641 UEN655641 UOJ655641 UYF655641 VIB655641 VRX655641 WBT655641 WLP655641 WVL655641 D721177 IZ721177 SV721177 ACR721177 AMN721177 AWJ721177 BGF721177 BQB721177 BZX721177 CJT721177 CTP721177 DDL721177 DNH721177 DXD721177 EGZ721177 EQV721177 FAR721177 FKN721177 FUJ721177 GEF721177 GOB721177 GXX721177 HHT721177 HRP721177 IBL721177 ILH721177 IVD721177 JEZ721177 JOV721177 JYR721177 KIN721177 KSJ721177 LCF721177 LMB721177 LVX721177 MFT721177 MPP721177 MZL721177 NJH721177 NTD721177 OCZ721177 OMV721177 OWR721177 PGN721177 PQJ721177 QAF721177 QKB721177 QTX721177 RDT721177 RNP721177 RXL721177 SHH721177 SRD721177 TAZ721177 TKV721177 TUR721177 UEN721177 UOJ721177 UYF721177 VIB721177 VRX721177 WBT721177 WLP721177 WVL721177 D786713 IZ786713 SV786713 ACR786713 AMN786713 AWJ786713 BGF786713 BQB786713 BZX786713 CJT786713 CTP786713 DDL786713 DNH786713 DXD786713 EGZ786713 EQV786713 FAR786713 FKN786713 FUJ786713 GEF786713 GOB786713 GXX786713 HHT786713 HRP786713 IBL786713 ILH786713 IVD786713 JEZ786713 JOV786713 JYR786713 KIN786713 KSJ786713 LCF786713 LMB786713 LVX786713 MFT786713 MPP786713 MZL786713 NJH786713 NTD786713 OCZ786713 OMV786713 OWR786713 PGN786713 PQJ786713 QAF786713 QKB786713 QTX786713 RDT786713 RNP786713 RXL786713 SHH786713 SRD786713 TAZ786713 TKV786713 TUR786713 UEN786713 UOJ786713 UYF786713 VIB786713 VRX786713 WBT786713 WLP786713 WVL786713 D852249 IZ852249 SV852249 ACR852249 AMN852249 AWJ852249 BGF852249 BQB852249 BZX852249 CJT852249 CTP852249 DDL852249 DNH852249 DXD852249 EGZ852249 EQV852249 FAR852249 FKN852249 FUJ852249 GEF852249 GOB852249 GXX852249 HHT852249 HRP852249 IBL852249 ILH852249 IVD852249 JEZ852249 JOV852249 JYR852249 KIN852249 KSJ852249 LCF852249 LMB852249 LVX852249 MFT852249 MPP852249 MZL852249 NJH852249 NTD852249 OCZ852249 OMV852249 OWR852249 PGN852249 PQJ852249 QAF852249 QKB852249 QTX852249 RDT852249 RNP852249 RXL852249 SHH852249 SRD852249 TAZ852249 TKV852249 TUR852249 UEN852249 UOJ852249 UYF852249 VIB852249 VRX852249 WBT852249 WLP852249 WVL852249 D917785 IZ917785 SV917785 ACR917785 AMN917785 AWJ917785 BGF917785 BQB917785 BZX917785 CJT917785 CTP917785 DDL917785 DNH917785 DXD917785 EGZ917785 EQV917785 FAR917785 FKN917785 FUJ917785 GEF917785 GOB917785 GXX917785 HHT917785 HRP917785 IBL917785 ILH917785 IVD917785 JEZ917785 JOV917785 JYR917785 KIN917785 KSJ917785 LCF917785 LMB917785 LVX917785 MFT917785 MPP917785 MZL917785 NJH917785 NTD917785 OCZ917785 OMV917785 OWR917785 PGN917785 PQJ917785 QAF917785 QKB917785 QTX917785 RDT917785 RNP917785 RXL917785 SHH917785 SRD917785 TAZ917785 TKV917785 TUR917785 UEN917785 UOJ917785 UYF917785 VIB917785 VRX917785 WBT917785 WLP917785 WVL917785 D983321 IZ983321 SV983321 ACR983321 AMN983321 AWJ983321 BGF983321 BQB983321 BZX983321 CJT983321 CTP983321 DDL983321 DNH983321 DXD983321 EGZ983321 EQV983321 FAR983321 FKN983321 FUJ983321 GEF983321 GOB983321 GXX983321 HHT983321 HRP983321 IBL983321 ILH983321 IVD983321 JEZ983321 JOV983321 JYR983321 KIN983321 KSJ983321 LCF983321 LMB983321 LVX983321 MFT983321 MPP983321 MZL983321 NJH983321 NTD983321 OCZ983321 OMV983321 OWR983321 PGN983321 PQJ983321 QAF983321 QKB983321 QTX983321 RDT983321 RNP983321 RXL983321 SHH983321 SRD983321 TAZ983321 TKV983321 TUR983321 UEN983321 UOJ983321 UYF983321 VIB983321 VRX983321 WBT983321 WLP983321 WVL983321 D7:D8 IZ7:IZ8 SV7:SV8 ACR7:ACR8 AMN7:AMN8 AWJ7:AWJ8 BGF7:BGF8 BQB7:BQB8 BZX7:BZX8 CJT7:CJT8 CTP7:CTP8 DDL7:DDL8 DNH7:DNH8 DXD7:DXD8 EGZ7:EGZ8 EQV7:EQV8 FAR7:FAR8 FKN7:FKN8 FUJ7:FUJ8 GEF7:GEF8 GOB7:GOB8 GXX7:GXX8 HHT7:HHT8 HRP7:HRP8 IBL7:IBL8 ILH7:ILH8 IVD7:IVD8 JEZ7:JEZ8 JOV7:JOV8 JYR7:JYR8 KIN7:KIN8 KSJ7:KSJ8 LCF7:LCF8 LMB7:LMB8 LVX7:LVX8 MFT7:MFT8 MPP7:MPP8 MZL7:MZL8 NJH7:NJH8 NTD7:NTD8 OCZ7:OCZ8 OMV7:OMV8 OWR7:OWR8 PGN7:PGN8 PQJ7:PQJ8 QAF7:QAF8 QKB7:QKB8 QTX7:QTX8 RDT7:RDT8 RNP7:RNP8 RXL7:RXL8 SHH7:SHH8 SRD7:SRD8 TAZ7:TAZ8 TKV7:TKV8 TUR7:TUR8 UEN7:UEN8 UOJ7:UOJ8 UYF7:UYF8 VIB7:VIB8 VRX7:VRX8 WBT7:WBT8 WLP7:WLP8 WVL7:WVL8 D65549:D65550 IZ65549:IZ65550 SV65549:SV65550 ACR65549:ACR65550 AMN65549:AMN65550 AWJ65549:AWJ65550 BGF65549:BGF65550 BQB65549:BQB65550 BZX65549:BZX65550 CJT65549:CJT65550 CTP65549:CTP65550 DDL65549:DDL65550 DNH65549:DNH65550 DXD65549:DXD65550 EGZ65549:EGZ65550 EQV65549:EQV65550 FAR65549:FAR65550 FKN65549:FKN65550 FUJ65549:FUJ65550 GEF65549:GEF65550 GOB65549:GOB65550 GXX65549:GXX65550 HHT65549:HHT65550 HRP65549:HRP65550 IBL65549:IBL65550 ILH65549:ILH65550 IVD65549:IVD65550 JEZ65549:JEZ65550 JOV65549:JOV65550 JYR65549:JYR65550 KIN65549:KIN65550 KSJ65549:KSJ65550 LCF65549:LCF65550 LMB65549:LMB65550 LVX65549:LVX65550 MFT65549:MFT65550 MPP65549:MPP65550 MZL65549:MZL65550 NJH65549:NJH65550 NTD65549:NTD65550 OCZ65549:OCZ65550 OMV65549:OMV65550 OWR65549:OWR65550 PGN65549:PGN65550 PQJ65549:PQJ65550 QAF65549:QAF65550 QKB65549:QKB65550 QTX65549:QTX65550 RDT65549:RDT65550 RNP65549:RNP65550 RXL65549:RXL65550 SHH65549:SHH65550 SRD65549:SRD65550 TAZ65549:TAZ65550 TKV65549:TKV65550 TUR65549:TUR65550 UEN65549:UEN65550 UOJ65549:UOJ65550 UYF65549:UYF65550 VIB65549:VIB65550 VRX65549:VRX65550 WBT65549:WBT65550 WLP65549:WLP65550 WVL65549:WVL65550 D131085:D131086 IZ131085:IZ131086 SV131085:SV131086 ACR131085:ACR131086 AMN131085:AMN131086 AWJ131085:AWJ131086 BGF131085:BGF131086 BQB131085:BQB131086 BZX131085:BZX131086 CJT131085:CJT131086 CTP131085:CTP131086 DDL131085:DDL131086 DNH131085:DNH131086 DXD131085:DXD131086 EGZ131085:EGZ131086 EQV131085:EQV131086 FAR131085:FAR131086 FKN131085:FKN131086 FUJ131085:FUJ131086 GEF131085:GEF131086 GOB131085:GOB131086 GXX131085:GXX131086 HHT131085:HHT131086 HRP131085:HRP131086 IBL131085:IBL131086 ILH131085:ILH131086 IVD131085:IVD131086 JEZ131085:JEZ131086 JOV131085:JOV131086 JYR131085:JYR131086 KIN131085:KIN131086 KSJ131085:KSJ131086 LCF131085:LCF131086 LMB131085:LMB131086 LVX131085:LVX131086 MFT131085:MFT131086 MPP131085:MPP131086 MZL131085:MZL131086 NJH131085:NJH131086 NTD131085:NTD131086 OCZ131085:OCZ131086 OMV131085:OMV131086 OWR131085:OWR131086 PGN131085:PGN131086 PQJ131085:PQJ131086 QAF131085:QAF131086 QKB131085:QKB131086 QTX131085:QTX131086 RDT131085:RDT131086 RNP131085:RNP131086 RXL131085:RXL131086 SHH131085:SHH131086 SRD131085:SRD131086 TAZ131085:TAZ131086 TKV131085:TKV131086 TUR131085:TUR131086 UEN131085:UEN131086 UOJ131085:UOJ131086 UYF131085:UYF131086 VIB131085:VIB131086 VRX131085:VRX131086 WBT131085:WBT131086 WLP131085:WLP131086 WVL131085:WVL131086 D196621:D196622 IZ196621:IZ196622 SV196621:SV196622 ACR196621:ACR196622 AMN196621:AMN196622 AWJ196621:AWJ196622 BGF196621:BGF196622 BQB196621:BQB196622 BZX196621:BZX196622 CJT196621:CJT196622 CTP196621:CTP196622 DDL196621:DDL196622 DNH196621:DNH196622 DXD196621:DXD196622 EGZ196621:EGZ196622 EQV196621:EQV196622 FAR196621:FAR196622 FKN196621:FKN196622 FUJ196621:FUJ196622 GEF196621:GEF196622 GOB196621:GOB196622 GXX196621:GXX196622 HHT196621:HHT196622 HRP196621:HRP196622 IBL196621:IBL196622 ILH196621:ILH196622 IVD196621:IVD196622 JEZ196621:JEZ196622 JOV196621:JOV196622 JYR196621:JYR196622 KIN196621:KIN196622 KSJ196621:KSJ196622 LCF196621:LCF196622 LMB196621:LMB196622 LVX196621:LVX196622 MFT196621:MFT196622 MPP196621:MPP196622 MZL196621:MZL196622 NJH196621:NJH196622 NTD196621:NTD196622 OCZ196621:OCZ196622 OMV196621:OMV196622 OWR196621:OWR196622 PGN196621:PGN196622 PQJ196621:PQJ196622 QAF196621:QAF196622 QKB196621:QKB196622 QTX196621:QTX196622 RDT196621:RDT196622 RNP196621:RNP196622 RXL196621:RXL196622 SHH196621:SHH196622 SRD196621:SRD196622 TAZ196621:TAZ196622 TKV196621:TKV196622 TUR196621:TUR196622 UEN196621:UEN196622 UOJ196621:UOJ196622 UYF196621:UYF196622 VIB196621:VIB196622 VRX196621:VRX196622 WBT196621:WBT196622 WLP196621:WLP196622 WVL196621:WVL196622 D262157:D262158 IZ262157:IZ262158 SV262157:SV262158 ACR262157:ACR262158 AMN262157:AMN262158 AWJ262157:AWJ262158 BGF262157:BGF262158 BQB262157:BQB262158 BZX262157:BZX262158 CJT262157:CJT262158 CTP262157:CTP262158 DDL262157:DDL262158 DNH262157:DNH262158 DXD262157:DXD262158 EGZ262157:EGZ262158 EQV262157:EQV262158 FAR262157:FAR262158 FKN262157:FKN262158 FUJ262157:FUJ262158 GEF262157:GEF262158 GOB262157:GOB262158 GXX262157:GXX262158 HHT262157:HHT262158 HRP262157:HRP262158 IBL262157:IBL262158 ILH262157:ILH262158 IVD262157:IVD262158 JEZ262157:JEZ262158 JOV262157:JOV262158 JYR262157:JYR262158 KIN262157:KIN262158 KSJ262157:KSJ262158 LCF262157:LCF262158 LMB262157:LMB262158 LVX262157:LVX262158 MFT262157:MFT262158 MPP262157:MPP262158 MZL262157:MZL262158 NJH262157:NJH262158 NTD262157:NTD262158 OCZ262157:OCZ262158 OMV262157:OMV262158 OWR262157:OWR262158 PGN262157:PGN262158 PQJ262157:PQJ262158 QAF262157:QAF262158 QKB262157:QKB262158 QTX262157:QTX262158 RDT262157:RDT262158 RNP262157:RNP262158 RXL262157:RXL262158 SHH262157:SHH262158 SRD262157:SRD262158 TAZ262157:TAZ262158 TKV262157:TKV262158 TUR262157:TUR262158 UEN262157:UEN262158 UOJ262157:UOJ262158 UYF262157:UYF262158 VIB262157:VIB262158 VRX262157:VRX262158 WBT262157:WBT262158 WLP262157:WLP262158 WVL262157:WVL262158 D327693:D327694 IZ327693:IZ327694 SV327693:SV327694 ACR327693:ACR327694 AMN327693:AMN327694 AWJ327693:AWJ327694 BGF327693:BGF327694 BQB327693:BQB327694 BZX327693:BZX327694 CJT327693:CJT327694 CTP327693:CTP327694 DDL327693:DDL327694 DNH327693:DNH327694 DXD327693:DXD327694 EGZ327693:EGZ327694 EQV327693:EQV327694 FAR327693:FAR327694 FKN327693:FKN327694 FUJ327693:FUJ327694 GEF327693:GEF327694 GOB327693:GOB327694 GXX327693:GXX327694 HHT327693:HHT327694 HRP327693:HRP327694 IBL327693:IBL327694 ILH327693:ILH327694 IVD327693:IVD327694 JEZ327693:JEZ327694 JOV327693:JOV327694 JYR327693:JYR327694 KIN327693:KIN327694 KSJ327693:KSJ327694 LCF327693:LCF327694 LMB327693:LMB327694 LVX327693:LVX327694 MFT327693:MFT327694 MPP327693:MPP327694 MZL327693:MZL327694 NJH327693:NJH327694 NTD327693:NTD327694 OCZ327693:OCZ327694 OMV327693:OMV327694 OWR327693:OWR327694 PGN327693:PGN327694 PQJ327693:PQJ327694 QAF327693:QAF327694 QKB327693:QKB327694 QTX327693:QTX327694 RDT327693:RDT327694 RNP327693:RNP327694 RXL327693:RXL327694 SHH327693:SHH327694 SRD327693:SRD327694 TAZ327693:TAZ327694 TKV327693:TKV327694 TUR327693:TUR327694 UEN327693:UEN327694 UOJ327693:UOJ327694 UYF327693:UYF327694 VIB327693:VIB327694 VRX327693:VRX327694 WBT327693:WBT327694 WLP327693:WLP327694 WVL327693:WVL327694 D393229:D393230 IZ393229:IZ393230 SV393229:SV393230 ACR393229:ACR393230 AMN393229:AMN393230 AWJ393229:AWJ393230 BGF393229:BGF393230 BQB393229:BQB393230 BZX393229:BZX393230 CJT393229:CJT393230 CTP393229:CTP393230 DDL393229:DDL393230 DNH393229:DNH393230 DXD393229:DXD393230 EGZ393229:EGZ393230 EQV393229:EQV393230 FAR393229:FAR393230 FKN393229:FKN393230 FUJ393229:FUJ393230 GEF393229:GEF393230 GOB393229:GOB393230 GXX393229:GXX393230 HHT393229:HHT393230 HRP393229:HRP393230 IBL393229:IBL393230 ILH393229:ILH393230 IVD393229:IVD393230 JEZ393229:JEZ393230 JOV393229:JOV393230 JYR393229:JYR393230 KIN393229:KIN393230 KSJ393229:KSJ393230 LCF393229:LCF393230 LMB393229:LMB393230 LVX393229:LVX393230 MFT393229:MFT393230 MPP393229:MPP393230 MZL393229:MZL393230 NJH393229:NJH393230 NTD393229:NTD393230 OCZ393229:OCZ393230 OMV393229:OMV393230 OWR393229:OWR393230 PGN393229:PGN393230 PQJ393229:PQJ393230 QAF393229:QAF393230 QKB393229:QKB393230 QTX393229:QTX393230 RDT393229:RDT393230 RNP393229:RNP393230 RXL393229:RXL393230 SHH393229:SHH393230 SRD393229:SRD393230 TAZ393229:TAZ393230 TKV393229:TKV393230 TUR393229:TUR393230 UEN393229:UEN393230 UOJ393229:UOJ393230 UYF393229:UYF393230 VIB393229:VIB393230 VRX393229:VRX393230 WBT393229:WBT393230 WLP393229:WLP393230 WVL393229:WVL393230 D458765:D458766 IZ458765:IZ458766 SV458765:SV458766 ACR458765:ACR458766 AMN458765:AMN458766 AWJ458765:AWJ458766 BGF458765:BGF458766 BQB458765:BQB458766 BZX458765:BZX458766 CJT458765:CJT458766 CTP458765:CTP458766 DDL458765:DDL458766 DNH458765:DNH458766 DXD458765:DXD458766 EGZ458765:EGZ458766 EQV458765:EQV458766 FAR458765:FAR458766 FKN458765:FKN458766 FUJ458765:FUJ458766 GEF458765:GEF458766 GOB458765:GOB458766 GXX458765:GXX458766 HHT458765:HHT458766 HRP458765:HRP458766 IBL458765:IBL458766 ILH458765:ILH458766 IVD458765:IVD458766 JEZ458765:JEZ458766 JOV458765:JOV458766 JYR458765:JYR458766 KIN458765:KIN458766 KSJ458765:KSJ458766 LCF458765:LCF458766 LMB458765:LMB458766 LVX458765:LVX458766 MFT458765:MFT458766 MPP458765:MPP458766 MZL458765:MZL458766 NJH458765:NJH458766 NTD458765:NTD458766 OCZ458765:OCZ458766 OMV458765:OMV458766 OWR458765:OWR458766 PGN458765:PGN458766 PQJ458765:PQJ458766 QAF458765:QAF458766 QKB458765:QKB458766 QTX458765:QTX458766 RDT458765:RDT458766 RNP458765:RNP458766 RXL458765:RXL458766 SHH458765:SHH458766 SRD458765:SRD458766 TAZ458765:TAZ458766 TKV458765:TKV458766 TUR458765:TUR458766 UEN458765:UEN458766 UOJ458765:UOJ458766 UYF458765:UYF458766 VIB458765:VIB458766 VRX458765:VRX458766 WBT458765:WBT458766 WLP458765:WLP458766 WVL458765:WVL458766 D524301:D524302 IZ524301:IZ524302 SV524301:SV524302 ACR524301:ACR524302 AMN524301:AMN524302 AWJ524301:AWJ524302 BGF524301:BGF524302 BQB524301:BQB524302 BZX524301:BZX524302 CJT524301:CJT524302 CTP524301:CTP524302 DDL524301:DDL524302 DNH524301:DNH524302 DXD524301:DXD524302 EGZ524301:EGZ524302 EQV524301:EQV524302 FAR524301:FAR524302 FKN524301:FKN524302 FUJ524301:FUJ524302 GEF524301:GEF524302 GOB524301:GOB524302 GXX524301:GXX524302 HHT524301:HHT524302 HRP524301:HRP524302 IBL524301:IBL524302 ILH524301:ILH524302 IVD524301:IVD524302 JEZ524301:JEZ524302 JOV524301:JOV524302 JYR524301:JYR524302 KIN524301:KIN524302 KSJ524301:KSJ524302 LCF524301:LCF524302 LMB524301:LMB524302 LVX524301:LVX524302 MFT524301:MFT524302 MPP524301:MPP524302 MZL524301:MZL524302 NJH524301:NJH524302 NTD524301:NTD524302 OCZ524301:OCZ524302 OMV524301:OMV524302 OWR524301:OWR524302 PGN524301:PGN524302 PQJ524301:PQJ524302 QAF524301:QAF524302 QKB524301:QKB524302 QTX524301:QTX524302 RDT524301:RDT524302 RNP524301:RNP524302 RXL524301:RXL524302 SHH524301:SHH524302 SRD524301:SRD524302 TAZ524301:TAZ524302 TKV524301:TKV524302 TUR524301:TUR524302 UEN524301:UEN524302 UOJ524301:UOJ524302 UYF524301:UYF524302 VIB524301:VIB524302 VRX524301:VRX524302 WBT524301:WBT524302 WLP524301:WLP524302 WVL524301:WVL524302 D589837:D589838 IZ589837:IZ589838 SV589837:SV589838 ACR589837:ACR589838 AMN589837:AMN589838 AWJ589837:AWJ589838 BGF589837:BGF589838 BQB589837:BQB589838 BZX589837:BZX589838 CJT589837:CJT589838 CTP589837:CTP589838 DDL589837:DDL589838 DNH589837:DNH589838 DXD589837:DXD589838 EGZ589837:EGZ589838 EQV589837:EQV589838 FAR589837:FAR589838 FKN589837:FKN589838 FUJ589837:FUJ589838 GEF589837:GEF589838 GOB589837:GOB589838 GXX589837:GXX589838 HHT589837:HHT589838 HRP589837:HRP589838 IBL589837:IBL589838 ILH589837:ILH589838 IVD589837:IVD589838 JEZ589837:JEZ589838 JOV589837:JOV589838 JYR589837:JYR589838 KIN589837:KIN589838 KSJ589837:KSJ589838 LCF589837:LCF589838 LMB589837:LMB589838 LVX589837:LVX589838 MFT589837:MFT589838 MPP589837:MPP589838 MZL589837:MZL589838 NJH589837:NJH589838 NTD589837:NTD589838 OCZ589837:OCZ589838 OMV589837:OMV589838 OWR589837:OWR589838 PGN589837:PGN589838 PQJ589837:PQJ589838 QAF589837:QAF589838 QKB589837:QKB589838 QTX589837:QTX589838 RDT589837:RDT589838 RNP589837:RNP589838 RXL589837:RXL589838 SHH589837:SHH589838 SRD589837:SRD589838 TAZ589837:TAZ589838 TKV589837:TKV589838 TUR589837:TUR589838 UEN589837:UEN589838 UOJ589837:UOJ589838 UYF589837:UYF589838 VIB589837:VIB589838 VRX589837:VRX589838 WBT589837:WBT589838 WLP589837:WLP589838 WVL589837:WVL589838 D655373:D655374 IZ655373:IZ655374 SV655373:SV655374 ACR655373:ACR655374 AMN655373:AMN655374 AWJ655373:AWJ655374 BGF655373:BGF655374 BQB655373:BQB655374 BZX655373:BZX655374 CJT655373:CJT655374 CTP655373:CTP655374 DDL655373:DDL655374 DNH655373:DNH655374 DXD655373:DXD655374 EGZ655373:EGZ655374 EQV655373:EQV655374 FAR655373:FAR655374 FKN655373:FKN655374 FUJ655373:FUJ655374 GEF655373:GEF655374 GOB655373:GOB655374 GXX655373:GXX655374 HHT655373:HHT655374 HRP655373:HRP655374 IBL655373:IBL655374 ILH655373:ILH655374 IVD655373:IVD655374 JEZ655373:JEZ655374 JOV655373:JOV655374 JYR655373:JYR655374 KIN655373:KIN655374 KSJ655373:KSJ655374 LCF655373:LCF655374 LMB655373:LMB655374 LVX655373:LVX655374 MFT655373:MFT655374 MPP655373:MPP655374 MZL655373:MZL655374 NJH655373:NJH655374 NTD655373:NTD655374 OCZ655373:OCZ655374 OMV655373:OMV655374 OWR655373:OWR655374 PGN655373:PGN655374 PQJ655373:PQJ655374 QAF655373:QAF655374 QKB655373:QKB655374 QTX655373:QTX655374 RDT655373:RDT655374 RNP655373:RNP655374 RXL655373:RXL655374 SHH655373:SHH655374 SRD655373:SRD655374 TAZ655373:TAZ655374 TKV655373:TKV655374 TUR655373:TUR655374 UEN655373:UEN655374 UOJ655373:UOJ655374 UYF655373:UYF655374 VIB655373:VIB655374 VRX655373:VRX655374 WBT655373:WBT655374 WLP655373:WLP655374 WVL655373:WVL655374 D720909:D720910 IZ720909:IZ720910 SV720909:SV720910 ACR720909:ACR720910 AMN720909:AMN720910 AWJ720909:AWJ720910 BGF720909:BGF720910 BQB720909:BQB720910 BZX720909:BZX720910 CJT720909:CJT720910 CTP720909:CTP720910 DDL720909:DDL720910 DNH720909:DNH720910 DXD720909:DXD720910 EGZ720909:EGZ720910 EQV720909:EQV720910 FAR720909:FAR720910 FKN720909:FKN720910 FUJ720909:FUJ720910 GEF720909:GEF720910 GOB720909:GOB720910 GXX720909:GXX720910 HHT720909:HHT720910 HRP720909:HRP720910 IBL720909:IBL720910 ILH720909:ILH720910 IVD720909:IVD720910 JEZ720909:JEZ720910 JOV720909:JOV720910 JYR720909:JYR720910 KIN720909:KIN720910 KSJ720909:KSJ720910 LCF720909:LCF720910 LMB720909:LMB720910 LVX720909:LVX720910 MFT720909:MFT720910 MPP720909:MPP720910 MZL720909:MZL720910 NJH720909:NJH720910 NTD720909:NTD720910 OCZ720909:OCZ720910 OMV720909:OMV720910 OWR720909:OWR720910 PGN720909:PGN720910 PQJ720909:PQJ720910 QAF720909:QAF720910 QKB720909:QKB720910 QTX720909:QTX720910 RDT720909:RDT720910 RNP720909:RNP720910 RXL720909:RXL720910 SHH720909:SHH720910 SRD720909:SRD720910 TAZ720909:TAZ720910 TKV720909:TKV720910 TUR720909:TUR720910 UEN720909:UEN720910 UOJ720909:UOJ720910 UYF720909:UYF720910 VIB720909:VIB720910 VRX720909:VRX720910 WBT720909:WBT720910 WLP720909:WLP720910 WVL720909:WVL720910 D786445:D786446 IZ786445:IZ786446 SV786445:SV786446 ACR786445:ACR786446 AMN786445:AMN786446 AWJ786445:AWJ786446 BGF786445:BGF786446 BQB786445:BQB786446 BZX786445:BZX786446 CJT786445:CJT786446 CTP786445:CTP786446 DDL786445:DDL786446 DNH786445:DNH786446 DXD786445:DXD786446 EGZ786445:EGZ786446 EQV786445:EQV786446 FAR786445:FAR786446 FKN786445:FKN786446 FUJ786445:FUJ786446 GEF786445:GEF786446 GOB786445:GOB786446 GXX786445:GXX786446 HHT786445:HHT786446 HRP786445:HRP786446 IBL786445:IBL786446 ILH786445:ILH786446 IVD786445:IVD786446 JEZ786445:JEZ786446 JOV786445:JOV786446 JYR786445:JYR786446 KIN786445:KIN786446 KSJ786445:KSJ786446 LCF786445:LCF786446 LMB786445:LMB786446 LVX786445:LVX786446 MFT786445:MFT786446 MPP786445:MPP786446 MZL786445:MZL786446 NJH786445:NJH786446 NTD786445:NTD786446 OCZ786445:OCZ786446 OMV786445:OMV786446 OWR786445:OWR786446 PGN786445:PGN786446 PQJ786445:PQJ786446 QAF786445:QAF786446 QKB786445:QKB786446 QTX786445:QTX786446 RDT786445:RDT786446 RNP786445:RNP786446 RXL786445:RXL786446 SHH786445:SHH786446 SRD786445:SRD786446 TAZ786445:TAZ786446 TKV786445:TKV786446 TUR786445:TUR786446 UEN786445:UEN786446 UOJ786445:UOJ786446 UYF786445:UYF786446 VIB786445:VIB786446 VRX786445:VRX786446 WBT786445:WBT786446 WLP786445:WLP786446 WVL786445:WVL786446 D851981:D851982 IZ851981:IZ851982 SV851981:SV851982 ACR851981:ACR851982 AMN851981:AMN851982 AWJ851981:AWJ851982 BGF851981:BGF851982 BQB851981:BQB851982 BZX851981:BZX851982 CJT851981:CJT851982 CTP851981:CTP851982 DDL851981:DDL851982 DNH851981:DNH851982 DXD851981:DXD851982 EGZ851981:EGZ851982 EQV851981:EQV851982 FAR851981:FAR851982 FKN851981:FKN851982 FUJ851981:FUJ851982 GEF851981:GEF851982 GOB851981:GOB851982 GXX851981:GXX851982 HHT851981:HHT851982 HRP851981:HRP851982 IBL851981:IBL851982 ILH851981:ILH851982 IVD851981:IVD851982 JEZ851981:JEZ851982 JOV851981:JOV851982 JYR851981:JYR851982 KIN851981:KIN851982 KSJ851981:KSJ851982 LCF851981:LCF851982 LMB851981:LMB851982 LVX851981:LVX851982 MFT851981:MFT851982 MPP851981:MPP851982 MZL851981:MZL851982 NJH851981:NJH851982 NTD851981:NTD851982 OCZ851981:OCZ851982 OMV851981:OMV851982 OWR851981:OWR851982 PGN851981:PGN851982 PQJ851981:PQJ851982 QAF851981:QAF851982 QKB851981:QKB851982 QTX851981:QTX851982 RDT851981:RDT851982 RNP851981:RNP851982 RXL851981:RXL851982 SHH851981:SHH851982 SRD851981:SRD851982 TAZ851981:TAZ851982 TKV851981:TKV851982 TUR851981:TUR851982 UEN851981:UEN851982 UOJ851981:UOJ851982 UYF851981:UYF851982 VIB851981:VIB851982 VRX851981:VRX851982 WBT851981:WBT851982 WLP851981:WLP851982 WVL851981:WVL851982 D917517:D917518 IZ917517:IZ917518 SV917517:SV917518 ACR917517:ACR917518 AMN917517:AMN917518 AWJ917517:AWJ917518 BGF917517:BGF917518 BQB917517:BQB917518 BZX917517:BZX917518 CJT917517:CJT917518 CTP917517:CTP917518 DDL917517:DDL917518 DNH917517:DNH917518 DXD917517:DXD917518 EGZ917517:EGZ917518 EQV917517:EQV917518 FAR917517:FAR917518 FKN917517:FKN917518 FUJ917517:FUJ917518 GEF917517:GEF917518 GOB917517:GOB917518 GXX917517:GXX917518 HHT917517:HHT917518 HRP917517:HRP917518 IBL917517:IBL917518 ILH917517:ILH917518 IVD917517:IVD917518 JEZ917517:JEZ917518 JOV917517:JOV917518 JYR917517:JYR917518 KIN917517:KIN917518 KSJ917517:KSJ917518 LCF917517:LCF917518 LMB917517:LMB917518 LVX917517:LVX917518 MFT917517:MFT917518 MPP917517:MPP917518 MZL917517:MZL917518 NJH917517:NJH917518 NTD917517:NTD917518 OCZ917517:OCZ917518 OMV917517:OMV917518 OWR917517:OWR917518 PGN917517:PGN917518 PQJ917517:PQJ917518 QAF917517:QAF917518 QKB917517:QKB917518 QTX917517:QTX917518 RDT917517:RDT917518 RNP917517:RNP917518 RXL917517:RXL917518 SHH917517:SHH917518 SRD917517:SRD917518 TAZ917517:TAZ917518 TKV917517:TKV917518 TUR917517:TUR917518 UEN917517:UEN917518 UOJ917517:UOJ917518 UYF917517:UYF917518 VIB917517:VIB917518 VRX917517:VRX917518 WBT917517:WBT917518 WLP917517:WLP917518 WVL917517:WVL917518 D983053:D983054 IZ983053:IZ983054 SV983053:SV983054 ACR983053:ACR983054 AMN983053:AMN983054 AWJ983053:AWJ983054 BGF983053:BGF983054 BQB983053:BQB983054 BZX983053:BZX983054 CJT983053:CJT983054 CTP983053:CTP983054 DDL983053:DDL983054 DNH983053:DNH983054 DXD983053:DXD983054 EGZ983053:EGZ983054 EQV983053:EQV983054 FAR983053:FAR983054 FKN983053:FKN983054 FUJ983053:FUJ983054 GEF983053:GEF983054 GOB983053:GOB983054 GXX983053:GXX983054 HHT983053:HHT983054 HRP983053:HRP983054 IBL983053:IBL983054 ILH983053:ILH983054 IVD983053:IVD983054 JEZ983053:JEZ983054 JOV983053:JOV983054 JYR983053:JYR983054 KIN983053:KIN983054 KSJ983053:KSJ983054 LCF983053:LCF983054 LMB983053:LMB983054 LVX983053:LVX983054 MFT983053:MFT983054 MPP983053:MPP983054 MZL983053:MZL983054 NJH983053:NJH983054 NTD983053:NTD983054 OCZ983053:OCZ983054 OMV983053:OMV983054 OWR983053:OWR983054 PGN983053:PGN983054 PQJ983053:PQJ983054 QAF983053:QAF983054 QKB983053:QKB983054 QTX983053:QTX983054 RDT983053:RDT983054 RNP983053:RNP983054 RXL983053:RXL983054 SHH983053:SHH983054 SRD983053:SRD983054 TAZ983053:TAZ983054 TKV983053:TKV983054 TUR983053:TUR983054 UEN983053:UEN983054 UOJ983053:UOJ983054 UYF983053:UYF983054 VIB983053:VIB983054 VRX983053:VRX983054 WBT983053:WBT983054 WLP983053:WLP983054 WVL983053:WVL983054 D143 IZ143 SV143 ACR143 AMN143 AWJ143 BGF143 BQB143 BZX143 CJT143 CTP143 DDL143 DNH143 DXD143 EGZ143 EQV143 FAR143 FKN143 FUJ143 GEF143 GOB143 GXX143 HHT143 HRP143 IBL143 ILH143 IVD143 JEZ143 JOV143 JYR143 KIN143 KSJ143 LCF143 LMB143 LVX143 MFT143 MPP143 MZL143 NJH143 NTD143 OCZ143 OMV143 OWR143 PGN143 PQJ143 QAF143 QKB143 QTX143 RDT143 RNP143 RXL143 SHH143 SRD143 TAZ143 TKV143 TUR143 UEN143 UOJ143 UYF143 VIB143 VRX143 WBT143 WLP143 WVL143 D65683 IZ65683 SV65683 ACR65683 AMN65683 AWJ65683 BGF65683 BQB65683 BZX65683 CJT65683 CTP65683 DDL65683 DNH65683 DXD65683 EGZ65683 EQV65683 FAR65683 FKN65683 FUJ65683 GEF65683 GOB65683 GXX65683 HHT65683 HRP65683 IBL65683 ILH65683 IVD65683 JEZ65683 JOV65683 JYR65683 KIN65683 KSJ65683 LCF65683 LMB65683 LVX65683 MFT65683 MPP65683 MZL65683 NJH65683 NTD65683 OCZ65683 OMV65683 OWR65683 PGN65683 PQJ65683 QAF65683 QKB65683 QTX65683 RDT65683 RNP65683 RXL65683 SHH65683 SRD65683 TAZ65683 TKV65683 TUR65683 UEN65683 UOJ65683 UYF65683 VIB65683 VRX65683 WBT65683 WLP65683 WVL65683 D131219 IZ131219 SV131219 ACR131219 AMN131219 AWJ131219 BGF131219 BQB131219 BZX131219 CJT131219 CTP131219 DDL131219 DNH131219 DXD131219 EGZ131219 EQV131219 FAR131219 FKN131219 FUJ131219 GEF131219 GOB131219 GXX131219 HHT131219 HRP131219 IBL131219 ILH131219 IVD131219 JEZ131219 JOV131219 JYR131219 KIN131219 KSJ131219 LCF131219 LMB131219 LVX131219 MFT131219 MPP131219 MZL131219 NJH131219 NTD131219 OCZ131219 OMV131219 OWR131219 PGN131219 PQJ131219 QAF131219 QKB131219 QTX131219 RDT131219 RNP131219 RXL131219 SHH131219 SRD131219 TAZ131219 TKV131219 TUR131219 UEN131219 UOJ131219 UYF131219 VIB131219 VRX131219 WBT131219 WLP131219 WVL131219 D196755 IZ196755 SV196755 ACR196755 AMN196755 AWJ196755 BGF196755 BQB196755 BZX196755 CJT196755 CTP196755 DDL196755 DNH196755 DXD196755 EGZ196755 EQV196755 FAR196755 FKN196755 FUJ196755 GEF196755 GOB196755 GXX196755 HHT196755 HRP196755 IBL196755 ILH196755 IVD196755 JEZ196755 JOV196755 JYR196755 KIN196755 KSJ196755 LCF196755 LMB196755 LVX196755 MFT196755 MPP196755 MZL196755 NJH196755 NTD196755 OCZ196755 OMV196755 OWR196755 PGN196755 PQJ196755 QAF196755 QKB196755 QTX196755 RDT196755 RNP196755 RXL196755 SHH196755 SRD196755 TAZ196755 TKV196755 TUR196755 UEN196755 UOJ196755 UYF196755 VIB196755 VRX196755 WBT196755 WLP196755 WVL196755 D262291 IZ262291 SV262291 ACR262291 AMN262291 AWJ262291 BGF262291 BQB262291 BZX262291 CJT262291 CTP262291 DDL262291 DNH262291 DXD262291 EGZ262291 EQV262291 FAR262291 FKN262291 FUJ262291 GEF262291 GOB262291 GXX262291 HHT262291 HRP262291 IBL262291 ILH262291 IVD262291 JEZ262291 JOV262291 JYR262291 KIN262291 KSJ262291 LCF262291 LMB262291 LVX262291 MFT262291 MPP262291 MZL262291 NJH262291 NTD262291 OCZ262291 OMV262291 OWR262291 PGN262291 PQJ262291 QAF262291 QKB262291 QTX262291 RDT262291 RNP262291 RXL262291 SHH262291 SRD262291 TAZ262291 TKV262291 TUR262291 UEN262291 UOJ262291 UYF262291 VIB262291 VRX262291 WBT262291 WLP262291 WVL262291 D327827 IZ327827 SV327827 ACR327827 AMN327827 AWJ327827 BGF327827 BQB327827 BZX327827 CJT327827 CTP327827 DDL327827 DNH327827 DXD327827 EGZ327827 EQV327827 FAR327827 FKN327827 FUJ327827 GEF327827 GOB327827 GXX327827 HHT327827 HRP327827 IBL327827 ILH327827 IVD327827 JEZ327827 JOV327827 JYR327827 KIN327827 KSJ327827 LCF327827 LMB327827 LVX327827 MFT327827 MPP327827 MZL327827 NJH327827 NTD327827 OCZ327827 OMV327827 OWR327827 PGN327827 PQJ327827 QAF327827 QKB327827 QTX327827 RDT327827 RNP327827 RXL327827 SHH327827 SRD327827 TAZ327827 TKV327827 TUR327827 UEN327827 UOJ327827 UYF327827 VIB327827 VRX327827 WBT327827 WLP327827 WVL327827 D393363 IZ393363 SV393363 ACR393363 AMN393363 AWJ393363 BGF393363 BQB393363 BZX393363 CJT393363 CTP393363 DDL393363 DNH393363 DXD393363 EGZ393363 EQV393363 FAR393363 FKN393363 FUJ393363 GEF393363 GOB393363 GXX393363 HHT393363 HRP393363 IBL393363 ILH393363 IVD393363 JEZ393363 JOV393363 JYR393363 KIN393363 KSJ393363 LCF393363 LMB393363 LVX393363 MFT393363 MPP393363 MZL393363 NJH393363 NTD393363 OCZ393363 OMV393363 OWR393363 PGN393363 PQJ393363 QAF393363 QKB393363 QTX393363 RDT393363 RNP393363 RXL393363 SHH393363 SRD393363 TAZ393363 TKV393363 TUR393363 UEN393363 UOJ393363 UYF393363 VIB393363 VRX393363 WBT393363 WLP393363 WVL393363 D458899 IZ458899 SV458899 ACR458899 AMN458899 AWJ458899 BGF458899 BQB458899 BZX458899 CJT458899 CTP458899 DDL458899 DNH458899 DXD458899 EGZ458899 EQV458899 FAR458899 FKN458899 FUJ458899 GEF458899 GOB458899 GXX458899 HHT458899 HRP458899 IBL458899 ILH458899 IVD458899 JEZ458899 JOV458899 JYR458899 KIN458899 KSJ458899 LCF458899 LMB458899 LVX458899 MFT458899 MPP458899 MZL458899 NJH458899 NTD458899 OCZ458899 OMV458899 OWR458899 PGN458899 PQJ458899 QAF458899 QKB458899 QTX458899 RDT458899 RNP458899 RXL458899 SHH458899 SRD458899 TAZ458899 TKV458899 TUR458899 UEN458899 UOJ458899 UYF458899 VIB458899 VRX458899 WBT458899 WLP458899 WVL458899 D524435 IZ524435 SV524435 ACR524435 AMN524435 AWJ524435 BGF524435 BQB524435 BZX524435 CJT524435 CTP524435 DDL524435 DNH524435 DXD524435 EGZ524435 EQV524435 FAR524435 FKN524435 FUJ524435 GEF524435 GOB524435 GXX524435 HHT524435 HRP524435 IBL524435 ILH524435 IVD524435 JEZ524435 JOV524435 JYR524435 KIN524435 KSJ524435 LCF524435 LMB524435 LVX524435 MFT524435 MPP524435 MZL524435 NJH524435 NTD524435 OCZ524435 OMV524435 OWR524435 PGN524435 PQJ524435 QAF524435 QKB524435 QTX524435 RDT524435 RNP524435 RXL524435 SHH524435 SRD524435 TAZ524435 TKV524435 TUR524435 UEN524435 UOJ524435 UYF524435 VIB524435 VRX524435 WBT524435 WLP524435 WVL524435 D589971 IZ589971 SV589971 ACR589971 AMN589971 AWJ589971 BGF589971 BQB589971 BZX589971 CJT589971 CTP589971 DDL589971 DNH589971 DXD589971 EGZ589971 EQV589971 FAR589971 FKN589971 FUJ589971 GEF589971 GOB589971 GXX589971 HHT589971 HRP589971 IBL589971 ILH589971 IVD589971 JEZ589971 JOV589971 JYR589971 KIN589971 KSJ589971 LCF589971 LMB589971 LVX589971 MFT589971 MPP589971 MZL589971 NJH589971 NTD589971 OCZ589971 OMV589971 OWR589971 PGN589971 PQJ589971 QAF589971 QKB589971 QTX589971 RDT589971 RNP589971 RXL589971 SHH589971 SRD589971 TAZ589971 TKV589971 TUR589971 UEN589971 UOJ589971 UYF589971 VIB589971 VRX589971 WBT589971 WLP589971 WVL589971 D655507 IZ655507 SV655507 ACR655507 AMN655507 AWJ655507 BGF655507 BQB655507 BZX655507 CJT655507 CTP655507 DDL655507 DNH655507 DXD655507 EGZ655507 EQV655507 FAR655507 FKN655507 FUJ655507 GEF655507 GOB655507 GXX655507 HHT655507 HRP655507 IBL655507 ILH655507 IVD655507 JEZ655507 JOV655507 JYR655507 KIN655507 KSJ655507 LCF655507 LMB655507 LVX655507 MFT655507 MPP655507 MZL655507 NJH655507 NTD655507 OCZ655507 OMV655507 OWR655507 PGN655507 PQJ655507 QAF655507 QKB655507 QTX655507 RDT655507 RNP655507 RXL655507 SHH655507 SRD655507 TAZ655507 TKV655507 TUR655507 UEN655507 UOJ655507 UYF655507 VIB655507 VRX655507 WBT655507 WLP655507 WVL655507 D721043 IZ721043 SV721043 ACR721043 AMN721043 AWJ721043 BGF721043 BQB721043 BZX721043 CJT721043 CTP721043 DDL721043 DNH721043 DXD721043 EGZ721043 EQV721043 FAR721043 FKN721043 FUJ721043 GEF721043 GOB721043 GXX721043 HHT721043 HRP721043 IBL721043 ILH721043 IVD721043 JEZ721043 JOV721043 JYR721043 KIN721043 KSJ721043 LCF721043 LMB721043 LVX721043 MFT721043 MPP721043 MZL721043 NJH721043 NTD721043 OCZ721043 OMV721043 OWR721043 PGN721043 PQJ721043 QAF721043 QKB721043 QTX721043 RDT721043 RNP721043 RXL721043 SHH721043 SRD721043 TAZ721043 TKV721043 TUR721043 UEN721043 UOJ721043 UYF721043 VIB721043 VRX721043 WBT721043 WLP721043 WVL721043 D786579 IZ786579 SV786579 ACR786579 AMN786579 AWJ786579 BGF786579 BQB786579 BZX786579 CJT786579 CTP786579 DDL786579 DNH786579 DXD786579 EGZ786579 EQV786579 FAR786579 FKN786579 FUJ786579 GEF786579 GOB786579 GXX786579 HHT786579 HRP786579 IBL786579 ILH786579 IVD786579 JEZ786579 JOV786579 JYR786579 KIN786579 KSJ786579 LCF786579 LMB786579 LVX786579 MFT786579 MPP786579 MZL786579 NJH786579 NTD786579 OCZ786579 OMV786579 OWR786579 PGN786579 PQJ786579 QAF786579 QKB786579 QTX786579 RDT786579 RNP786579 RXL786579 SHH786579 SRD786579 TAZ786579 TKV786579 TUR786579 UEN786579 UOJ786579 UYF786579 VIB786579 VRX786579 WBT786579 WLP786579 WVL786579 D852115 IZ852115 SV852115 ACR852115 AMN852115 AWJ852115 BGF852115 BQB852115 BZX852115 CJT852115 CTP852115 DDL852115 DNH852115 DXD852115 EGZ852115 EQV852115 FAR852115 FKN852115 FUJ852115 GEF852115 GOB852115 GXX852115 HHT852115 HRP852115 IBL852115 ILH852115 IVD852115 JEZ852115 JOV852115 JYR852115 KIN852115 KSJ852115 LCF852115 LMB852115 LVX852115 MFT852115 MPP852115 MZL852115 NJH852115 NTD852115 OCZ852115 OMV852115 OWR852115 PGN852115 PQJ852115 QAF852115 QKB852115 QTX852115 RDT852115 RNP852115 RXL852115 SHH852115 SRD852115 TAZ852115 TKV852115 TUR852115 UEN852115 UOJ852115 UYF852115 VIB852115 VRX852115 WBT852115 WLP852115 WVL852115 D917651 IZ917651 SV917651 ACR917651 AMN917651 AWJ917651 BGF917651 BQB917651 BZX917651 CJT917651 CTP917651 DDL917651 DNH917651 DXD917651 EGZ917651 EQV917651 FAR917651 FKN917651 FUJ917651 GEF917651 GOB917651 GXX917651 HHT917651 HRP917651 IBL917651 ILH917651 IVD917651 JEZ917651 JOV917651 JYR917651 KIN917651 KSJ917651 LCF917651 LMB917651 LVX917651 MFT917651 MPP917651 MZL917651 NJH917651 NTD917651 OCZ917651 OMV917651 OWR917651 PGN917651 PQJ917651 QAF917651 QKB917651 QTX917651 RDT917651 RNP917651 RXL917651 SHH917651 SRD917651 TAZ917651 TKV917651 TUR917651 UEN917651 UOJ917651 UYF917651 VIB917651 VRX917651 WBT917651 WLP917651 WVL917651 D983187 IZ983187 SV983187 ACR983187 AMN983187 AWJ983187 BGF983187 BQB983187 BZX983187 CJT983187 CTP983187 DDL983187 DNH983187 DXD983187 EGZ983187 EQV983187 FAR983187 FKN983187 FUJ983187 GEF983187 GOB983187 GXX983187 HHT983187 HRP983187 IBL983187 ILH983187 IVD983187 JEZ983187 JOV983187 JYR983187 KIN983187 KSJ983187 LCF983187 LMB983187 LVX983187 MFT983187 MPP983187 MZL983187 NJH983187 NTD983187 OCZ983187 OMV983187 OWR983187 PGN983187 PQJ983187 QAF983187 QKB983187 QTX983187 RDT983187 RNP983187 RXL983187 SHH983187 SRD983187 TAZ983187 TKV983187 TUR983187 UEN983187 UOJ983187 UYF983187 VIB983187 VRX983187 WBT983187 WLP983187 WVL983187 D458 IZ458 SV458 ACR458 AMN458 AWJ458 BGF458 BQB458 BZX458 CJT458 CTP458 DDL458 DNH458 DXD458 EGZ458 EQV458 FAR458 FKN458 FUJ458 GEF458 GOB458 GXX458 HHT458 HRP458 IBL458 ILH458 IVD458 JEZ458 JOV458 JYR458 KIN458 KSJ458 LCF458 LMB458 LVX458 MFT458 MPP458 MZL458 NJH458 NTD458 OCZ458 OMV458 OWR458 PGN458 PQJ458 QAF458 QKB458 QTX458 RDT458 RNP458 RXL458 SHH458 SRD458 TAZ458 TKV458 TUR458 UEN458 UOJ458 UYF458 VIB458 VRX458 WBT458 WLP458 WVL458 D65994 IZ65994 SV65994 ACR65994 AMN65994 AWJ65994 BGF65994 BQB65994 BZX65994 CJT65994 CTP65994 DDL65994 DNH65994 DXD65994 EGZ65994 EQV65994 FAR65994 FKN65994 FUJ65994 GEF65994 GOB65994 GXX65994 HHT65994 HRP65994 IBL65994 ILH65994 IVD65994 JEZ65994 JOV65994 JYR65994 KIN65994 KSJ65994 LCF65994 LMB65994 LVX65994 MFT65994 MPP65994 MZL65994 NJH65994 NTD65994 OCZ65994 OMV65994 OWR65994 PGN65994 PQJ65994 QAF65994 QKB65994 QTX65994 RDT65994 RNP65994 RXL65994 SHH65994 SRD65994 TAZ65994 TKV65994 TUR65994 UEN65994 UOJ65994 UYF65994 VIB65994 VRX65994 WBT65994 WLP65994 WVL65994 D131530 IZ131530 SV131530 ACR131530 AMN131530 AWJ131530 BGF131530 BQB131530 BZX131530 CJT131530 CTP131530 DDL131530 DNH131530 DXD131530 EGZ131530 EQV131530 FAR131530 FKN131530 FUJ131530 GEF131530 GOB131530 GXX131530 HHT131530 HRP131530 IBL131530 ILH131530 IVD131530 JEZ131530 JOV131530 JYR131530 KIN131530 KSJ131530 LCF131530 LMB131530 LVX131530 MFT131530 MPP131530 MZL131530 NJH131530 NTD131530 OCZ131530 OMV131530 OWR131530 PGN131530 PQJ131530 QAF131530 QKB131530 QTX131530 RDT131530 RNP131530 RXL131530 SHH131530 SRD131530 TAZ131530 TKV131530 TUR131530 UEN131530 UOJ131530 UYF131530 VIB131530 VRX131530 WBT131530 WLP131530 WVL131530 D197066 IZ197066 SV197066 ACR197066 AMN197066 AWJ197066 BGF197066 BQB197066 BZX197066 CJT197066 CTP197066 DDL197066 DNH197066 DXD197066 EGZ197066 EQV197066 FAR197066 FKN197066 FUJ197066 GEF197066 GOB197066 GXX197066 HHT197066 HRP197066 IBL197066 ILH197066 IVD197066 JEZ197066 JOV197066 JYR197066 KIN197066 KSJ197066 LCF197066 LMB197066 LVX197066 MFT197066 MPP197066 MZL197066 NJH197066 NTD197066 OCZ197066 OMV197066 OWR197066 PGN197066 PQJ197066 QAF197066 QKB197066 QTX197066 RDT197066 RNP197066 RXL197066 SHH197066 SRD197066 TAZ197066 TKV197066 TUR197066 UEN197066 UOJ197066 UYF197066 VIB197066 VRX197066 WBT197066 WLP197066 WVL197066 D262602 IZ262602 SV262602 ACR262602 AMN262602 AWJ262602 BGF262602 BQB262602 BZX262602 CJT262602 CTP262602 DDL262602 DNH262602 DXD262602 EGZ262602 EQV262602 FAR262602 FKN262602 FUJ262602 GEF262602 GOB262602 GXX262602 HHT262602 HRP262602 IBL262602 ILH262602 IVD262602 JEZ262602 JOV262602 JYR262602 KIN262602 KSJ262602 LCF262602 LMB262602 LVX262602 MFT262602 MPP262602 MZL262602 NJH262602 NTD262602 OCZ262602 OMV262602 OWR262602 PGN262602 PQJ262602 QAF262602 QKB262602 QTX262602 RDT262602 RNP262602 RXL262602 SHH262602 SRD262602 TAZ262602 TKV262602 TUR262602 UEN262602 UOJ262602 UYF262602 VIB262602 VRX262602 WBT262602 WLP262602 WVL262602 D328138 IZ328138 SV328138 ACR328138 AMN328138 AWJ328138 BGF328138 BQB328138 BZX328138 CJT328138 CTP328138 DDL328138 DNH328138 DXD328138 EGZ328138 EQV328138 FAR328138 FKN328138 FUJ328138 GEF328138 GOB328138 GXX328138 HHT328138 HRP328138 IBL328138 ILH328138 IVD328138 JEZ328138 JOV328138 JYR328138 KIN328138 KSJ328138 LCF328138 LMB328138 LVX328138 MFT328138 MPP328138 MZL328138 NJH328138 NTD328138 OCZ328138 OMV328138 OWR328138 PGN328138 PQJ328138 QAF328138 QKB328138 QTX328138 RDT328138 RNP328138 RXL328138 SHH328138 SRD328138 TAZ328138 TKV328138 TUR328138 UEN328138 UOJ328138 UYF328138 VIB328138 VRX328138 WBT328138 WLP328138 WVL328138 D393674 IZ393674 SV393674 ACR393674 AMN393674 AWJ393674 BGF393674 BQB393674 BZX393674 CJT393674 CTP393674 DDL393674 DNH393674 DXD393674 EGZ393674 EQV393674 FAR393674 FKN393674 FUJ393674 GEF393674 GOB393674 GXX393674 HHT393674 HRP393674 IBL393674 ILH393674 IVD393674 JEZ393674 JOV393674 JYR393674 KIN393674 KSJ393674 LCF393674 LMB393674 LVX393674 MFT393674 MPP393674 MZL393674 NJH393674 NTD393674 OCZ393674 OMV393674 OWR393674 PGN393674 PQJ393674 QAF393674 QKB393674 QTX393674 RDT393674 RNP393674 RXL393674 SHH393674 SRD393674 TAZ393674 TKV393674 TUR393674 UEN393674 UOJ393674 UYF393674 VIB393674 VRX393674 WBT393674 WLP393674 WVL393674 D459210 IZ459210 SV459210 ACR459210 AMN459210 AWJ459210 BGF459210 BQB459210 BZX459210 CJT459210 CTP459210 DDL459210 DNH459210 DXD459210 EGZ459210 EQV459210 FAR459210 FKN459210 FUJ459210 GEF459210 GOB459210 GXX459210 HHT459210 HRP459210 IBL459210 ILH459210 IVD459210 JEZ459210 JOV459210 JYR459210 KIN459210 KSJ459210 LCF459210 LMB459210 LVX459210 MFT459210 MPP459210 MZL459210 NJH459210 NTD459210 OCZ459210 OMV459210 OWR459210 PGN459210 PQJ459210 QAF459210 QKB459210 QTX459210 RDT459210 RNP459210 RXL459210 SHH459210 SRD459210 TAZ459210 TKV459210 TUR459210 UEN459210 UOJ459210 UYF459210 VIB459210 VRX459210 WBT459210 WLP459210 WVL459210 D524746 IZ524746 SV524746 ACR524746 AMN524746 AWJ524746 BGF524746 BQB524746 BZX524746 CJT524746 CTP524746 DDL524746 DNH524746 DXD524746 EGZ524746 EQV524746 FAR524746 FKN524746 FUJ524746 GEF524746 GOB524746 GXX524746 HHT524746 HRP524746 IBL524746 ILH524746 IVD524746 JEZ524746 JOV524746 JYR524746 KIN524746 KSJ524746 LCF524746 LMB524746 LVX524746 MFT524746 MPP524746 MZL524746 NJH524746 NTD524746 OCZ524746 OMV524746 OWR524746 PGN524746 PQJ524746 QAF524746 QKB524746 QTX524746 RDT524746 RNP524746 RXL524746 SHH524746 SRD524746 TAZ524746 TKV524746 TUR524746 UEN524746 UOJ524746 UYF524746 VIB524746 VRX524746 WBT524746 WLP524746 WVL524746 D590282 IZ590282 SV590282 ACR590282 AMN590282 AWJ590282 BGF590282 BQB590282 BZX590282 CJT590282 CTP590282 DDL590282 DNH590282 DXD590282 EGZ590282 EQV590282 FAR590282 FKN590282 FUJ590282 GEF590282 GOB590282 GXX590282 HHT590282 HRP590282 IBL590282 ILH590282 IVD590282 JEZ590282 JOV590282 JYR590282 KIN590282 KSJ590282 LCF590282 LMB590282 LVX590282 MFT590282 MPP590282 MZL590282 NJH590282 NTD590282 OCZ590282 OMV590282 OWR590282 PGN590282 PQJ590282 QAF590282 QKB590282 QTX590282 RDT590282 RNP590282 RXL590282 SHH590282 SRD590282 TAZ590282 TKV590282 TUR590282 UEN590282 UOJ590282 UYF590282 VIB590282 VRX590282 WBT590282 WLP590282 WVL590282 D655818 IZ655818 SV655818 ACR655818 AMN655818 AWJ655818 BGF655818 BQB655818 BZX655818 CJT655818 CTP655818 DDL655818 DNH655818 DXD655818 EGZ655818 EQV655818 FAR655818 FKN655818 FUJ655818 GEF655818 GOB655818 GXX655818 HHT655818 HRP655818 IBL655818 ILH655818 IVD655818 JEZ655818 JOV655818 JYR655818 KIN655818 KSJ655818 LCF655818 LMB655818 LVX655818 MFT655818 MPP655818 MZL655818 NJH655818 NTD655818 OCZ655818 OMV655818 OWR655818 PGN655818 PQJ655818 QAF655818 QKB655818 QTX655818 RDT655818 RNP655818 RXL655818 SHH655818 SRD655818 TAZ655818 TKV655818 TUR655818 UEN655818 UOJ655818 UYF655818 VIB655818 VRX655818 WBT655818 WLP655818 WVL655818 D721354 IZ721354 SV721354 ACR721354 AMN721354 AWJ721354 BGF721354 BQB721354 BZX721354 CJT721354 CTP721354 DDL721354 DNH721354 DXD721354 EGZ721354 EQV721354 FAR721354 FKN721354 FUJ721354 GEF721354 GOB721354 GXX721354 HHT721354 HRP721354 IBL721354 ILH721354 IVD721354 JEZ721354 JOV721354 JYR721354 KIN721354 KSJ721354 LCF721354 LMB721354 LVX721354 MFT721354 MPP721354 MZL721354 NJH721354 NTD721354 OCZ721354 OMV721354 OWR721354 PGN721354 PQJ721354 QAF721354 QKB721354 QTX721354 RDT721354 RNP721354 RXL721354 SHH721354 SRD721354 TAZ721354 TKV721354 TUR721354 UEN721354 UOJ721354 UYF721354 VIB721354 VRX721354 WBT721354 WLP721354 WVL721354 D786890 IZ786890 SV786890 ACR786890 AMN786890 AWJ786890 BGF786890 BQB786890 BZX786890 CJT786890 CTP786890 DDL786890 DNH786890 DXD786890 EGZ786890 EQV786890 FAR786890 FKN786890 FUJ786890 GEF786890 GOB786890 GXX786890 HHT786890 HRP786890 IBL786890 ILH786890 IVD786890 JEZ786890 JOV786890 JYR786890 KIN786890 KSJ786890 LCF786890 LMB786890 LVX786890 MFT786890 MPP786890 MZL786890 NJH786890 NTD786890 OCZ786890 OMV786890 OWR786890 PGN786890 PQJ786890 QAF786890 QKB786890 QTX786890 RDT786890 RNP786890 RXL786890 SHH786890 SRD786890 TAZ786890 TKV786890 TUR786890 UEN786890 UOJ786890 UYF786890 VIB786890 VRX786890 WBT786890 WLP786890 WVL786890 D852426 IZ852426 SV852426 ACR852426 AMN852426 AWJ852426 BGF852426 BQB852426 BZX852426 CJT852426 CTP852426 DDL852426 DNH852426 DXD852426 EGZ852426 EQV852426 FAR852426 FKN852426 FUJ852426 GEF852426 GOB852426 GXX852426 HHT852426 HRP852426 IBL852426 ILH852426 IVD852426 JEZ852426 JOV852426 JYR852426 KIN852426 KSJ852426 LCF852426 LMB852426 LVX852426 MFT852426 MPP852426 MZL852426 NJH852426 NTD852426 OCZ852426 OMV852426 OWR852426 PGN852426 PQJ852426 QAF852426 QKB852426 QTX852426 RDT852426 RNP852426 RXL852426 SHH852426 SRD852426 TAZ852426 TKV852426 TUR852426 UEN852426 UOJ852426 UYF852426 VIB852426 VRX852426 WBT852426 WLP852426 WVL852426 D917962 IZ917962 SV917962 ACR917962 AMN917962 AWJ917962 BGF917962 BQB917962 BZX917962 CJT917962 CTP917962 DDL917962 DNH917962 DXD917962 EGZ917962 EQV917962 FAR917962 FKN917962 FUJ917962 GEF917962 GOB917962 GXX917962 HHT917962 HRP917962 IBL917962 ILH917962 IVD917962 JEZ917962 JOV917962 JYR917962 KIN917962 KSJ917962 LCF917962 LMB917962 LVX917962 MFT917962 MPP917962 MZL917962 NJH917962 NTD917962 OCZ917962 OMV917962 OWR917962 PGN917962 PQJ917962 QAF917962 QKB917962 QTX917962 RDT917962 RNP917962 RXL917962 SHH917962 SRD917962 TAZ917962 TKV917962 TUR917962 UEN917962 UOJ917962 UYF917962 VIB917962 VRX917962 WBT917962 WLP917962 WVL917962 D983498 IZ983498 SV983498 ACR983498 AMN983498 AWJ983498 BGF983498 BQB983498 BZX983498 CJT983498 CTP983498 DDL983498 DNH983498 DXD983498 EGZ983498 EQV983498 FAR983498 FKN983498 FUJ983498 GEF983498 GOB983498 GXX983498 HHT983498 HRP983498 IBL983498 ILH983498 IVD983498 JEZ983498 JOV983498 JYR983498 KIN983498 KSJ983498 LCF983498 LMB983498 LVX983498 MFT983498 MPP983498 MZL983498 NJH983498 NTD983498 OCZ983498 OMV983498 OWR983498 PGN983498 PQJ983498 QAF983498 QKB983498 QTX983498 RDT983498 RNP983498 RXL983498 SHH983498 SRD983498 TAZ983498 TKV983498 TUR983498 UEN983498 UOJ983498 UYF983498 VIB983498 VRX983498 WBT983498 WLP983498 WVL983498" xr:uid="{5CC234E2-64E7-4DEE-9B26-EAF7FA6A3F37}">
      <formula1>"Core1,Core2,Core3"</formula1>
    </dataValidation>
  </dataValidations>
  <printOptions horizontalCentered="1" verticalCentered="1"/>
  <pageMargins left="0.5" right="0.5" top="0.5" bottom="0.5" header="0" footer="0"/>
  <pageSetup paperSize="9" scale="95" orientation="portrait" r:id="rId1"/>
  <headerFooter alignWithMargins="0"/>
  <rowBreaks count="3" manualBreakCount="3">
    <brk id="45" max="21" man="1"/>
    <brk id="94" max="21" man="1"/>
    <brk id="411" max="21"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FC4CB-14A4-4805-ADD0-DF43A7671312}">
  <sheetPr codeName="Sheet87">
    <tabColor indexed="52"/>
  </sheetPr>
  <dimension ref="A1:AC609"/>
  <sheetViews>
    <sheetView showZeros="0" view="pageBreakPreview" zoomScale="130" zoomScaleNormal="100" zoomScaleSheetLayoutView="130" workbookViewId="0">
      <selection activeCell="Q15" sqref="Q15"/>
    </sheetView>
  </sheetViews>
  <sheetFormatPr defaultColWidth="4.33203125" defaultRowHeight="18" customHeight="1"/>
  <cols>
    <col min="1" max="16384" width="4.33203125" style="30"/>
  </cols>
  <sheetData>
    <row r="1" spans="1:29"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05" t="str">
        <f>Title!R1</f>
        <v>N-19957.1-DF5W</v>
      </c>
      <c r="S1" s="706"/>
      <c r="T1" s="706"/>
      <c r="U1" s="706"/>
      <c r="V1" s="707"/>
      <c r="W1" s="14"/>
      <c r="X1" s="14"/>
    </row>
    <row r="2" spans="1:29" ht="18" customHeight="1">
      <c r="A2" s="720"/>
      <c r="B2" s="721"/>
      <c r="C2" s="721"/>
      <c r="D2" s="721"/>
      <c r="E2" s="721"/>
      <c r="F2" s="721"/>
      <c r="G2" s="722"/>
      <c r="H2" s="729" t="str">
        <f>Title!H2</f>
        <v>ADEQUACY CHECK</v>
      </c>
      <c r="I2" s="730"/>
      <c r="J2" s="730"/>
      <c r="K2" s="730"/>
      <c r="L2" s="730"/>
      <c r="M2" s="730"/>
      <c r="N2" s="731"/>
      <c r="O2" s="702" t="str">
        <f>Title!O2</f>
        <v>Date</v>
      </c>
      <c r="P2" s="703"/>
      <c r="Q2" s="704"/>
      <c r="R2" s="732">
        <f>Title!R2</f>
        <v>46106</v>
      </c>
      <c r="S2" s="733"/>
      <c r="T2" s="733"/>
      <c r="U2" s="733"/>
      <c r="V2" s="734"/>
      <c r="W2" s="14"/>
      <c r="X2" s="14"/>
    </row>
    <row r="3" spans="1:29"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5" t="str">
        <f>Title!R3</f>
        <v>-</v>
      </c>
      <c r="S3" s="706"/>
      <c r="T3" s="706"/>
      <c r="U3" s="706"/>
      <c r="V3" s="707"/>
      <c r="W3" s="14"/>
      <c r="X3" s="14"/>
    </row>
    <row r="4" spans="1:29"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14"/>
      <c r="X4" s="14"/>
    </row>
    <row r="5" spans="1:29" ht="18" customHeight="1">
      <c r="A5" s="708" t="str">
        <f>Title!A5</f>
        <v>Prep. By</v>
      </c>
      <c r="B5" s="709"/>
      <c r="C5" s="25" t="str">
        <f>Title!C5</f>
        <v>AP</v>
      </c>
      <c r="D5" s="708" t="str">
        <f>Title!D5</f>
        <v>Checked By</v>
      </c>
      <c r="E5" s="710"/>
      <c r="F5" s="709"/>
      <c r="G5" s="25" t="str">
        <f>Title!G5</f>
        <v>RB</v>
      </c>
      <c r="H5" s="711" t="s">
        <v>658</v>
      </c>
      <c r="I5" s="712"/>
      <c r="J5" s="712"/>
      <c r="K5" s="712"/>
      <c r="L5" s="712"/>
      <c r="M5" s="712"/>
      <c r="N5" s="713"/>
      <c r="O5" s="714" t="str">
        <f>Title!O5</f>
        <v>Contractor</v>
      </c>
      <c r="P5" s="715"/>
      <c r="Q5" s="716"/>
      <c r="R5" s="705" t="str">
        <f>Title!R5</f>
        <v>HITACHI</v>
      </c>
      <c r="S5" s="706"/>
      <c r="T5" s="706"/>
      <c r="U5" s="706"/>
      <c r="V5" s="707"/>
      <c r="W5" s="14"/>
      <c r="X5" s="14"/>
    </row>
    <row r="6" spans="1:29" ht="18" customHeight="1">
      <c r="A6" s="196"/>
      <c r="V6" s="197"/>
    </row>
    <row r="7" spans="1:29" ht="18" customHeight="1">
      <c r="A7" s="196"/>
      <c r="B7" s="656" t="s">
        <v>120</v>
      </c>
      <c r="C7" s="657"/>
      <c r="D7" s="696" t="s">
        <v>517</v>
      </c>
      <c r="E7" s="698"/>
      <c r="F7" s="198"/>
      <c r="H7" s="638" t="s">
        <v>605</v>
      </c>
      <c r="I7" s="639"/>
      <c r="J7" s="639"/>
      <c r="K7" s="639"/>
      <c r="L7" s="639"/>
      <c r="M7" s="639"/>
      <c r="P7" s="198"/>
      <c r="S7" s="199" t="s">
        <v>398</v>
      </c>
      <c r="T7" s="1131" t="s">
        <v>239</v>
      </c>
      <c r="U7" s="1132"/>
      <c r="V7" s="197"/>
    </row>
    <row r="8" spans="1:29" ht="18" customHeight="1">
      <c r="A8" s="196"/>
      <c r="B8" s="894"/>
      <c r="C8" s="894"/>
      <c r="D8" s="699"/>
      <c r="E8" s="700"/>
      <c r="F8" s="267"/>
      <c r="T8" s="1131"/>
      <c r="U8" s="1132"/>
      <c r="V8" s="197"/>
    </row>
    <row r="9" spans="1:29" ht="18" customHeight="1">
      <c r="A9" s="1153"/>
      <c r="B9" s="1154"/>
      <c r="C9" s="1154"/>
      <c r="D9" s="639"/>
      <c r="H9" s="662" t="s">
        <v>401</v>
      </c>
      <c r="I9" s="662"/>
      <c r="J9" s="661" t="s">
        <v>402</v>
      </c>
      <c r="K9" s="661"/>
      <c r="L9" s="661" t="s">
        <v>403</v>
      </c>
      <c r="M9" s="661"/>
      <c r="T9" s="1131"/>
      <c r="U9" s="1132"/>
      <c r="V9" s="197"/>
    </row>
    <row r="10" spans="1:29" ht="18" customHeight="1">
      <c r="A10" s="196"/>
      <c r="B10" s="47" t="s">
        <v>404</v>
      </c>
      <c r="H10" s="692">
        <v>3150</v>
      </c>
      <c r="I10" s="693"/>
      <c r="J10" s="656">
        <v>2000</v>
      </c>
      <c r="K10" s="657"/>
      <c r="L10" s="656" t="s">
        <v>7</v>
      </c>
      <c r="M10" s="657"/>
      <c r="N10" s="203" t="s">
        <v>353</v>
      </c>
      <c r="O10" s="125">
        <v>1</v>
      </c>
      <c r="P10" s="27" t="s">
        <v>9</v>
      </c>
      <c r="V10" s="197"/>
    </row>
    <row r="11" spans="1:29" ht="18" customHeight="1">
      <c r="A11" s="196"/>
      <c r="B11" s="47" t="s">
        <v>405</v>
      </c>
      <c r="H11" s="656" t="s">
        <v>406</v>
      </c>
      <c r="I11" s="1152"/>
      <c r="V11" s="197"/>
    </row>
    <row r="12" spans="1:29" ht="18" customHeight="1">
      <c r="A12" s="196"/>
      <c r="B12" s="47" t="s">
        <v>407</v>
      </c>
      <c r="G12" s="120" t="s">
        <v>508</v>
      </c>
      <c r="H12" s="656">
        <v>9</v>
      </c>
      <c r="I12" s="657"/>
      <c r="J12" s="204" t="s">
        <v>344</v>
      </c>
      <c r="V12" s="197"/>
    </row>
    <row r="13" spans="1:29" ht="18" customHeight="1">
      <c r="A13" s="196"/>
      <c r="B13" s="47" t="s">
        <v>409</v>
      </c>
      <c r="G13" s="120" t="s">
        <v>509</v>
      </c>
      <c r="H13" s="656">
        <v>800</v>
      </c>
      <c r="I13" s="657"/>
      <c r="J13" s="14" t="s">
        <v>316</v>
      </c>
      <c r="V13" s="197"/>
      <c r="W13" s="30" t="s">
        <v>411</v>
      </c>
      <c r="AB13" s="996">
        <f>D68</f>
        <v>189.94053251743898</v>
      </c>
      <c r="AC13" s="997"/>
    </row>
    <row r="14" spans="1:29" ht="18" customHeight="1">
      <c r="A14" s="196"/>
      <c r="B14" s="14" t="s">
        <v>412</v>
      </c>
      <c r="G14" s="120" t="s">
        <v>413</v>
      </c>
      <c r="H14" s="656">
        <v>30</v>
      </c>
      <c r="I14" s="657"/>
      <c r="J14" s="30" t="s">
        <v>414</v>
      </c>
      <c r="V14" s="197"/>
    </row>
    <row r="15" spans="1:29" ht="18" customHeight="1">
      <c r="A15" s="96"/>
      <c r="V15" s="197"/>
    </row>
    <row r="16" spans="1:29" ht="18" customHeight="1">
      <c r="A16" s="205" t="s">
        <v>415</v>
      </c>
      <c r="V16" s="197"/>
    </row>
    <row r="17" spans="1:22" ht="18" customHeight="1">
      <c r="A17" s="196"/>
      <c r="V17" s="197"/>
    </row>
    <row r="18" spans="1:22" ht="18" customHeight="1">
      <c r="A18" s="196"/>
      <c r="B18" s="206" t="s">
        <v>416</v>
      </c>
      <c r="C18" s="207"/>
      <c r="D18" s="207" t="str">
        <f>T7</f>
        <v>SEL487E</v>
      </c>
      <c r="E18" s="208"/>
      <c r="F18" s="208"/>
      <c r="G18" s="208"/>
      <c r="H18" s="194" t="s">
        <v>417</v>
      </c>
      <c r="I18" s="195" t="s">
        <v>138</v>
      </c>
      <c r="J18" s="1150">
        <f>'CT-VT Burdens'!Q75</f>
        <v>0.1</v>
      </c>
      <c r="K18" s="1151"/>
      <c r="L18" s="3" t="s">
        <v>168</v>
      </c>
      <c r="V18" s="197"/>
    </row>
    <row r="19" spans="1:22" ht="18" customHeight="1">
      <c r="A19" s="196"/>
      <c r="B19" s="196" t="s">
        <v>416</v>
      </c>
      <c r="D19" s="30">
        <f>T8</f>
        <v>0</v>
      </c>
      <c r="H19" s="27"/>
      <c r="I19" s="189" t="s">
        <v>138</v>
      </c>
      <c r="J19" s="1121"/>
      <c r="K19" s="687"/>
      <c r="L19" s="210" t="s">
        <v>168</v>
      </c>
      <c r="V19" s="197"/>
    </row>
    <row r="20" spans="1:22" ht="18" customHeight="1">
      <c r="A20" s="196"/>
      <c r="B20" s="196" t="s">
        <v>416</v>
      </c>
      <c r="D20" s="30">
        <f>T9</f>
        <v>0</v>
      </c>
      <c r="E20" s="14"/>
      <c r="G20" s="211"/>
      <c r="H20" s="27"/>
      <c r="I20" s="189" t="s">
        <v>138</v>
      </c>
      <c r="J20" s="688"/>
      <c r="K20" s="689"/>
      <c r="L20" s="214" t="s">
        <v>168</v>
      </c>
      <c r="V20" s="197"/>
    </row>
    <row r="21" spans="1:22" ht="18" customHeight="1">
      <c r="A21" s="196"/>
      <c r="B21" s="196" t="s">
        <v>423</v>
      </c>
      <c r="H21" s="27" t="s">
        <v>610</v>
      </c>
      <c r="I21" s="189" t="s">
        <v>138</v>
      </c>
      <c r="J21" s="999">
        <f>'CT-VT Burdens'!S24</f>
        <v>1.4869257975000001</v>
      </c>
      <c r="K21" s="1122"/>
      <c r="L21" s="215" t="s">
        <v>168</v>
      </c>
      <c r="V21" s="197"/>
    </row>
    <row r="22" spans="1:22" ht="18" customHeight="1">
      <c r="A22" s="196"/>
      <c r="B22" s="217" t="s">
        <v>424</v>
      </c>
      <c r="C22" s="218"/>
      <c r="D22" s="218"/>
      <c r="E22" s="218"/>
      <c r="F22" s="219"/>
      <c r="G22" s="219"/>
      <c r="H22" s="202" t="s">
        <v>420</v>
      </c>
      <c r="I22" s="220" t="s">
        <v>138</v>
      </c>
      <c r="J22" s="897">
        <f>J18+J21</f>
        <v>1.5869257975000002</v>
      </c>
      <c r="K22" s="649"/>
      <c r="L22" s="222"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7" t="s">
        <v>660</v>
      </c>
      <c r="C25" s="27" t="s">
        <v>138</v>
      </c>
      <c r="D25" s="30" t="s">
        <v>417</v>
      </c>
      <c r="E25" s="283" t="s">
        <v>421</v>
      </c>
      <c r="F25" s="27" t="s">
        <v>157</v>
      </c>
      <c r="G25" s="28" t="s">
        <v>326</v>
      </c>
      <c r="H25" s="230" t="s">
        <v>157</v>
      </c>
      <c r="I25" s="30" t="s">
        <v>361</v>
      </c>
      <c r="J25" s="211"/>
      <c r="L25" s="47"/>
      <c r="M25" s="30" t="s">
        <v>419</v>
      </c>
      <c r="N25" s="27" t="s">
        <v>138</v>
      </c>
      <c r="O25" s="30" t="s">
        <v>420</v>
      </c>
      <c r="P25" s="203" t="s">
        <v>421</v>
      </c>
      <c r="Q25" s="256" t="s">
        <v>422</v>
      </c>
      <c r="R25" s="27" t="s">
        <v>326</v>
      </c>
      <c r="S25" s="30" t="s">
        <v>422</v>
      </c>
      <c r="T25" s="30" t="s">
        <v>361</v>
      </c>
      <c r="V25" s="197"/>
    </row>
    <row r="26" spans="1:22" ht="18" customHeight="1">
      <c r="A26" s="196"/>
      <c r="B26" s="47"/>
      <c r="C26" s="27" t="s">
        <v>138</v>
      </c>
      <c r="D26" s="216">
        <f>J18</f>
        <v>0.1</v>
      </c>
      <c r="E26" s="203" t="s">
        <v>421</v>
      </c>
      <c r="F26" s="27">
        <f>S58</f>
        <v>1</v>
      </c>
      <c r="G26" s="27" t="s">
        <v>326</v>
      </c>
      <c r="H26" s="27">
        <f>S58</f>
        <v>1</v>
      </c>
      <c r="I26" s="30" t="s">
        <v>361</v>
      </c>
      <c r="J26" s="211"/>
      <c r="L26" s="47"/>
      <c r="N26" s="27" t="s">
        <v>138</v>
      </c>
      <c r="O26" s="216">
        <f>J22</f>
        <v>1.5869257975000002</v>
      </c>
      <c r="P26" s="203" t="s">
        <v>421</v>
      </c>
      <c r="Q26" s="27">
        <f>O10</f>
        <v>1</v>
      </c>
      <c r="R26" s="27" t="s">
        <v>326</v>
      </c>
      <c r="S26" s="27">
        <f>O10</f>
        <v>1</v>
      </c>
      <c r="T26" s="30" t="s">
        <v>361</v>
      </c>
      <c r="V26" s="197"/>
    </row>
    <row r="27" spans="1:22" ht="18" customHeight="1">
      <c r="A27" s="196"/>
      <c r="B27" s="47"/>
      <c r="C27" s="27" t="s">
        <v>138</v>
      </c>
      <c r="D27" s="637">
        <f>D26/(F26*H26)</f>
        <v>0.1</v>
      </c>
      <c r="E27" s="637"/>
      <c r="F27" s="204" t="s">
        <v>344</v>
      </c>
      <c r="J27" s="211"/>
      <c r="L27" s="47"/>
      <c r="N27" s="27" t="s">
        <v>138</v>
      </c>
      <c r="O27" s="637">
        <f>O26/(Q26*S26)</f>
        <v>1.5869257975000002</v>
      </c>
      <c r="P27" s="637"/>
      <c r="Q27" s="204" t="s">
        <v>344</v>
      </c>
      <c r="V27" s="197"/>
    </row>
    <row r="28" spans="1:22" ht="18" customHeight="1">
      <c r="A28" s="196"/>
      <c r="B28" s="47"/>
      <c r="C28" s="47"/>
      <c r="D28" s="47"/>
      <c r="E28" s="47"/>
      <c r="H28" s="27"/>
      <c r="I28" s="28"/>
      <c r="J28" s="211"/>
      <c r="L28" s="47"/>
      <c r="O28" s="27"/>
      <c r="P28" s="223"/>
      <c r="Q28" s="223"/>
      <c r="R28" s="204"/>
      <c r="V28" s="197"/>
    </row>
    <row r="29" spans="1:22" ht="18" customHeight="1">
      <c r="A29" s="196"/>
      <c r="B29" s="47"/>
      <c r="C29" s="47"/>
      <c r="D29" s="47"/>
      <c r="E29" s="47"/>
      <c r="H29" s="27"/>
      <c r="I29" s="28"/>
      <c r="J29" s="211"/>
      <c r="L29" s="28"/>
      <c r="M29" s="216"/>
      <c r="N29" s="216"/>
      <c r="O29" s="27"/>
      <c r="P29" s="216"/>
      <c r="Q29" s="216"/>
      <c r="R29" s="223"/>
      <c r="S29" s="216"/>
      <c r="T29" s="216"/>
      <c r="U29" s="204"/>
      <c r="V29" s="197"/>
    </row>
    <row r="30" spans="1:22" s="14" customFormat="1" ht="18" customHeight="1">
      <c r="A30" s="205" t="s">
        <v>611</v>
      </c>
      <c r="B30" s="5"/>
      <c r="C30" s="5"/>
      <c r="D30" s="5"/>
      <c r="E30" s="5"/>
      <c r="F30" s="5"/>
      <c r="G30" s="5"/>
      <c r="H30" s="224"/>
      <c r="I30" s="224"/>
      <c r="J30" s="5"/>
      <c r="K30" s="5"/>
      <c r="L30" s="5"/>
      <c r="M30" s="5"/>
      <c r="N30" s="5"/>
      <c r="O30" s="5"/>
      <c r="P30" s="103"/>
      <c r="Q30" s="224"/>
      <c r="R30" s="225"/>
      <c r="S30" s="226"/>
      <c r="T30" s="18"/>
      <c r="U30" s="18"/>
      <c r="V30" s="97"/>
    </row>
    <row r="31" spans="1:22" s="14" customFormat="1" ht="18" customHeight="1">
      <c r="A31" s="96"/>
      <c r="B31" s="47" t="s">
        <v>612</v>
      </c>
      <c r="C31" s="5"/>
      <c r="D31" s="5"/>
      <c r="E31" s="5"/>
      <c r="I31" s="227"/>
      <c r="M31" s="5"/>
      <c r="N31" s="103" t="s">
        <v>138</v>
      </c>
      <c r="O31" s="1131">
        <v>100</v>
      </c>
      <c r="P31" s="933"/>
      <c r="Q31" s="14" t="s">
        <v>613</v>
      </c>
      <c r="S31" s="226"/>
      <c r="T31" s="18"/>
      <c r="U31" s="18"/>
      <c r="V31" s="97"/>
    </row>
    <row r="32" spans="1:22" s="14" customFormat="1" ht="18" customHeight="1">
      <c r="A32" s="96"/>
      <c r="B32" s="47" t="s">
        <v>614</v>
      </c>
      <c r="C32" s="5"/>
      <c r="D32" s="5"/>
      <c r="E32" s="5"/>
      <c r="I32" s="227"/>
      <c r="M32" s="5"/>
      <c r="N32" s="103" t="s">
        <v>138</v>
      </c>
      <c r="O32" s="1131">
        <v>25</v>
      </c>
      <c r="P32" s="933"/>
      <c r="Q32" s="14" t="s">
        <v>615</v>
      </c>
      <c r="S32" s="226"/>
      <c r="T32" s="18"/>
      <c r="U32" s="18"/>
      <c r="V32" s="97"/>
    </row>
    <row r="33" spans="1:25" s="14" customFormat="1" ht="18" customHeight="1">
      <c r="A33" s="96"/>
      <c r="B33" s="47" t="s">
        <v>616</v>
      </c>
      <c r="C33" s="5"/>
      <c r="D33" s="5"/>
      <c r="E33" s="5"/>
      <c r="M33" s="120" t="s">
        <v>617</v>
      </c>
      <c r="N33" s="103" t="s">
        <v>618</v>
      </c>
      <c r="O33" s="1125">
        <v>33</v>
      </c>
      <c r="P33" s="651"/>
      <c r="Q33" s="14" t="s">
        <v>174</v>
      </c>
      <c r="S33" s="226"/>
      <c r="T33" s="18"/>
      <c r="U33" s="18"/>
      <c r="V33" s="97"/>
    </row>
    <row r="34" spans="1:25" s="14" customFormat="1" ht="18" customHeight="1">
      <c r="A34" s="228"/>
      <c r="B34" s="224"/>
      <c r="C34" s="224"/>
      <c r="D34" s="224"/>
      <c r="E34" s="224"/>
      <c r="T34" s="18"/>
      <c r="U34" s="18"/>
      <c r="V34" s="97"/>
    </row>
    <row r="35" spans="1:25" s="14" customFormat="1" ht="18" customHeight="1">
      <c r="A35" s="284" t="s">
        <v>619</v>
      </c>
      <c r="B35" s="225"/>
      <c r="C35" s="225"/>
      <c r="D35" s="225"/>
      <c r="E35" s="225"/>
      <c r="H35" s="120" t="s">
        <v>620</v>
      </c>
      <c r="I35" s="28" t="s">
        <v>138</v>
      </c>
      <c r="J35" s="638" t="s">
        <v>621</v>
      </c>
      <c r="K35" s="638"/>
      <c r="L35" s="28" t="s">
        <v>326</v>
      </c>
      <c r="M35" s="229">
        <v>1000</v>
      </c>
      <c r="N35" s="102" t="s">
        <v>353</v>
      </c>
      <c r="O35" s="28" t="s">
        <v>622</v>
      </c>
      <c r="P35" s="28" t="s">
        <v>326</v>
      </c>
      <c r="Q35" s="28" t="s">
        <v>617</v>
      </c>
      <c r="R35" s="47" t="s">
        <v>361</v>
      </c>
      <c r="T35" s="18"/>
      <c r="U35" s="18"/>
      <c r="V35" s="97"/>
    </row>
    <row r="36" spans="1:25" s="14" customFormat="1" ht="18" customHeight="1">
      <c r="A36" s="228"/>
      <c r="B36" s="225"/>
      <c r="C36" s="225"/>
      <c r="D36" s="225"/>
      <c r="E36" s="225"/>
      <c r="F36" s="224"/>
      <c r="G36" s="224"/>
      <c r="H36" s="28"/>
      <c r="I36" s="28" t="s">
        <v>138</v>
      </c>
      <c r="J36" s="638">
        <f>O31</f>
        <v>100</v>
      </c>
      <c r="K36" s="638"/>
      <c r="L36" s="28" t="s">
        <v>326</v>
      </c>
      <c r="M36" s="229">
        <v>1000</v>
      </c>
      <c r="N36" s="102" t="s">
        <v>353</v>
      </c>
      <c r="O36" s="28" t="s">
        <v>622</v>
      </c>
      <c r="P36" s="28" t="s">
        <v>326</v>
      </c>
      <c r="Q36" s="28">
        <f>O33</f>
        <v>33</v>
      </c>
      <c r="R36" s="47" t="s">
        <v>361</v>
      </c>
      <c r="T36" s="18"/>
      <c r="U36" s="18"/>
      <c r="V36" s="97"/>
    </row>
    <row r="37" spans="1:25" s="14" customFormat="1" ht="18" customHeight="1">
      <c r="A37" s="228"/>
      <c r="B37" s="224"/>
      <c r="C37" s="224"/>
      <c r="D37" s="224"/>
      <c r="E37" s="224"/>
      <c r="F37" s="224"/>
      <c r="G37" s="224"/>
      <c r="I37" s="28" t="s">
        <v>138</v>
      </c>
      <c r="J37" s="641">
        <f>(O31*1000)/(SQRT(3)*O33)</f>
        <v>1749.5462702715934</v>
      </c>
      <c r="K37" s="641"/>
      <c r="L37" s="14" t="s">
        <v>9</v>
      </c>
      <c r="M37" s="120"/>
      <c r="N37" s="120"/>
      <c r="O37" s="120"/>
      <c r="T37" s="18"/>
      <c r="U37" s="18"/>
      <c r="V37" s="97"/>
    </row>
    <row r="38" spans="1:25" s="14" customFormat="1" ht="18" customHeight="1">
      <c r="A38" s="228"/>
      <c r="B38" s="224"/>
      <c r="C38" s="224"/>
      <c r="D38" s="224"/>
      <c r="E38" s="224"/>
      <c r="G38" s="224"/>
      <c r="H38" s="28"/>
      <c r="I38" s="103"/>
      <c r="J38" s="28"/>
      <c r="M38" s="224"/>
      <c r="N38" s="231"/>
      <c r="O38" s="224"/>
      <c r="T38" s="18"/>
      <c r="U38" s="18"/>
      <c r="V38" s="97"/>
    </row>
    <row r="39" spans="1:25" s="14" customFormat="1" ht="18" customHeight="1">
      <c r="A39" s="159" t="s">
        <v>640</v>
      </c>
      <c r="B39" s="5"/>
      <c r="C39" s="5"/>
      <c r="D39" s="5"/>
      <c r="E39" s="5"/>
      <c r="F39" s="224"/>
      <c r="G39" s="224"/>
      <c r="H39" s="5"/>
      <c r="I39" s="5"/>
      <c r="J39" s="5"/>
      <c r="K39" s="5"/>
      <c r="L39" s="103"/>
      <c r="M39" s="103"/>
      <c r="N39" s="103"/>
      <c r="O39" s="103"/>
      <c r="P39" s="224"/>
      <c r="Q39" s="225"/>
      <c r="S39" s="232"/>
      <c r="T39" s="18"/>
      <c r="U39" s="18"/>
      <c r="V39" s="97"/>
    </row>
    <row r="40" spans="1:25" s="14" customFormat="1" ht="18" customHeight="1">
      <c r="A40" s="159"/>
      <c r="B40" s="5"/>
      <c r="C40" s="5"/>
      <c r="D40" s="5"/>
      <c r="E40" s="5"/>
      <c r="F40" s="224"/>
      <c r="G40" s="224"/>
      <c r="H40" s="5"/>
      <c r="I40" s="5"/>
      <c r="J40" s="5"/>
      <c r="K40" s="5"/>
      <c r="L40" s="103"/>
      <c r="M40" s="103"/>
      <c r="N40" s="103"/>
      <c r="O40" s="103"/>
      <c r="P40" s="224"/>
      <c r="Q40" s="225"/>
      <c r="S40" s="226"/>
      <c r="T40" s="18"/>
      <c r="U40" s="18"/>
      <c r="V40" s="97"/>
    </row>
    <row r="41" spans="1:25" ht="18" customHeight="1">
      <c r="A41" s="96" t="s">
        <v>623</v>
      </c>
      <c r="B41" s="14"/>
      <c r="C41" s="14"/>
      <c r="D41" s="14"/>
      <c r="E41" s="14"/>
      <c r="M41" s="120" t="s">
        <v>624</v>
      </c>
      <c r="N41" s="28" t="s">
        <v>138</v>
      </c>
      <c r="O41" s="638" t="s">
        <v>620</v>
      </c>
      <c r="P41" s="920"/>
      <c r="Q41" s="233" t="s">
        <v>641</v>
      </c>
      <c r="R41" s="233">
        <v>16</v>
      </c>
      <c r="S41" s="226"/>
      <c r="V41" s="197"/>
    </row>
    <row r="42" spans="1:25" ht="18" customHeight="1">
      <c r="A42" s="96"/>
      <c r="B42" s="5"/>
      <c r="C42" s="5"/>
      <c r="D42" s="5"/>
      <c r="E42" s="5"/>
      <c r="M42" s="262"/>
      <c r="N42" s="28" t="s">
        <v>138</v>
      </c>
      <c r="O42" s="638">
        <f>+J37</f>
        <v>1749.5462702715934</v>
      </c>
      <c r="P42" s="920"/>
      <c r="Q42" s="233" t="s">
        <v>641</v>
      </c>
      <c r="R42" s="233">
        <v>16</v>
      </c>
      <c r="S42" s="226"/>
      <c r="V42" s="197"/>
    </row>
    <row r="43" spans="1:25" ht="18" customHeight="1">
      <c r="A43" s="96"/>
      <c r="B43" s="5"/>
      <c r="C43" s="5"/>
      <c r="D43" s="5"/>
      <c r="E43" s="5"/>
      <c r="M43" s="120" t="s">
        <v>624</v>
      </c>
      <c r="N43" s="28" t="s">
        <v>138</v>
      </c>
      <c r="O43" s="638">
        <f>O42*R42</f>
        <v>27992.740324345494</v>
      </c>
      <c r="P43" s="920"/>
      <c r="Q43" s="253" t="s">
        <v>9</v>
      </c>
      <c r="R43" s="14"/>
      <c r="S43" s="226"/>
      <c r="V43" s="197"/>
    </row>
    <row r="44" spans="1:25" ht="18" customHeight="1">
      <c r="A44" s="96"/>
      <c r="B44" s="5"/>
      <c r="C44" s="5"/>
      <c r="D44" s="5"/>
      <c r="E44" s="5"/>
      <c r="M44" s="120"/>
      <c r="N44" s="28"/>
      <c r="O44" s="28"/>
      <c r="P44" s="14"/>
      <c r="Q44" s="253"/>
      <c r="R44" s="14"/>
      <c r="S44" s="226"/>
      <c r="V44" s="197"/>
    </row>
    <row r="45" spans="1:25" ht="18" customHeight="1">
      <c r="A45" s="96"/>
      <c r="B45" s="5"/>
      <c r="C45" s="5"/>
      <c r="D45" s="5"/>
      <c r="E45" s="5"/>
      <c r="M45" s="120"/>
      <c r="N45" s="28"/>
      <c r="O45" s="28"/>
      <c r="P45" s="14"/>
      <c r="Q45" s="253"/>
      <c r="R45" s="14"/>
      <c r="S45" s="226"/>
      <c r="V45" s="197"/>
    </row>
    <row r="46" spans="1:25"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5" s="14" customFormat="1" ht="18" customHeight="1">
      <c r="A47" s="141"/>
      <c r="B47" s="285"/>
      <c r="C47" s="285"/>
      <c r="D47" s="285"/>
      <c r="E47" s="285"/>
      <c r="F47" s="285"/>
      <c r="G47" s="285"/>
      <c r="H47" s="285"/>
      <c r="I47" s="285"/>
      <c r="J47" s="285"/>
      <c r="K47" s="285"/>
      <c r="L47" s="285"/>
      <c r="M47" s="285"/>
      <c r="N47" s="285"/>
      <c r="O47" s="285"/>
      <c r="P47" s="285"/>
      <c r="Q47" s="286"/>
      <c r="R47" s="145"/>
      <c r="S47" s="287"/>
      <c r="T47" s="285"/>
      <c r="U47" s="285"/>
      <c r="V47" s="288"/>
    </row>
    <row r="48" spans="1:25" ht="18" customHeight="1">
      <c r="A48" s="96" t="s">
        <v>661</v>
      </c>
      <c r="V48" s="197"/>
      <c r="Y48" s="14" t="s">
        <v>662</v>
      </c>
    </row>
    <row r="49" spans="1:22" ht="18" customHeight="1">
      <c r="A49" s="196"/>
      <c r="V49" s="197"/>
    </row>
    <row r="50" spans="1:22" s="291" customFormat="1" ht="18" customHeight="1">
      <c r="A50" s="289"/>
      <c r="B50" s="638" t="s">
        <v>484</v>
      </c>
      <c r="C50" s="1124" t="s">
        <v>663</v>
      </c>
      <c r="D50" s="638">
        <v>2</v>
      </c>
      <c r="E50" s="638" t="s">
        <v>389</v>
      </c>
      <c r="F50" s="638" t="s">
        <v>628</v>
      </c>
      <c r="G50" s="638"/>
      <c r="H50" s="638" t="s">
        <v>389</v>
      </c>
      <c r="I50" s="638" t="s">
        <v>430</v>
      </c>
      <c r="J50" s="638" t="s">
        <v>431</v>
      </c>
      <c r="K50" s="638" t="s">
        <v>358</v>
      </c>
      <c r="L50" s="638" t="s">
        <v>419</v>
      </c>
      <c r="M50" s="638" t="s">
        <v>358</v>
      </c>
      <c r="N50" s="638" t="s">
        <v>660</v>
      </c>
      <c r="O50" s="638" t="s">
        <v>361</v>
      </c>
      <c r="P50" s="14"/>
      <c r="Q50" s="14"/>
      <c r="R50" s="14"/>
      <c r="S50" s="14"/>
      <c r="T50" s="14"/>
      <c r="U50" s="958" t="s">
        <v>664</v>
      </c>
      <c r="V50" s="197"/>
    </row>
    <row r="51" spans="1:22" s="291" customFormat="1" ht="18" customHeight="1">
      <c r="A51" s="289"/>
      <c r="B51" s="638"/>
      <c r="C51" s="638"/>
      <c r="D51" s="638"/>
      <c r="E51" s="638"/>
      <c r="F51" s="638"/>
      <c r="G51" s="638"/>
      <c r="H51" s="638"/>
      <c r="I51" s="638"/>
      <c r="J51" s="638"/>
      <c r="K51" s="638"/>
      <c r="L51" s="638"/>
      <c r="M51" s="638"/>
      <c r="N51" s="638"/>
      <c r="O51" s="638"/>
      <c r="P51" s="14"/>
      <c r="Q51" s="14"/>
      <c r="R51" s="14"/>
      <c r="S51" s="14"/>
      <c r="T51" s="14"/>
      <c r="U51" s="638"/>
      <c r="V51" s="197"/>
    </row>
    <row r="52" spans="1:22" ht="18" customHeight="1">
      <c r="A52" s="196"/>
      <c r="V52" s="197"/>
    </row>
    <row r="53" spans="1:22" ht="18" customHeight="1">
      <c r="A53" s="196"/>
      <c r="B53" s="47" t="s">
        <v>665</v>
      </c>
      <c r="C53" s="14"/>
      <c r="D53" s="14"/>
      <c r="E53" s="14"/>
      <c r="F53" s="18"/>
      <c r="G53" s="18"/>
      <c r="H53" s="14"/>
      <c r="I53" s="120"/>
      <c r="J53" s="14"/>
      <c r="K53" s="14"/>
      <c r="M53" s="14"/>
      <c r="N53" s="14"/>
      <c r="P53" s="14" t="s">
        <v>434</v>
      </c>
      <c r="R53" s="246" t="s">
        <v>138</v>
      </c>
      <c r="S53" s="639">
        <f>H10</f>
        <v>3150</v>
      </c>
      <c r="T53" s="639"/>
      <c r="U53" s="30" t="s">
        <v>9</v>
      </c>
      <c r="V53" s="197"/>
    </row>
    <row r="54" spans="1:22" ht="18" customHeight="1">
      <c r="A54" s="196"/>
      <c r="B54" s="47" t="s">
        <v>666</v>
      </c>
      <c r="C54" s="14"/>
      <c r="D54" s="14"/>
      <c r="E54" s="14"/>
      <c r="F54" s="18"/>
      <c r="G54" s="18"/>
      <c r="H54" s="14"/>
      <c r="I54" s="120"/>
      <c r="J54" s="14"/>
      <c r="K54" s="14"/>
      <c r="M54" s="14"/>
      <c r="N54" s="14"/>
      <c r="P54" s="14" t="s">
        <v>431</v>
      </c>
      <c r="R54" s="246" t="s">
        <v>138</v>
      </c>
      <c r="S54" s="639">
        <f>H12</f>
        <v>9</v>
      </c>
      <c r="T54" s="639"/>
      <c r="U54" s="204" t="s">
        <v>344</v>
      </c>
      <c r="V54" s="197"/>
    </row>
    <row r="55" spans="1:22" ht="18" customHeight="1">
      <c r="A55" s="196"/>
      <c r="B55" s="47" t="s">
        <v>667</v>
      </c>
      <c r="C55" s="14"/>
      <c r="D55" s="14"/>
      <c r="E55" s="14"/>
      <c r="F55" s="18"/>
      <c r="G55" s="18"/>
      <c r="H55" s="14"/>
      <c r="I55" s="120"/>
      <c r="J55" s="14"/>
      <c r="K55" s="14"/>
      <c r="M55" s="14"/>
      <c r="N55" s="14"/>
      <c r="P55" s="14" t="s">
        <v>419</v>
      </c>
      <c r="R55" s="246" t="s">
        <v>138</v>
      </c>
      <c r="S55" s="637">
        <f>O27</f>
        <v>1.5869257975000002</v>
      </c>
      <c r="T55" s="637"/>
      <c r="U55" s="204" t="s">
        <v>344</v>
      </c>
      <c r="V55" s="197"/>
    </row>
    <row r="56" spans="1:22" ht="18" customHeight="1">
      <c r="A56" s="196"/>
      <c r="B56" s="47" t="s">
        <v>668</v>
      </c>
      <c r="C56" s="14"/>
      <c r="D56" s="14"/>
      <c r="E56" s="14"/>
      <c r="F56" s="14"/>
      <c r="G56" s="14"/>
      <c r="H56" s="14"/>
      <c r="I56" s="120"/>
      <c r="J56" s="14"/>
      <c r="K56" s="14"/>
      <c r="M56" s="14"/>
      <c r="N56" s="14"/>
      <c r="P56" s="14" t="s">
        <v>660</v>
      </c>
      <c r="R56" s="246" t="s">
        <v>138</v>
      </c>
      <c r="S56" s="637">
        <f>D27</f>
        <v>0.1</v>
      </c>
      <c r="T56" s="639"/>
      <c r="U56" s="204" t="s">
        <v>344</v>
      </c>
      <c r="V56" s="197"/>
    </row>
    <row r="57" spans="1:22" ht="18" customHeight="1">
      <c r="A57" s="196"/>
      <c r="B57" s="14" t="s">
        <v>669</v>
      </c>
      <c r="C57" s="14"/>
      <c r="D57" s="14"/>
      <c r="E57" s="14"/>
      <c r="F57" s="14"/>
      <c r="G57" s="14"/>
      <c r="H57" s="14"/>
      <c r="I57" s="120"/>
      <c r="J57" s="14"/>
      <c r="K57" s="14"/>
      <c r="M57" s="14"/>
      <c r="N57" s="14"/>
      <c r="P57" s="47" t="s">
        <v>628</v>
      </c>
      <c r="R57" s="246" t="s">
        <v>138</v>
      </c>
      <c r="S57" s="637">
        <f>O43/S53</f>
        <v>8.8865842299509499</v>
      </c>
      <c r="T57" s="637"/>
      <c r="U57" s="30" t="s">
        <v>9</v>
      </c>
      <c r="V57" s="197"/>
    </row>
    <row r="58" spans="1:22" ht="18" customHeight="1">
      <c r="A58" s="196"/>
      <c r="B58" s="47" t="s">
        <v>670</v>
      </c>
      <c r="C58" s="14"/>
      <c r="D58" s="14"/>
      <c r="E58" s="14"/>
      <c r="F58" s="14"/>
      <c r="G58" s="14"/>
      <c r="H58" s="14"/>
      <c r="I58" s="120"/>
      <c r="J58" s="14"/>
      <c r="K58" s="14"/>
      <c r="M58" s="14"/>
      <c r="N58" s="14"/>
      <c r="P58" s="120" t="s">
        <v>671</v>
      </c>
      <c r="R58" s="246" t="s">
        <v>138</v>
      </c>
      <c r="S58" s="639">
        <f>'CT-VT Burdens'!S18</f>
        <v>1</v>
      </c>
      <c r="T58" s="639"/>
      <c r="U58" s="30" t="s">
        <v>9</v>
      </c>
      <c r="V58" s="197"/>
    </row>
    <row r="59" spans="1:22" ht="18" customHeight="1">
      <c r="A59" s="196"/>
      <c r="V59" s="197"/>
    </row>
    <row r="60" spans="1:22" ht="18" customHeight="1">
      <c r="A60" s="96"/>
      <c r="B60" s="14" t="s">
        <v>672</v>
      </c>
      <c r="C60" s="14"/>
      <c r="D60" s="247"/>
      <c r="E60" s="14"/>
      <c r="F60" s="28"/>
      <c r="G60" s="261"/>
      <c r="H60" s="28"/>
      <c r="I60" s="263"/>
      <c r="J60" s="14"/>
      <c r="K60" s="292"/>
      <c r="M60" s="47"/>
      <c r="N60" s="280"/>
      <c r="P60" s="293"/>
      <c r="R60" s="246"/>
      <c r="S60" s="216"/>
      <c r="V60" s="197"/>
    </row>
    <row r="61" spans="1:22" ht="18" customHeight="1">
      <c r="A61" s="284"/>
      <c r="C61" s="14"/>
      <c r="D61" s="14"/>
      <c r="E61" s="14"/>
      <c r="F61" s="14"/>
      <c r="G61" s="14"/>
      <c r="H61" s="28"/>
      <c r="I61" s="47"/>
      <c r="J61" s="14"/>
      <c r="K61" s="14"/>
      <c r="M61" s="14"/>
      <c r="N61" s="14"/>
      <c r="P61" s="120"/>
      <c r="R61" s="246"/>
      <c r="S61" s="294"/>
      <c r="V61" s="197"/>
    </row>
    <row r="62" spans="1:22" ht="18" customHeight="1">
      <c r="A62" s="284"/>
      <c r="B62" s="638" t="s">
        <v>484</v>
      </c>
      <c r="C62" s="1124" t="s">
        <v>663</v>
      </c>
      <c r="D62" s="638">
        <v>2</v>
      </c>
      <c r="E62" s="638" t="s">
        <v>389</v>
      </c>
      <c r="F62" s="638" t="s">
        <v>628</v>
      </c>
      <c r="G62" s="638"/>
      <c r="H62" s="638" t="s">
        <v>389</v>
      </c>
      <c r="I62" s="638" t="s">
        <v>430</v>
      </c>
      <c r="J62" s="638" t="s">
        <v>431</v>
      </c>
      <c r="K62" s="638" t="s">
        <v>358</v>
      </c>
      <c r="L62" s="638" t="s">
        <v>419</v>
      </c>
      <c r="M62" s="638" t="s">
        <v>358</v>
      </c>
      <c r="N62" s="638" t="s">
        <v>660</v>
      </c>
      <c r="O62" s="638" t="s">
        <v>361</v>
      </c>
      <c r="P62" s="14"/>
      <c r="Q62" s="14"/>
      <c r="R62" s="14"/>
      <c r="S62" s="14"/>
      <c r="T62" s="14"/>
      <c r="U62" s="958" t="s">
        <v>664</v>
      </c>
      <c r="V62" s="197"/>
    </row>
    <row r="63" spans="1:22" s="291" customFormat="1" ht="18" customHeight="1">
      <c r="A63" s="289"/>
      <c r="B63" s="638"/>
      <c r="C63" s="638"/>
      <c r="D63" s="638"/>
      <c r="E63" s="638"/>
      <c r="F63" s="638"/>
      <c r="G63" s="638"/>
      <c r="H63" s="638"/>
      <c r="I63" s="638"/>
      <c r="J63" s="638"/>
      <c r="K63" s="638"/>
      <c r="L63" s="638"/>
      <c r="M63" s="638"/>
      <c r="N63" s="638"/>
      <c r="O63" s="638"/>
      <c r="P63" s="14"/>
      <c r="Q63" s="14"/>
      <c r="R63" s="14"/>
      <c r="S63" s="14"/>
      <c r="T63" s="14"/>
      <c r="U63" s="638"/>
      <c r="V63" s="197"/>
    </row>
    <row r="64" spans="1:22" s="291" customFormat="1" ht="18" customHeight="1">
      <c r="A64" s="289"/>
      <c r="B64" s="28"/>
      <c r="C64" s="28"/>
      <c r="D64" s="166"/>
      <c r="E64" s="166"/>
      <c r="F64" s="166"/>
      <c r="G64" s="166"/>
      <c r="H64" s="166"/>
      <c r="I64" s="28"/>
      <c r="J64" s="28"/>
      <c r="K64" s="28"/>
      <c r="L64" s="28"/>
      <c r="M64" s="28"/>
      <c r="N64" s="28"/>
      <c r="O64" s="28"/>
      <c r="P64" s="14"/>
      <c r="Q64" s="14"/>
      <c r="R64" s="14"/>
      <c r="S64" s="14"/>
      <c r="T64" s="14"/>
      <c r="U64" s="28"/>
      <c r="V64" s="197"/>
    </row>
    <row r="65" spans="1:22" s="291" customFormat="1" ht="18" customHeight="1">
      <c r="A65" s="289"/>
      <c r="B65" s="28"/>
      <c r="C65" s="1124" t="s">
        <v>663</v>
      </c>
      <c r="D65" s="861">
        <v>2</v>
      </c>
      <c r="E65" s="861" t="s">
        <v>389</v>
      </c>
      <c r="F65" s="1113">
        <f>S57</f>
        <v>8.8865842299509499</v>
      </c>
      <c r="G65" s="1113"/>
      <c r="H65" s="861" t="s">
        <v>389</v>
      </c>
      <c r="I65" s="861" t="s">
        <v>430</v>
      </c>
      <c r="J65" s="861">
        <f>S54</f>
        <v>9</v>
      </c>
      <c r="K65" s="861" t="s">
        <v>358</v>
      </c>
      <c r="L65" s="1113">
        <f>S55</f>
        <v>1.5869257975000002</v>
      </c>
      <c r="M65" s="861" t="s">
        <v>358</v>
      </c>
      <c r="N65" s="1113">
        <f>S56</f>
        <v>0.1</v>
      </c>
      <c r="O65" s="861" t="s">
        <v>361</v>
      </c>
      <c r="P65" s="14"/>
      <c r="Q65" s="14"/>
      <c r="R65" s="14"/>
      <c r="S65" s="14"/>
      <c r="T65" s="14"/>
      <c r="U65" s="28"/>
      <c r="V65" s="197"/>
    </row>
    <row r="66" spans="1:22" s="291" customFormat="1" ht="18" customHeight="1">
      <c r="A66" s="289"/>
      <c r="B66" s="28"/>
      <c r="C66" s="638"/>
      <c r="D66" s="861"/>
      <c r="E66" s="861"/>
      <c r="F66" s="1113"/>
      <c r="G66" s="1113"/>
      <c r="H66" s="861"/>
      <c r="I66" s="861"/>
      <c r="J66" s="861"/>
      <c r="K66" s="861"/>
      <c r="L66" s="861"/>
      <c r="M66" s="861"/>
      <c r="N66" s="861"/>
      <c r="O66" s="861"/>
      <c r="P66" s="14"/>
      <c r="Q66" s="14"/>
      <c r="R66" s="14"/>
      <c r="S66" s="14"/>
      <c r="T66" s="14"/>
      <c r="U66" s="28"/>
      <c r="V66" s="197"/>
    </row>
    <row r="67" spans="1:22" s="291" customFormat="1" ht="18" customHeight="1">
      <c r="A67" s="289"/>
      <c r="B67" s="14"/>
      <c r="C67" s="14"/>
      <c r="G67" s="14"/>
      <c r="H67" s="30"/>
      <c r="I67" s="14"/>
      <c r="J67" s="30"/>
      <c r="K67" s="28"/>
      <c r="L67" s="14"/>
      <c r="M67" s="30"/>
      <c r="N67" s="14"/>
      <c r="O67" s="14"/>
      <c r="P67" s="14"/>
      <c r="Q67" s="14"/>
      <c r="R67" s="14"/>
      <c r="S67" s="14"/>
      <c r="T67" s="14"/>
      <c r="U67" s="14"/>
      <c r="V67" s="197"/>
    </row>
    <row r="68" spans="1:22" ht="18" customHeight="1">
      <c r="A68" s="96"/>
      <c r="B68" s="14"/>
      <c r="C68" s="27" t="s">
        <v>138</v>
      </c>
      <c r="D68" s="798">
        <f>D65*F65*(J65+L65+N65)</f>
        <v>189.94053251743898</v>
      </c>
      <c r="E68" s="799"/>
      <c r="F68" s="30" t="s">
        <v>316</v>
      </c>
      <c r="G68" s="14"/>
      <c r="H68" s="14"/>
      <c r="I68" s="14"/>
      <c r="J68" s="14"/>
      <c r="K68" s="14"/>
      <c r="L68" s="14"/>
      <c r="M68" s="14"/>
      <c r="N68" s="14"/>
      <c r="R68" s="246"/>
      <c r="S68" s="216"/>
      <c r="V68" s="197"/>
    </row>
    <row r="69" spans="1:22" ht="18" customHeight="1">
      <c r="A69" s="96"/>
      <c r="B69" s="14"/>
      <c r="G69" s="14"/>
      <c r="H69" s="14"/>
      <c r="I69" s="14"/>
      <c r="J69" s="14"/>
      <c r="K69" s="14"/>
      <c r="L69" s="14"/>
      <c r="M69" s="14"/>
      <c r="N69" s="14"/>
      <c r="R69" s="246"/>
      <c r="S69" s="216"/>
      <c r="V69" s="197"/>
    </row>
    <row r="70" spans="1:22" ht="18" customHeight="1">
      <c r="A70" s="96"/>
      <c r="B70" s="14"/>
      <c r="D70" s="30" t="s">
        <v>486</v>
      </c>
      <c r="G70" s="28" t="s">
        <v>487</v>
      </c>
      <c r="H70" s="30" t="s">
        <v>488</v>
      </c>
      <c r="M70" s="14"/>
      <c r="N70" s="14"/>
      <c r="R70" s="246"/>
      <c r="S70" s="216"/>
      <c r="V70" s="197"/>
    </row>
    <row r="71" spans="1:22" ht="18" customHeight="1">
      <c r="A71" s="96"/>
      <c r="B71" s="14"/>
      <c r="E71" s="639">
        <f>H13</f>
        <v>800</v>
      </c>
      <c r="F71" s="639"/>
      <c r="G71" s="28" t="s">
        <v>487</v>
      </c>
      <c r="H71" s="637">
        <f>D68</f>
        <v>189.94053251743898</v>
      </c>
      <c r="I71" s="639"/>
      <c r="M71" s="14"/>
      <c r="N71" s="14"/>
      <c r="R71" s="246"/>
      <c r="S71" s="216"/>
      <c r="V71" s="197"/>
    </row>
    <row r="72" spans="1:22" ht="18" customHeight="1">
      <c r="A72" s="96"/>
      <c r="B72" s="14"/>
      <c r="F72" s="256" t="s">
        <v>489</v>
      </c>
      <c r="H72" s="18" t="str">
        <f>IF(E71&gt;H71,"Suitable Dimensions","Under Dimensioned")</f>
        <v>Suitable Dimensions</v>
      </c>
      <c r="M72" s="14"/>
      <c r="N72" s="14"/>
      <c r="R72" s="246"/>
      <c r="S72" s="216"/>
      <c r="V72" s="197"/>
    </row>
    <row r="73" spans="1:22" ht="18" customHeight="1">
      <c r="A73" s="96"/>
      <c r="B73" s="14"/>
      <c r="G73" s="14"/>
      <c r="H73" s="14"/>
      <c r="I73" s="14"/>
      <c r="J73" s="14"/>
      <c r="K73" s="14"/>
      <c r="L73" s="14"/>
      <c r="M73" s="14"/>
      <c r="N73" s="14"/>
      <c r="R73" s="246"/>
      <c r="S73" s="216"/>
      <c r="V73" s="197"/>
    </row>
    <row r="74" spans="1:22" ht="18" customHeight="1">
      <c r="A74" s="205"/>
      <c r="B74" s="14"/>
      <c r="G74" s="14"/>
      <c r="H74" s="14"/>
      <c r="I74" s="14"/>
      <c r="J74" s="14"/>
      <c r="K74" s="14"/>
      <c r="L74" s="14"/>
      <c r="M74" s="14"/>
      <c r="N74" s="14"/>
      <c r="R74" s="246"/>
      <c r="S74" s="216"/>
      <c r="V74" s="197"/>
    </row>
    <row r="75" spans="1:22" ht="18" customHeight="1">
      <c r="A75" s="96"/>
      <c r="B75" s="14"/>
      <c r="D75" s="14"/>
      <c r="E75" s="14"/>
      <c r="F75" s="291"/>
      <c r="G75" s="14"/>
      <c r="H75" s="14"/>
      <c r="I75" s="291"/>
      <c r="J75" s="14"/>
      <c r="K75" s="14"/>
      <c r="L75" s="14"/>
      <c r="M75" s="14"/>
      <c r="N75" s="14"/>
      <c r="R75" s="246"/>
      <c r="S75" s="216"/>
      <c r="V75" s="197"/>
    </row>
    <row r="76" spans="1:22" ht="18" customHeight="1">
      <c r="A76" s="96"/>
      <c r="B76" s="14"/>
      <c r="D76" s="14"/>
      <c r="E76" s="14"/>
      <c r="F76" s="291"/>
      <c r="G76" s="14"/>
      <c r="H76" s="14"/>
      <c r="I76" s="291"/>
      <c r="J76" s="14"/>
      <c r="K76" s="14"/>
      <c r="L76" s="14"/>
      <c r="M76" s="14"/>
      <c r="N76" s="14"/>
      <c r="R76" s="246"/>
      <c r="S76" s="216"/>
      <c r="V76" s="197"/>
    </row>
    <row r="77" spans="1:22" ht="18" customHeight="1">
      <c r="A77" s="96"/>
      <c r="B77" s="14"/>
      <c r="D77" s="14"/>
      <c r="E77" s="14"/>
      <c r="F77" s="291"/>
      <c r="G77" s="14"/>
      <c r="H77" s="14"/>
      <c r="I77" s="291"/>
      <c r="J77" s="14"/>
      <c r="K77" s="14"/>
      <c r="L77" s="14"/>
      <c r="M77" s="14"/>
      <c r="N77" s="14"/>
      <c r="R77" s="246"/>
      <c r="S77" s="216"/>
      <c r="V77" s="197"/>
    </row>
    <row r="78" spans="1:22" ht="18" customHeight="1">
      <c r="A78" s="96"/>
      <c r="B78" s="14"/>
      <c r="G78" s="14"/>
      <c r="H78" s="14"/>
      <c r="I78" s="14"/>
      <c r="J78" s="14"/>
      <c r="K78" s="14"/>
      <c r="L78" s="14"/>
      <c r="M78" s="14"/>
      <c r="N78" s="14"/>
      <c r="R78" s="246"/>
      <c r="S78" s="216"/>
      <c r="V78" s="197"/>
    </row>
    <row r="79" spans="1:22" ht="18" customHeight="1">
      <c r="A79" s="96"/>
      <c r="B79" s="14"/>
      <c r="F79" s="14"/>
      <c r="G79" s="14"/>
      <c r="H79" s="14"/>
      <c r="I79" s="14"/>
      <c r="J79" s="14"/>
      <c r="K79" s="14"/>
      <c r="L79" s="14"/>
      <c r="M79" s="14"/>
      <c r="N79" s="14"/>
      <c r="O79" s="166"/>
      <c r="P79" s="14"/>
      <c r="R79" s="246"/>
      <c r="S79" s="216"/>
      <c r="V79" s="197"/>
    </row>
    <row r="80" spans="1:22" ht="18" customHeight="1">
      <c r="A80" s="96"/>
      <c r="B80" s="14"/>
      <c r="F80" s="14"/>
      <c r="G80" s="269"/>
      <c r="H80" s="14"/>
      <c r="I80" s="14"/>
      <c r="J80" s="14"/>
      <c r="K80" s="14"/>
      <c r="L80" s="14"/>
      <c r="M80" s="14"/>
      <c r="N80" s="14"/>
      <c r="R80" s="246"/>
      <c r="S80" s="216"/>
      <c r="V80" s="197"/>
    </row>
    <row r="81" spans="1:29" ht="18" customHeight="1">
      <c r="A81" s="96"/>
      <c r="B81" s="14"/>
      <c r="G81" s="14"/>
      <c r="H81" s="14"/>
      <c r="I81" s="14"/>
      <c r="J81" s="14"/>
      <c r="K81" s="14"/>
      <c r="L81" s="14"/>
      <c r="M81" s="14"/>
      <c r="N81" s="14"/>
      <c r="R81" s="246"/>
      <c r="S81" s="216"/>
      <c r="V81" s="197"/>
    </row>
    <row r="82" spans="1:29" ht="18" customHeight="1">
      <c r="A82" s="96"/>
      <c r="B82" s="14"/>
      <c r="F82" s="27"/>
      <c r="G82" s="14"/>
      <c r="H82" s="14"/>
      <c r="I82" s="14"/>
      <c r="J82" s="14"/>
      <c r="K82" s="14"/>
      <c r="L82" s="14"/>
      <c r="M82" s="14"/>
      <c r="N82" s="14"/>
      <c r="R82" s="246"/>
      <c r="S82" s="216"/>
      <c r="V82" s="197"/>
    </row>
    <row r="83" spans="1:29" ht="18" customHeight="1">
      <c r="A83" s="96"/>
      <c r="B83" s="14"/>
      <c r="G83" s="14"/>
      <c r="H83" s="14"/>
      <c r="I83" s="14"/>
      <c r="J83" s="14"/>
      <c r="K83" s="14"/>
      <c r="L83" s="14"/>
      <c r="M83" s="14"/>
      <c r="N83" s="14"/>
      <c r="R83" s="246"/>
      <c r="S83" s="216"/>
      <c r="V83" s="197"/>
    </row>
    <row r="84" spans="1:29" ht="18" customHeight="1">
      <c r="A84" s="96"/>
      <c r="B84" s="14"/>
      <c r="D84" s="295"/>
      <c r="E84" s="296"/>
      <c r="F84" s="14"/>
      <c r="G84" s="14"/>
      <c r="H84" s="14"/>
      <c r="I84" s="296"/>
      <c r="J84" s="28"/>
      <c r="L84" s="291"/>
      <c r="M84" s="120"/>
      <c r="N84" s="47"/>
      <c r="O84" s="291"/>
      <c r="P84" s="248"/>
      <c r="Q84" s="248"/>
      <c r="R84" s="246"/>
      <c r="S84" s="216"/>
      <c r="V84" s="197"/>
    </row>
    <row r="85" spans="1:29" ht="18" customHeight="1">
      <c r="A85" s="96"/>
      <c r="B85" s="14"/>
      <c r="D85" s="230"/>
      <c r="E85" s="296"/>
      <c r="F85" s="297"/>
      <c r="G85" s="298"/>
      <c r="H85" s="297"/>
      <c r="I85" s="296"/>
      <c r="J85" s="28"/>
      <c r="L85" s="291"/>
      <c r="M85" s="120"/>
      <c r="N85" s="225"/>
      <c r="O85" s="291"/>
      <c r="P85" s="248"/>
      <c r="Q85" s="248"/>
      <c r="R85" s="246"/>
      <c r="S85" s="216"/>
      <c r="V85" s="197"/>
    </row>
    <row r="86" spans="1:29" ht="18" customHeight="1">
      <c r="A86" s="96"/>
      <c r="B86" s="14"/>
      <c r="G86" s="14"/>
      <c r="H86" s="14"/>
      <c r="I86" s="14"/>
      <c r="J86" s="14"/>
      <c r="K86" s="14"/>
      <c r="L86" s="14"/>
      <c r="M86" s="14"/>
      <c r="N86" s="14"/>
      <c r="R86" s="246"/>
      <c r="S86" s="216"/>
      <c r="V86" s="197"/>
    </row>
    <row r="87" spans="1:29"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9" ht="18"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9" ht="18" customHeight="1">
      <c r="A89" s="196"/>
      <c r="B89" s="667" t="str">
        <f>B7</f>
        <v>T1</v>
      </c>
      <c r="C89" s="668"/>
      <c r="D89" s="680" t="str">
        <f>D7</f>
        <v>Core2</v>
      </c>
      <c r="E89" s="681"/>
      <c r="F89" s="198"/>
      <c r="H89" s="639" t="str">
        <f>H7</f>
        <v>(Transformer Differential)</v>
      </c>
      <c r="I89" s="639"/>
      <c r="J89" s="639"/>
      <c r="K89" s="639"/>
      <c r="L89" s="639"/>
      <c r="M89" s="639"/>
      <c r="P89" s="198"/>
      <c r="S89" s="199" t="s">
        <v>398</v>
      </c>
      <c r="T89" s="1146" t="str">
        <f>T7</f>
        <v>SEL487E</v>
      </c>
      <c r="U89" s="1147"/>
      <c r="V89" s="197"/>
    </row>
    <row r="90" spans="1:29" ht="18" customHeight="1">
      <c r="A90" s="196"/>
      <c r="B90" s="679">
        <f>B8</f>
        <v>0</v>
      </c>
      <c r="C90" s="679"/>
      <c r="D90" s="682"/>
      <c r="E90" s="683"/>
      <c r="F90" s="299"/>
      <c r="T90" s="1148">
        <f>T8</f>
        <v>0</v>
      </c>
      <c r="U90" s="1149"/>
      <c r="V90" s="197"/>
    </row>
    <row r="91" spans="1:29" ht="18" customHeight="1">
      <c r="A91" s="196"/>
      <c r="H91" s="661" t="s">
        <v>401</v>
      </c>
      <c r="I91" s="661"/>
      <c r="J91" s="662" t="s">
        <v>402</v>
      </c>
      <c r="K91" s="662"/>
      <c r="L91" s="661" t="s">
        <v>403</v>
      </c>
      <c r="M91" s="661"/>
      <c r="T91" s="1148">
        <f>T9</f>
        <v>0</v>
      </c>
      <c r="U91" s="1149"/>
      <c r="V91" s="197"/>
    </row>
    <row r="92" spans="1:29" ht="18" customHeight="1">
      <c r="A92" s="196"/>
      <c r="B92" s="47" t="s">
        <v>404</v>
      </c>
      <c r="H92" s="667">
        <f>H10</f>
        <v>3150</v>
      </c>
      <c r="I92" s="668"/>
      <c r="J92" s="1030">
        <f>J10</f>
        <v>2000</v>
      </c>
      <c r="K92" s="1031"/>
      <c r="L92" s="992" t="str">
        <f>L10</f>
        <v>-</v>
      </c>
      <c r="M92" s="993"/>
      <c r="N92" s="102" t="s">
        <v>353</v>
      </c>
      <c r="O92" s="266">
        <f>O10</f>
        <v>1</v>
      </c>
      <c r="P92" s="27" t="s">
        <v>9</v>
      </c>
      <c r="V92" s="197"/>
    </row>
    <row r="93" spans="1:29" ht="18" customHeight="1">
      <c r="A93" s="196"/>
      <c r="B93" s="47" t="s">
        <v>405</v>
      </c>
      <c r="H93" s="14"/>
      <c r="I93" s="14"/>
      <c r="J93" s="667" t="str">
        <f>H11</f>
        <v>PX</v>
      </c>
      <c r="K93" s="1145"/>
      <c r="L93" s="14"/>
      <c r="M93" s="14"/>
      <c r="V93" s="197"/>
    </row>
    <row r="94" spans="1:29" ht="18" customHeight="1">
      <c r="A94" s="196"/>
      <c r="B94" s="47" t="s">
        <v>407</v>
      </c>
      <c r="I94" s="120" t="s">
        <v>508</v>
      </c>
      <c r="J94" s="656">
        <v>6</v>
      </c>
      <c r="K94" s="657"/>
      <c r="L94" s="204" t="s">
        <v>344</v>
      </c>
      <c r="V94" s="197"/>
    </row>
    <row r="95" spans="1:29" ht="18" customHeight="1">
      <c r="A95" s="196"/>
      <c r="B95" s="47" t="s">
        <v>409</v>
      </c>
      <c r="I95" s="120" t="s">
        <v>509</v>
      </c>
      <c r="J95" s="656">
        <v>500</v>
      </c>
      <c r="K95" s="657"/>
      <c r="L95" s="14" t="s">
        <v>316</v>
      </c>
      <c r="V95" s="197"/>
      <c r="W95" s="30" t="s">
        <v>411</v>
      </c>
      <c r="AB95" s="996">
        <f>D150</f>
        <v>215.1781177419299</v>
      </c>
      <c r="AC95" s="997"/>
    </row>
    <row r="96" spans="1:29" ht="18" customHeight="1">
      <c r="A96" s="196"/>
      <c r="B96" s="14" t="s">
        <v>412</v>
      </c>
      <c r="I96" s="120" t="s">
        <v>413</v>
      </c>
      <c r="J96" s="656">
        <v>60</v>
      </c>
      <c r="K96" s="657"/>
      <c r="L96" s="30" t="s">
        <v>414</v>
      </c>
      <c r="V96" s="197"/>
    </row>
    <row r="97" spans="1:22" ht="18" customHeight="1">
      <c r="A97" s="96"/>
      <c r="V97" s="197"/>
    </row>
    <row r="98" spans="1:22" ht="18" customHeight="1">
      <c r="A98" s="205" t="s">
        <v>415</v>
      </c>
      <c r="V98" s="197"/>
    </row>
    <row r="99" spans="1:22" ht="18" customHeight="1">
      <c r="A99" s="196"/>
      <c r="V99" s="197"/>
    </row>
    <row r="100" spans="1:22" ht="18" customHeight="1">
      <c r="A100" s="196"/>
      <c r="B100" s="206" t="s">
        <v>416</v>
      </c>
      <c r="C100" s="207"/>
      <c r="D100" s="207" t="str">
        <f>T89</f>
        <v>SEL487E</v>
      </c>
      <c r="E100" s="208"/>
      <c r="F100" s="208"/>
      <c r="G100" s="208"/>
      <c r="H100" s="194" t="s">
        <v>417</v>
      </c>
      <c r="I100" s="195" t="s">
        <v>138</v>
      </c>
      <c r="J100" s="897">
        <f>J18</f>
        <v>0.1</v>
      </c>
      <c r="K100" s="649"/>
      <c r="L100" s="3" t="s">
        <v>168</v>
      </c>
      <c r="V100" s="197"/>
    </row>
    <row r="101" spans="1:22" ht="18" customHeight="1">
      <c r="A101" s="196"/>
      <c r="B101" s="196" t="s">
        <v>416</v>
      </c>
      <c r="D101" s="30">
        <f>T90</f>
        <v>0</v>
      </c>
      <c r="H101" s="27"/>
      <c r="I101" s="189" t="s">
        <v>138</v>
      </c>
      <c r="J101" s="1042">
        <f>J19</f>
        <v>0</v>
      </c>
      <c r="K101" s="643"/>
      <c r="L101" s="210" t="s">
        <v>168</v>
      </c>
      <c r="V101" s="197"/>
    </row>
    <row r="102" spans="1:22" ht="18" customHeight="1">
      <c r="A102" s="196"/>
      <c r="B102" s="196" t="s">
        <v>416</v>
      </c>
      <c r="D102" s="30">
        <f>T91</f>
        <v>0</v>
      </c>
      <c r="E102" s="14"/>
      <c r="G102" s="211"/>
      <c r="H102" s="27"/>
      <c r="I102" s="189" t="s">
        <v>138</v>
      </c>
      <c r="J102" s="644">
        <f>J20</f>
        <v>0</v>
      </c>
      <c r="K102" s="645"/>
      <c r="L102" s="214" t="s">
        <v>168</v>
      </c>
      <c r="V102" s="197"/>
    </row>
    <row r="103" spans="1:22" ht="18" customHeight="1">
      <c r="A103" s="196"/>
      <c r="B103" s="196" t="s">
        <v>423</v>
      </c>
      <c r="H103" s="27" t="s">
        <v>610</v>
      </c>
      <c r="I103" s="189" t="s">
        <v>138</v>
      </c>
      <c r="J103" s="1042">
        <f>J21</f>
        <v>1.4869257975000001</v>
      </c>
      <c r="K103" s="643"/>
      <c r="L103" s="215" t="s">
        <v>168</v>
      </c>
      <c r="V103" s="197"/>
    </row>
    <row r="104" spans="1:22" ht="18" customHeight="1">
      <c r="A104" s="196"/>
      <c r="B104" s="217" t="s">
        <v>424</v>
      </c>
      <c r="C104" s="218"/>
      <c r="D104" s="218"/>
      <c r="E104" s="218"/>
      <c r="F104" s="219"/>
      <c r="G104" s="219"/>
      <c r="H104" s="202" t="s">
        <v>420</v>
      </c>
      <c r="I104" s="220" t="s">
        <v>138</v>
      </c>
      <c r="J104" s="897">
        <f>J100+J103</f>
        <v>1.5869257975000002</v>
      </c>
      <c r="K104" s="649"/>
      <c r="L104" s="222" t="s">
        <v>168</v>
      </c>
      <c r="V104" s="197"/>
    </row>
    <row r="105" spans="1:22" ht="18" customHeight="1">
      <c r="A105" s="196"/>
      <c r="B105" s="47"/>
      <c r="C105" s="47"/>
      <c r="D105" s="47"/>
      <c r="E105" s="47"/>
      <c r="H105" s="27"/>
      <c r="I105" s="28"/>
      <c r="J105" s="211"/>
      <c r="L105" s="47"/>
      <c r="O105" s="27"/>
      <c r="P105" s="223"/>
      <c r="Q105" s="223"/>
      <c r="R105" s="204"/>
      <c r="V105" s="197"/>
    </row>
    <row r="106" spans="1:22" ht="18" customHeight="1">
      <c r="A106" s="196"/>
      <c r="B106" s="209" t="s">
        <v>659</v>
      </c>
      <c r="L106" s="47"/>
      <c r="M106" s="209" t="s">
        <v>418</v>
      </c>
      <c r="V106" s="197"/>
    </row>
    <row r="107" spans="1:22" ht="18" customHeight="1">
      <c r="A107" s="196"/>
      <c r="B107" s="27" t="s">
        <v>660</v>
      </c>
      <c r="C107" s="27" t="s">
        <v>138</v>
      </c>
      <c r="D107" s="30" t="s">
        <v>417</v>
      </c>
      <c r="E107" s="283" t="s">
        <v>421</v>
      </c>
      <c r="F107" s="27" t="s">
        <v>157</v>
      </c>
      <c r="G107" s="28" t="s">
        <v>326</v>
      </c>
      <c r="H107" s="230" t="s">
        <v>157</v>
      </c>
      <c r="I107" s="30" t="s">
        <v>361</v>
      </c>
      <c r="J107" s="211"/>
      <c r="L107" s="47"/>
      <c r="M107" s="30" t="s">
        <v>419</v>
      </c>
      <c r="N107" s="27" t="s">
        <v>138</v>
      </c>
      <c r="O107" s="30" t="s">
        <v>420</v>
      </c>
      <c r="P107" s="203" t="s">
        <v>421</v>
      </c>
      <c r="Q107" s="256" t="s">
        <v>422</v>
      </c>
      <c r="R107" s="27" t="s">
        <v>326</v>
      </c>
      <c r="S107" s="30" t="s">
        <v>422</v>
      </c>
      <c r="T107" s="30" t="s">
        <v>361</v>
      </c>
      <c r="V107" s="197"/>
    </row>
    <row r="108" spans="1:22" ht="18" customHeight="1">
      <c r="A108" s="196"/>
      <c r="B108" s="47"/>
      <c r="C108" s="27" t="s">
        <v>138</v>
      </c>
      <c r="D108" s="216">
        <f>J100</f>
        <v>0.1</v>
      </c>
      <c r="E108" s="203" t="s">
        <v>421</v>
      </c>
      <c r="F108" s="27">
        <f>F26</f>
        <v>1</v>
      </c>
      <c r="G108" s="27" t="s">
        <v>326</v>
      </c>
      <c r="H108" s="27">
        <f>H26</f>
        <v>1</v>
      </c>
      <c r="I108" s="30" t="s">
        <v>361</v>
      </c>
      <c r="J108" s="211"/>
      <c r="L108" s="47"/>
      <c r="N108" s="27" t="s">
        <v>138</v>
      </c>
      <c r="O108" s="216">
        <f>J104</f>
        <v>1.5869257975000002</v>
      </c>
      <c r="P108" s="203" t="s">
        <v>421</v>
      </c>
      <c r="Q108" s="27">
        <f>O92</f>
        <v>1</v>
      </c>
      <c r="R108" s="27" t="s">
        <v>326</v>
      </c>
      <c r="S108" s="27">
        <f>O92</f>
        <v>1</v>
      </c>
      <c r="T108" s="30" t="s">
        <v>361</v>
      </c>
      <c r="V108" s="197"/>
    </row>
    <row r="109" spans="1:22" ht="18" customHeight="1">
      <c r="A109" s="196"/>
      <c r="B109" s="47"/>
      <c r="C109" s="27" t="s">
        <v>138</v>
      </c>
      <c r="D109" s="637">
        <f>D108/(F108*H108)</f>
        <v>0.1</v>
      </c>
      <c r="E109" s="637"/>
      <c r="F109" s="204" t="s">
        <v>344</v>
      </c>
      <c r="J109" s="211"/>
      <c r="L109" s="47"/>
      <c r="N109" s="27" t="s">
        <v>138</v>
      </c>
      <c r="O109" s="637">
        <f>O108/(Q108*S108)</f>
        <v>1.5869257975000002</v>
      </c>
      <c r="P109" s="637"/>
      <c r="Q109" s="204" t="s">
        <v>344</v>
      </c>
      <c r="V109" s="197"/>
    </row>
    <row r="110" spans="1:22" ht="18" customHeight="1">
      <c r="A110" s="196"/>
      <c r="B110" s="47"/>
      <c r="C110" s="47"/>
      <c r="D110" s="47"/>
      <c r="E110" s="47"/>
      <c r="H110" s="27"/>
      <c r="I110" s="28"/>
      <c r="J110" s="211"/>
      <c r="L110" s="47"/>
      <c r="O110" s="27"/>
      <c r="P110" s="223"/>
      <c r="Q110" s="223"/>
      <c r="R110" s="204"/>
      <c r="V110" s="197"/>
    </row>
    <row r="111" spans="1:22" ht="18" customHeight="1">
      <c r="A111" s="196"/>
      <c r="B111" s="47"/>
      <c r="C111" s="47"/>
      <c r="D111" s="47"/>
      <c r="E111" s="47"/>
      <c r="H111" s="27"/>
      <c r="I111" s="28"/>
      <c r="J111" s="211"/>
      <c r="L111" s="28"/>
      <c r="M111" s="216"/>
      <c r="N111" s="216"/>
      <c r="O111" s="27"/>
      <c r="P111" s="216"/>
      <c r="Q111" s="216"/>
      <c r="R111" s="223"/>
      <c r="S111" s="216"/>
      <c r="T111" s="216"/>
      <c r="U111" s="204"/>
      <c r="V111" s="197"/>
    </row>
    <row r="112" spans="1:22" s="14" customFormat="1" ht="18" customHeight="1">
      <c r="A112" s="205" t="s">
        <v>611</v>
      </c>
      <c r="B112" s="5"/>
      <c r="C112" s="5"/>
      <c r="D112" s="5"/>
      <c r="E112" s="5"/>
      <c r="F112" s="5"/>
      <c r="G112" s="5"/>
      <c r="H112" s="224"/>
      <c r="I112" s="224"/>
      <c r="J112" s="5"/>
      <c r="K112" s="5"/>
      <c r="L112" s="5"/>
      <c r="M112" s="5"/>
      <c r="N112" s="5"/>
      <c r="O112" s="5"/>
      <c r="P112" s="103"/>
      <c r="Q112" s="224"/>
      <c r="R112" s="225"/>
      <c r="S112" s="226"/>
      <c r="T112" s="18"/>
      <c r="U112" s="18"/>
      <c r="V112" s="97"/>
    </row>
    <row r="113" spans="1:22" s="14" customFormat="1" ht="18" customHeight="1">
      <c r="A113" s="96"/>
      <c r="B113" s="47" t="s">
        <v>612</v>
      </c>
      <c r="C113" s="5"/>
      <c r="D113" s="5"/>
      <c r="E113" s="5"/>
      <c r="I113" s="227"/>
      <c r="M113" s="5"/>
      <c r="N113" s="103" t="s">
        <v>138</v>
      </c>
      <c r="O113" s="1125">
        <f>O31</f>
        <v>100</v>
      </c>
      <c r="P113" s="651"/>
      <c r="Q113" s="14" t="s">
        <v>613</v>
      </c>
      <c r="S113" s="226"/>
      <c r="T113" s="18"/>
      <c r="U113" s="18"/>
      <c r="V113" s="97"/>
    </row>
    <row r="114" spans="1:22" s="14" customFormat="1" ht="18" customHeight="1">
      <c r="A114" s="96"/>
      <c r="B114" s="47" t="s">
        <v>614</v>
      </c>
      <c r="C114" s="5"/>
      <c r="D114" s="5"/>
      <c r="E114" s="5"/>
      <c r="I114" s="227"/>
      <c r="M114" s="5"/>
      <c r="N114" s="103" t="s">
        <v>138</v>
      </c>
      <c r="O114" s="1125">
        <f>O32</f>
        <v>25</v>
      </c>
      <c r="P114" s="651"/>
      <c r="Q114" s="14" t="s">
        <v>615</v>
      </c>
      <c r="S114" s="226"/>
      <c r="T114" s="18"/>
      <c r="U114" s="18"/>
      <c r="V114" s="97"/>
    </row>
    <row r="115" spans="1:22" s="14" customFormat="1" ht="18" customHeight="1">
      <c r="A115" s="96"/>
      <c r="B115" s="47" t="s">
        <v>616</v>
      </c>
      <c r="C115" s="5"/>
      <c r="D115" s="5"/>
      <c r="E115" s="5"/>
      <c r="M115" s="120" t="s">
        <v>617</v>
      </c>
      <c r="N115" s="103" t="s">
        <v>618</v>
      </c>
      <c r="O115" s="1125">
        <f>O33</f>
        <v>33</v>
      </c>
      <c r="P115" s="651"/>
      <c r="Q115" s="14" t="s">
        <v>174</v>
      </c>
      <c r="S115" s="226"/>
      <c r="T115" s="18"/>
      <c r="U115" s="18"/>
      <c r="V115" s="97"/>
    </row>
    <row r="116" spans="1:22" s="14" customFormat="1" ht="18" customHeight="1">
      <c r="A116" s="228"/>
      <c r="B116" s="224"/>
      <c r="C116" s="224"/>
      <c r="D116" s="224"/>
      <c r="E116" s="224"/>
      <c r="T116" s="18"/>
      <c r="U116" s="18"/>
      <c r="V116" s="97"/>
    </row>
    <row r="117" spans="1:22" s="14" customFormat="1" ht="18" customHeight="1">
      <c r="A117" s="284" t="s">
        <v>619</v>
      </c>
      <c r="B117" s="225"/>
      <c r="C117" s="225"/>
      <c r="D117" s="225"/>
      <c r="E117" s="225"/>
      <c r="H117" s="120" t="s">
        <v>620</v>
      </c>
      <c r="I117" s="28" t="s">
        <v>138</v>
      </c>
      <c r="J117" s="638" t="s">
        <v>621</v>
      </c>
      <c r="K117" s="638"/>
      <c r="L117" s="28" t="s">
        <v>326</v>
      </c>
      <c r="M117" s="229">
        <v>1000</v>
      </c>
      <c r="N117" s="102" t="s">
        <v>353</v>
      </c>
      <c r="O117" s="28" t="s">
        <v>622</v>
      </c>
      <c r="P117" s="28" t="s">
        <v>326</v>
      </c>
      <c r="Q117" s="28" t="s">
        <v>617</v>
      </c>
      <c r="R117" s="47" t="s">
        <v>361</v>
      </c>
      <c r="T117" s="18"/>
      <c r="U117" s="18"/>
      <c r="V117" s="97"/>
    </row>
    <row r="118" spans="1:22" s="14" customFormat="1" ht="18" customHeight="1">
      <c r="A118" s="228"/>
      <c r="B118" s="225"/>
      <c r="C118" s="225"/>
      <c r="D118" s="225"/>
      <c r="E118" s="225"/>
      <c r="F118" s="224"/>
      <c r="G118" s="224"/>
      <c r="H118" s="28"/>
      <c r="I118" s="28" t="s">
        <v>138</v>
      </c>
      <c r="J118" s="638">
        <f>O113</f>
        <v>100</v>
      </c>
      <c r="K118" s="638"/>
      <c r="L118" s="28" t="s">
        <v>326</v>
      </c>
      <c r="M118" s="229">
        <v>1000</v>
      </c>
      <c r="N118" s="102" t="s">
        <v>353</v>
      </c>
      <c r="O118" s="28" t="s">
        <v>622</v>
      </c>
      <c r="P118" s="28" t="s">
        <v>326</v>
      </c>
      <c r="Q118" s="28">
        <f>O115</f>
        <v>33</v>
      </c>
      <c r="R118" s="47" t="s">
        <v>361</v>
      </c>
      <c r="T118" s="18"/>
      <c r="U118" s="18"/>
      <c r="V118" s="97"/>
    </row>
    <row r="119" spans="1:22" s="14" customFormat="1" ht="18" customHeight="1">
      <c r="A119" s="228"/>
      <c r="B119" s="224"/>
      <c r="C119" s="224"/>
      <c r="D119" s="224"/>
      <c r="E119" s="224"/>
      <c r="F119" s="224"/>
      <c r="G119" s="224"/>
      <c r="I119" s="28" t="s">
        <v>138</v>
      </c>
      <c r="J119" s="641">
        <f>(O113*1000)/(SQRT(3)*O115)</f>
        <v>1749.5462702715934</v>
      </c>
      <c r="K119" s="641"/>
      <c r="L119" s="14" t="s">
        <v>9</v>
      </c>
      <c r="M119" s="120"/>
      <c r="N119" s="120"/>
      <c r="O119" s="120"/>
      <c r="T119" s="18"/>
      <c r="U119" s="18"/>
      <c r="V119" s="97"/>
    </row>
    <row r="120" spans="1:22" s="14" customFormat="1" ht="18" customHeight="1">
      <c r="A120" s="228"/>
      <c r="B120" s="224"/>
      <c r="C120" s="224"/>
      <c r="D120" s="224"/>
      <c r="E120" s="224"/>
      <c r="G120" s="224"/>
      <c r="H120" s="28"/>
      <c r="I120" s="103"/>
      <c r="J120" s="28"/>
      <c r="M120" s="224"/>
      <c r="N120" s="231"/>
      <c r="O120" s="224"/>
      <c r="T120" s="18"/>
      <c r="U120" s="18"/>
      <c r="V120" s="97"/>
    </row>
    <row r="121" spans="1:22" s="14" customFormat="1" ht="18" customHeight="1">
      <c r="A121" s="159" t="s">
        <v>640</v>
      </c>
      <c r="B121" s="5"/>
      <c r="C121" s="5"/>
      <c r="D121" s="5"/>
      <c r="E121" s="5"/>
      <c r="F121" s="224"/>
      <c r="G121" s="224"/>
      <c r="H121" s="5"/>
      <c r="I121" s="5"/>
      <c r="J121" s="5"/>
      <c r="K121" s="5"/>
      <c r="L121" s="103"/>
      <c r="M121" s="103"/>
      <c r="N121" s="103"/>
      <c r="O121" s="103"/>
      <c r="P121" s="224"/>
      <c r="Q121" s="225"/>
      <c r="S121" s="232"/>
      <c r="T121" s="18"/>
      <c r="U121" s="18"/>
      <c r="V121" s="97"/>
    </row>
    <row r="122" spans="1:22" s="14" customFormat="1" ht="18" customHeight="1">
      <c r="A122" s="159"/>
      <c r="B122" s="5"/>
      <c r="C122" s="5"/>
      <c r="D122" s="5"/>
      <c r="E122" s="5"/>
      <c r="F122" s="224"/>
      <c r="G122" s="224"/>
      <c r="H122" s="5"/>
      <c r="I122" s="5"/>
      <c r="J122" s="5"/>
      <c r="K122" s="5"/>
      <c r="L122" s="103"/>
      <c r="M122" s="103"/>
      <c r="N122" s="103"/>
      <c r="O122" s="103"/>
      <c r="P122" s="224"/>
      <c r="Q122" s="225"/>
      <c r="S122" s="226"/>
      <c r="T122" s="18"/>
      <c r="U122" s="18"/>
      <c r="V122" s="97"/>
    </row>
    <row r="123" spans="1:22" ht="18" customHeight="1">
      <c r="A123" s="96" t="s">
        <v>623</v>
      </c>
      <c r="B123" s="14"/>
      <c r="C123" s="14"/>
      <c r="D123" s="14"/>
      <c r="E123" s="14"/>
      <c r="M123" s="120" t="s">
        <v>624</v>
      </c>
      <c r="N123" s="28" t="s">
        <v>138</v>
      </c>
      <c r="O123" s="638" t="s">
        <v>620</v>
      </c>
      <c r="P123" s="920"/>
      <c r="Q123" s="233" t="s">
        <v>641</v>
      </c>
      <c r="R123" s="233">
        <v>16</v>
      </c>
      <c r="S123" s="198"/>
      <c r="V123" s="197"/>
    </row>
    <row r="124" spans="1:22" ht="18" customHeight="1">
      <c r="A124" s="96"/>
      <c r="B124" s="5"/>
      <c r="C124" s="5"/>
      <c r="D124" s="5"/>
      <c r="E124" s="5"/>
      <c r="M124" s="262"/>
      <c r="N124" s="28" t="s">
        <v>138</v>
      </c>
      <c r="O124" s="638">
        <f>+J119</f>
        <v>1749.5462702715934</v>
      </c>
      <c r="P124" s="920"/>
      <c r="Q124" s="233" t="s">
        <v>641</v>
      </c>
      <c r="R124" s="233">
        <v>16</v>
      </c>
      <c r="S124" s="198"/>
      <c r="V124" s="197"/>
    </row>
    <row r="125" spans="1:22" ht="18" customHeight="1">
      <c r="A125" s="96"/>
      <c r="B125" s="5"/>
      <c r="C125" s="5"/>
      <c r="D125" s="5"/>
      <c r="E125" s="5"/>
      <c r="M125" s="120" t="s">
        <v>624</v>
      </c>
      <c r="N125" s="28" t="s">
        <v>138</v>
      </c>
      <c r="O125" s="638">
        <f>O124*R124</f>
        <v>27992.740324345494</v>
      </c>
      <c r="P125" s="920"/>
      <c r="Q125" s="253" t="s">
        <v>9</v>
      </c>
      <c r="R125" s="14"/>
      <c r="S125" s="198"/>
      <c r="V125" s="197"/>
    </row>
    <row r="126" spans="1:22" ht="18" customHeight="1">
      <c r="A126" s="96"/>
      <c r="B126" s="5"/>
      <c r="C126" s="5"/>
      <c r="D126" s="5"/>
      <c r="E126" s="5"/>
      <c r="M126" s="120"/>
      <c r="N126" s="28"/>
      <c r="O126" s="28"/>
      <c r="P126" s="14"/>
      <c r="Q126" s="253"/>
      <c r="R126" s="14"/>
      <c r="S126" s="198"/>
      <c r="V126" s="197"/>
    </row>
    <row r="127" spans="1:22" ht="18" customHeight="1">
      <c r="A127" s="96"/>
      <c r="B127" s="5"/>
      <c r="C127" s="5"/>
      <c r="D127" s="5"/>
      <c r="E127" s="5"/>
      <c r="M127" s="120"/>
      <c r="N127" s="28"/>
      <c r="O127" s="28"/>
      <c r="P127" s="14"/>
      <c r="Q127" s="253"/>
      <c r="R127" s="14"/>
      <c r="S127" s="198"/>
      <c r="V127" s="197"/>
    </row>
    <row r="128" spans="1:22" s="14" customFormat="1" ht="18" customHeight="1">
      <c r="A128" s="206"/>
      <c r="B128" s="207"/>
      <c r="C128" s="207"/>
      <c r="D128" s="207"/>
      <c r="E128" s="207"/>
      <c r="F128" s="207"/>
      <c r="G128" s="207"/>
      <c r="H128" s="207"/>
      <c r="I128" s="207"/>
      <c r="J128" s="207"/>
      <c r="K128" s="207"/>
      <c r="L128" s="207"/>
      <c r="M128" s="207"/>
      <c r="N128" s="207"/>
      <c r="O128" s="207"/>
      <c r="P128" s="207"/>
      <c r="Q128" s="236"/>
      <c r="R128" s="194"/>
      <c r="S128" s="237"/>
      <c r="T128" s="207"/>
      <c r="U128" s="207"/>
      <c r="V128" s="140"/>
    </row>
    <row r="129" spans="1:24" s="14" customFormat="1" ht="18" customHeight="1">
      <c r="A129" s="141"/>
      <c r="B129" s="285"/>
      <c r="C129" s="285"/>
      <c r="D129" s="285"/>
      <c r="E129" s="285"/>
      <c r="F129" s="285"/>
      <c r="G129" s="285"/>
      <c r="H129" s="285"/>
      <c r="I129" s="285"/>
      <c r="J129" s="285"/>
      <c r="K129" s="285"/>
      <c r="L129" s="285"/>
      <c r="M129" s="285"/>
      <c r="N129" s="285"/>
      <c r="O129" s="285"/>
      <c r="P129" s="285"/>
      <c r="Q129" s="286"/>
      <c r="R129" s="145"/>
      <c r="S129" s="287"/>
      <c r="T129" s="285"/>
      <c r="U129" s="285"/>
      <c r="V129" s="288"/>
    </row>
    <row r="130" spans="1:24" ht="18" customHeight="1">
      <c r="A130" s="96" t="s">
        <v>661</v>
      </c>
      <c r="V130" s="197"/>
      <c r="X130" s="14" t="s">
        <v>662</v>
      </c>
    </row>
    <row r="131" spans="1:24" ht="18" customHeight="1">
      <c r="A131" s="196"/>
      <c r="V131" s="197"/>
    </row>
    <row r="132" spans="1:24" s="291" customFormat="1" ht="18" customHeight="1">
      <c r="A132" s="289"/>
      <c r="B132" s="638" t="s">
        <v>484</v>
      </c>
      <c r="C132" s="1124" t="s">
        <v>663</v>
      </c>
      <c r="D132" s="638">
        <v>2</v>
      </c>
      <c r="E132" s="638" t="s">
        <v>389</v>
      </c>
      <c r="F132" s="638" t="s">
        <v>628</v>
      </c>
      <c r="G132" s="638"/>
      <c r="H132" s="638" t="s">
        <v>389</v>
      </c>
      <c r="I132" s="638" t="s">
        <v>430</v>
      </c>
      <c r="J132" s="638" t="s">
        <v>431</v>
      </c>
      <c r="K132" s="638" t="s">
        <v>358</v>
      </c>
      <c r="L132" s="638" t="s">
        <v>419</v>
      </c>
      <c r="M132" s="638" t="s">
        <v>358</v>
      </c>
      <c r="N132" s="638" t="s">
        <v>660</v>
      </c>
      <c r="O132" s="638" t="s">
        <v>361</v>
      </c>
      <c r="P132" s="14"/>
      <c r="Q132" s="14"/>
      <c r="R132" s="14"/>
      <c r="S132" s="14"/>
      <c r="T132" s="14"/>
      <c r="U132" s="958" t="s">
        <v>664</v>
      </c>
      <c r="V132" s="197"/>
    </row>
    <row r="133" spans="1:24" s="291" customFormat="1" ht="18" customHeight="1">
      <c r="A133" s="289"/>
      <c r="B133" s="638"/>
      <c r="C133" s="638"/>
      <c r="D133" s="638"/>
      <c r="E133" s="638"/>
      <c r="F133" s="638"/>
      <c r="G133" s="638"/>
      <c r="H133" s="638"/>
      <c r="I133" s="638"/>
      <c r="J133" s="638"/>
      <c r="K133" s="638"/>
      <c r="L133" s="638"/>
      <c r="M133" s="638"/>
      <c r="N133" s="638"/>
      <c r="O133" s="638"/>
      <c r="P133" s="14"/>
      <c r="Q133" s="14"/>
      <c r="R133" s="14"/>
      <c r="S133" s="14"/>
      <c r="T133" s="14"/>
      <c r="U133" s="638"/>
      <c r="V133" s="197"/>
    </row>
    <row r="134" spans="1:24" ht="18" customHeight="1">
      <c r="A134" s="196"/>
      <c r="V134" s="197"/>
    </row>
    <row r="135" spans="1:24" ht="18" customHeight="1">
      <c r="A135" s="196"/>
      <c r="B135" s="47" t="s">
        <v>665</v>
      </c>
      <c r="C135" s="14"/>
      <c r="D135" s="14"/>
      <c r="E135" s="14"/>
      <c r="F135" s="18"/>
      <c r="G135" s="18"/>
      <c r="H135" s="14"/>
      <c r="I135" s="120"/>
      <c r="J135" s="14"/>
      <c r="K135" s="14"/>
      <c r="M135" s="14"/>
      <c r="N135" s="14"/>
      <c r="P135" s="14" t="s">
        <v>434</v>
      </c>
      <c r="R135" s="246" t="s">
        <v>138</v>
      </c>
      <c r="S135" s="639">
        <f>J92</f>
        <v>2000</v>
      </c>
      <c r="T135" s="639"/>
      <c r="U135" s="30" t="s">
        <v>9</v>
      </c>
      <c r="V135" s="197"/>
    </row>
    <row r="136" spans="1:24" ht="18" customHeight="1">
      <c r="A136" s="196"/>
      <c r="B136" s="47" t="s">
        <v>666</v>
      </c>
      <c r="C136" s="14"/>
      <c r="D136" s="14"/>
      <c r="E136" s="14"/>
      <c r="F136" s="18"/>
      <c r="G136" s="18"/>
      <c r="H136" s="14"/>
      <c r="I136" s="120"/>
      <c r="J136" s="14"/>
      <c r="K136" s="14"/>
      <c r="M136" s="14"/>
      <c r="N136" s="14"/>
      <c r="P136" s="14" t="s">
        <v>431</v>
      </c>
      <c r="R136" s="246" t="s">
        <v>138</v>
      </c>
      <c r="S136" s="639">
        <f>J94</f>
        <v>6</v>
      </c>
      <c r="T136" s="639"/>
      <c r="U136" s="204" t="s">
        <v>344</v>
      </c>
      <c r="V136" s="197"/>
    </row>
    <row r="137" spans="1:24" ht="18" customHeight="1">
      <c r="A137" s="196"/>
      <c r="B137" s="47" t="s">
        <v>667</v>
      </c>
      <c r="C137" s="14"/>
      <c r="D137" s="14"/>
      <c r="E137" s="14"/>
      <c r="F137" s="18"/>
      <c r="G137" s="18"/>
      <c r="H137" s="14"/>
      <c r="I137" s="120"/>
      <c r="J137" s="14"/>
      <c r="K137" s="14"/>
      <c r="M137" s="14"/>
      <c r="N137" s="14"/>
      <c r="P137" s="14" t="s">
        <v>419</v>
      </c>
      <c r="R137" s="246" t="s">
        <v>138</v>
      </c>
      <c r="S137" s="637">
        <f>O109</f>
        <v>1.5869257975000002</v>
      </c>
      <c r="T137" s="637"/>
      <c r="U137" s="204" t="s">
        <v>344</v>
      </c>
      <c r="V137" s="197"/>
    </row>
    <row r="138" spans="1:24" ht="18" customHeight="1">
      <c r="A138" s="196"/>
      <c r="B138" s="47" t="s">
        <v>668</v>
      </c>
      <c r="C138" s="14"/>
      <c r="D138" s="14"/>
      <c r="E138" s="14"/>
      <c r="F138" s="14"/>
      <c r="G138" s="14"/>
      <c r="H138" s="14"/>
      <c r="I138" s="120"/>
      <c r="J138" s="14"/>
      <c r="K138" s="14"/>
      <c r="M138" s="14"/>
      <c r="N138" s="14"/>
      <c r="P138" s="14" t="s">
        <v>660</v>
      </c>
      <c r="R138" s="246" t="s">
        <v>138</v>
      </c>
      <c r="S138" s="637">
        <f>D109</f>
        <v>0.1</v>
      </c>
      <c r="T138" s="639"/>
      <c r="U138" s="204" t="s">
        <v>344</v>
      </c>
      <c r="V138" s="197"/>
    </row>
    <row r="139" spans="1:24" ht="18" customHeight="1">
      <c r="A139" s="196"/>
      <c r="B139" s="14" t="s">
        <v>669</v>
      </c>
      <c r="C139" s="14"/>
      <c r="D139" s="14"/>
      <c r="E139" s="14"/>
      <c r="F139" s="14"/>
      <c r="G139" s="14"/>
      <c r="H139" s="14"/>
      <c r="I139" s="120"/>
      <c r="J139" s="14"/>
      <c r="K139" s="14"/>
      <c r="M139" s="14"/>
      <c r="N139" s="14"/>
      <c r="P139" s="47" t="s">
        <v>628</v>
      </c>
      <c r="R139" s="246" t="s">
        <v>138</v>
      </c>
      <c r="S139" s="637">
        <f>O125/S135</f>
        <v>13.996370162172747</v>
      </c>
      <c r="T139" s="637"/>
      <c r="U139" s="30" t="s">
        <v>9</v>
      </c>
      <c r="V139" s="197"/>
    </row>
    <row r="140" spans="1:24" ht="18" customHeight="1">
      <c r="A140" s="196"/>
      <c r="B140" s="47" t="s">
        <v>670</v>
      </c>
      <c r="C140" s="14"/>
      <c r="D140" s="14"/>
      <c r="E140" s="14"/>
      <c r="F140" s="14"/>
      <c r="G140" s="14"/>
      <c r="H140" s="14"/>
      <c r="I140" s="120"/>
      <c r="J140" s="14"/>
      <c r="K140" s="14"/>
      <c r="M140" s="14"/>
      <c r="N140" s="14"/>
      <c r="P140" s="120" t="s">
        <v>671</v>
      </c>
      <c r="R140" s="246" t="s">
        <v>138</v>
      </c>
      <c r="S140" s="639">
        <f>S58</f>
        <v>1</v>
      </c>
      <c r="T140" s="639"/>
      <c r="U140" s="30" t="s">
        <v>9</v>
      </c>
      <c r="V140" s="197"/>
    </row>
    <row r="141" spans="1:24" ht="18" customHeight="1">
      <c r="A141" s="196"/>
      <c r="V141" s="197"/>
    </row>
    <row r="142" spans="1:24" ht="18" customHeight="1">
      <c r="A142" s="96"/>
      <c r="B142" s="14" t="s">
        <v>672</v>
      </c>
      <c r="C142" s="14"/>
      <c r="D142" s="247"/>
      <c r="E142" s="14"/>
      <c r="F142" s="28"/>
      <c r="G142" s="261"/>
      <c r="H142" s="28"/>
      <c r="I142" s="263"/>
      <c r="J142" s="14"/>
      <c r="K142" s="292"/>
      <c r="M142" s="47"/>
      <c r="N142" s="280"/>
      <c r="P142" s="293"/>
      <c r="R142" s="246"/>
      <c r="S142" s="216"/>
      <c r="V142" s="197"/>
    </row>
    <row r="143" spans="1:24" ht="18" customHeight="1">
      <c r="A143" s="284"/>
      <c r="C143" s="14"/>
      <c r="D143" s="14"/>
      <c r="E143" s="14"/>
      <c r="F143" s="14"/>
      <c r="G143" s="14"/>
      <c r="H143" s="28"/>
      <c r="I143" s="47"/>
      <c r="J143" s="14"/>
      <c r="K143" s="14"/>
      <c r="M143" s="14"/>
      <c r="N143" s="14"/>
      <c r="P143" s="120"/>
      <c r="R143" s="246"/>
      <c r="S143" s="294"/>
      <c r="V143" s="197"/>
    </row>
    <row r="144" spans="1:24" ht="18" customHeight="1">
      <c r="A144" s="284"/>
      <c r="B144" s="638" t="s">
        <v>484</v>
      </c>
      <c r="C144" s="1124" t="s">
        <v>663</v>
      </c>
      <c r="D144" s="638">
        <v>2</v>
      </c>
      <c r="E144" s="638" t="s">
        <v>389</v>
      </c>
      <c r="F144" s="638" t="s">
        <v>628</v>
      </c>
      <c r="G144" s="638"/>
      <c r="H144" s="638" t="s">
        <v>389</v>
      </c>
      <c r="I144" s="638" t="s">
        <v>430</v>
      </c>
      <c r="J144" s="638" t="s">
        <v>431</v>
      </c>
      <c r="K144" s="638" t="s">
        <v>358</v>
      </c>
      <c r="L144" s="638" t="s">
        <v>419</v>
      </c>
      <c r="M144" s="638" t="s">
        <v>358</v>
      </c>
      <c r="N144" s="638" t="s">
        <v>660</v>
      </c>
      <c r="O144" s="638" t="s">
        <v>361</v>
      </c>
      <c r="P144" s="14"/>
      <c r="Q144" s="14"/>
      <c r="R144" s="14"/>
      <c r="S144" s="14"/>
      <c r="T144" s="14"/>
      <c r="U144" s="958" t="s">
        <v>664</v>
      </c>
      <c r="V144" s="197"/>
    </row>
    <row r="145" spans="1:22" s="291" customFormat="1" ht="18" customHeight="1">
      <c r="A145" s="289"/>
      <c r="B145" s="638"/>
      <c r="C145" s="638"/>
      <c r="D145" s="638"/>
      <c r="E145" s="638"/>
      <c r="F145" s="638"/>
      <c r="G145" s="638"/>
      <c r="H145" s="638"/>
      <c r="I145" s="638"/>
      <c r="J145" s="638"/>
      <c r="K145" s="638"/>
      <c r="L145" s="638"/>
      <c r="M145" s="638"/>
      <c r="N145" s="638"/>
      <c r="O145" s="638"/>
      <c r="P145" s="14"/>
      <c r="Q145" s="14"/>
      <c r="R145" s="14"/>
      <c r="S145" s="14"/>
      <c r="T145" s="14"/>
      <c r="U145" s="638"/>
      <c r="V145" s="197"/>
    </row>
    <row r="146" spans="1:22" s="291" customFormat="1" ht="18" customHeight="1">
      <c r="A146" s="289"/>
      <c r="B146" s="28"/>
      <c r="C146" s="28"/>
      <c r="D146" s="166"/>
      <c r="E146" s="166"/>
      <c r="F146" s="166"/>
      <c r="G146" s="166"/>
      <c r="H146" s="166"/>
      <c r="I146" s="28"/>
      <c r="J146" s="28"/>
      <c r="K146" s="28"/>
      <c r="L146" s="28"/>
      <c r="M146" s="28"/>
      <c r="N146" s="28"/>
      <c r="O146" s="28"/>
      <c r="P146" s="14"/>
      <c r="Q146" s="14"/>
      <c r="R146" s="14"/>
      <c r="S146" s="14"/>
      <c r="T146" s="14"/>
      <c r="U146" s="28"/>
      <c r="V146" s="197"/>
    </row>
    <row r="147" spans="1:22" ht="18" customHeight="1">
      <c r="A147" s="289"/>
      <c r="B147" s="28"/>
      <c r="C147" s="1124" t="s">
        <v>663</v>
      </c>
      <c r="D147" s="861">
        <v>2</v>
      </c>
      <c r="E147" s="861" t="s">
        <v>389</v>
      </c>
      <c r="F147" s="1113">
        <f>S139</f>
        <v>13.996370162172747</v>
      </c>
      <c r="G147" s="1113"/>
      <c r="H147" s="861" t="s">
        <v>389</v>
      </c>
      <c r="I147" s="861" t="s">
        <v>430</v>
      </c>
      <c r="J147" s="861">
        <f>S136</f>
        <v>6</v>
      </c>
      <c r="K147" s="861" t="s">
        <v>358</v>
      </c>
      <c r="L147" s="1113">
        <f>S137</f>
        <v>1.5869257975000002</v>
      </c>
      <c r="M147" s="861" t="s">
        <v>358</v>
      </c>
      <c r="N147" s="1113">
        <f>S138</f>
        <v>0.1</v>
      </c>
      <c r="O147" s="861" t="s">
        <v>361</v>
      </c>
      <c r="P147" s="14"/>
      <c r="Q147" s="14"/>
      <c r="R147" s="14"/>
      <c r="S147" s="14"/>
      <c r="T147" s="14"/>
      <c r="U147" s="28"/>
      <c r="V147" s="197"/>
    </row>
    <row r="148" spans="1:22" ht="18" customHeight="1">
      <c r="A148" s="289"/>
      <c r="B148" s="28"/>
      <c r="C148" s="638"/>
      <c r="D148" s="861"/>
      <c r="E148" s="861"/>
      <c r="F148" s="1113"/>
      <c r="G148" s="1113"/>
      <c r="H148" s="861"/>
      <c r="I148" s="861"/>
      <c r="J148" s="861"/>
      <c r="K148" s="861"/>
      <c r="L148" s="861"/>
      <c r="M148" s="861"/>
      <c r="N148" s="861"/>
      <c r="O148" s="861"/>
      <c r="P148" s="14"/>
      <c r="Q148" s="14"/>
      <c r="R148" s="14"/>
      <c r="S148" s="14"/>
      <c r="T148" s="14"/>
      <c r="U148" s="28"/>
      <c r="V148" s="197"/>
    </row>
    <row r="149" spans="1:22" ht="18" customHeight="1">
      <c r="A149" s="289"/>
      <c r="B149" s="14"/>
      <c r="C149" s="14"/>
      <c r="D149" s="291"/>
      <c r="E149" s="291"/>
      <c r="F149" s="291"/>
      <c r="G149" s="14"/>
      <c r="I149" s="14"/>
      <c r="K149" s="28"/>
      <c r="L149" s="14"/>
      <c r="N149" s="14"/>
      <c r="O149" s="14"/>
      <c r="P149" s="14"/>
      <c r="Q149" s="14"/>
      <c r="R149" s="14"/>
      <c r="S149" s="14"/>
      <c r="T149" s="14"/>
      <c r="U149" s="14"/>
      <c r="V149" s="197"/>
    </row>
    <row r="150" spans="1:22" ht="18" customHeight="1">
      <c r="A150" s="96"/>
      <c r="B150" s="14"/>
      <c r="C150" s="27" t="s">
        <v>138</v>
      </c>
      <c r="D150" s="798">
        <f>D147*F147*(J147+L147+N147)</f>
        <v>215.1781177419299</v>
      </c>
      <c r="E150" s="799"/>
      <c r="F150" s="30" t="s">
        <v>316</v>
      </c>
      <c r="G150" s="14"/>
      <c r="H150" s="14"/>
      <c r="I150" s="14"/>
      <c r="J150" s="14"/>
      <c r="K150" s="14"/>
      <c r="L150" s="14"/>
      <c r="M150" s="14"/>
      <c r="N150" s="14"/>
      <c r="R150" s="246"/>
      <c r="S150" s="216"/>
      <c r="V150" s="197"/>
    </row>
    <row r="151" spans="1:22" ht="18" customHeight="1">
      <c r="A151" s="96"/>
      <c r="B151" s="14"/>
      <c r="G151" s="14"/>
      <c r="H151" s="14"/>
      <c r="I151" s="14"/>
      <c r="J151" s="14"/>
      <c r="K151" s="14"/>
      <c r="L151" s="14"/>
      <c r="M151" s="14"/>
      <c r="N151" s="14"/>
      <c r="R151" s="246"/>
      <c r="S151" s="216"/>
      <c r="V151" s="197"/>
    </row>
    <row r="152" spans="1:22" ht="18" customHeight="1">
      <c r="A152" s="96"/>
      <c r="B152" s="14"/>
      <c r="D152" s="30" t="s">
        <v>486</v>
      </c>
      <c r="G152" s="28" t="s">
        <v>487</v>
      </c>
      <c r="H152" s="30" t="s">
        <v>488</v>
      </c>
      <c r="M152" s="14"/>
      <c r="N152" s="14"/>
      <c r="R152" s="246"/>
      <c r="S152" s="216"/>
      <c r="V152" s="197"/>
    </row>
    <row r="153" spans="1:22" ht="18" customHeight="1">
      <c r="A153" s="96"/>
      <c r="B153" s="14"/>
      <c r="E153" s="639">
        <f>J95</f>
        <v>500</v>
      </c>
      <c r="F153" s="639"/>
      <c r="G153" s="28" t="s">
        <v>487</v>
      </c>
      <c r="H153" s="637">
        <f>D150</f>
        <v>215.1781177419299</v>
      </c>
      <c r="I153" s="639"/>
      <c r="M153" s="14"/>
      <c r="N153" s="14"/>
      <c r="R153" s="246"/>
      <c r="S153" s="216"/>
      <c r="V153" s="197"/>
    </row>
    <row r="154" spans="1:22" ht="18" customHeight="1">
      <c r="A154" s="96"/>
      <c r="B154" s="14"/>
      <c r="F154" s="256" t="s">
        <v>489</v>
      </c>
      <c r="H154" s="18" t="str">
        <f>IF(E153&gt;H153,"Suitable Dimensions","Under Dimensioned")</f>
        <v>Suitable Dimensions</v>
      </c>
      <c r="M154" s="14"/>
      <c r="N154" s="14"/>
      <c r="R154" s="246"/>
      <c r="S154" s="216"/>
      <c r="V154" s="197"/>
    </row>
    <row r="155" spans="1:22" ht="18" customHeight="1">
      <c r="A155" s="96"/>
      <c r="B155" s="14"/>
      <c r="G155" s="14"/>
      <c r="H155" s="14"/>
      <c r="I155" s="14"/>
      <c r="J155" s="14"/>
      <c r="K155" s="14"/>
      <c r="L155" s="14"/>
      <c r="M155" s="14"/>
      <c r="N155" s="14"/>
      <c r="R155" s="246"/>
      <c r="S155" s="216"/>
      <c r="V155" s="197"/>
    </row>
    <row r="156" spans="1:22" ht="18" customHeight="1">
      <c r="A156" s="205"/>
      <c r="B156" s="14"/>
      <c r="G156" s="14"/>
      <c r="H156" s="14"/>
      <c r="I156" s="14"/>
      <c r="J156" s="14"/>
      <c r="K156" s="14"/>
      <c r="L156" s="14"/>
      <c r="M156" s="14"/>
      <c r="N156" s="14"/>
      <c r="R156" s="246"/>
      <c r="S156" s="216"/>
      <c r="V156" s="197"/>
    </row>
    <row r="157" spans="1:22" ht="18" customHeight="1">
      <c r="A157" s="96"/>
      <c r="B157" s="14"/>
      <c r="D157" s="14"/>
      <c r="E157" s="14"/>
      <c r="F157" s="291"/>
      <c r="G157" s="14"/>
      <c r="H157" s="14"/>
      <c r="I157" s="291"/>
      <c r="J157" s="14"/>
      <c r="K157" s="14"/>
      <c r="L157" s="14"/>
      <c r="M157" s="14"/>
      <c r="N157" s="14"/>
      <c r="R157" s="246"/>
      <c r="S157" s="216"/>
      <c r="V157" s="197"/>
    </row>
    <row r="158" spans="1:22" ht="18" customHeight="1">
      <c r="A158" s="96"/>
      <c r="B158" s="14"/>
      <c r="D158" s="14"/>
      <c r="E158" s="14"/>
      <c r="F158" s="291"/>
      <c r="G158" s="14"/>
      <c r="H158" s="14"/>
      <c r="I158" s="291"/>
      <c r="J158" s="14"/>
      <c r="K158" s="14"/>
      <c r="L158" s="14"/>
      <c r="M158" s="14"/>
      <c r="N158" s="14"/>
      <c r="R158" s="246"/>
      <c r="S158" s="216"/>
      <c r="V158" s="197"/>
    </row>
    <row r="159" spans="1:22" ht="18" customHeight="1">
      <c r="A159" s="96"/>
      <c r="B159" s="14"/>
      <c r="D159" s="14"/>
      <c r="E159" s="14"/>
      <c r="F159" s="291"/>
      <c r="G159" s="14"/>
      <c r="H159" s="14"/>
      <c r="I159" s="291"/>
      <c r="J159" s="14"/>
      <c r="K159" s="14"/>
      <c r="L159" s="14"/>
      <c r="M159" s="14"/>
      <c r="N159" s="14"/>
      <c r="R159" s="246"/>
      <c r="S159" s="216"/>
      <c r="V159" s="197"/>
    </row>
    <row r="160" spans="1:22" ht="18" customHeight="1">
      <c r="A160" s="96"/>
      <c r="B160" s="14"/>
      <c r="G160" s="14"/>
      <c r="H160" s="14"/>
      <c r="I160" s="14"/>
      <c r="J160" s="14"/>
      <c r="K160" s="14"/>
      <c r="L160" s="14"/>
      <c r="M160" s="14"/>
      <c r="N160" s="14"/>
      <c r="R160" s="246"/>
      <c r="S160" s="216"/>
      <c r="V160" s="197"/>
    </row>
    <row r="161" spans="1:22" ht="18" customHeight="1">
      <c r="A161" s="96"/>
      <c r="B161" s="14"/>
      <c r="F161" s="14"/>
      <c r="G161" s="14"/>
      <c r="H161" s="14"/>
      <c r="I161" s="14"/>
      <c r="J161" s="14"/>
      <c r="K161" s="14"/>
      <c r="L161" s="14"/>
      <c r="M161" s="14"/>
      <c r="N161" s="14"/>
      <c r="O161" s="166"/>
      <c r="P161" s="14"/>
      <c r="R161" s="246"/>
      <c r="S161" s="216"/>
      <c r="V161" s="197"/>
    </row>
    <row r="162" spans="1:22" ht="18" customHeight="1">
      <c r="A162" s="96"/>
      <c r="B162" s="14"/>
      <c r="F162" s="14"/>
      <c r="G162" s="269"/>
      <c r="H162" s="14"/>
      <c r="I162" s="14"/>
      <c r="J162" s="14"/>
      <c r="K162" s="14"/>
      <c r="L162" s="14"/>
      <c r="M162" s="14"/>
      <c r="N162" s="14"/>
      <c r="R162" s="246"/>
      <c r="S162" s="216"/>
      <c r="V162" s="197"/>
    </row>
    <row r="163" spans="1:22" ht="18" customHeight="1">
      <c r="A163" s="96"/>
      <c r="B163" s="14"/>
      <c r="G163" s="14"/>
      <c r="H163" s="14"/>
      <c r="I163" s="14"/>
      <c r="J163" s="14"/>
      <c r="K163" s="14"/>
      <c r="L163" s="14"/>
      <c r="M163" s="14"/>
      <c r="N163" s="14"/>
      <c r="R163" s="246"/>
      <c r="S163" s="216"/>
      <c r="V163" s="197"/>
    </row>
    <row r="164" spans="1:22" ht="18" customHeight="1">
      <c r="A164" s="96"/>
      <c r="B164" s="14"/>
      <c r="F164" s="27"/>
      <c r="G164" s="14"/>
      <c r="H164" s="14"/>
      <c r="I164" s="14"/>
      <c r="J164" s="14"/>
      <c r="K164" s="14"/>
      <c r="L164" s="14"/>
      <c r="M164" s="14"/>
      <c r="N164" s="14"/>
      <c r="R164" s="246"/>
      <c r="S164" s="216"/>
      <c r="V164" s="197"/>
    </row>
    <row r="165" spans="1:22" ht="18" customHeight="1">
      <c r="A165" s="96"/>
      <c r="B165" s="14"/>
      <c r="G165" s="14"/>
      <c r="H165" s="14"/>
      <c r="I165" s="14"/>
      <c r="J165" s="14"/>
      <c r="K165" s="14"/>
      <c r="L165" s="14"/>
      <c r="M165" s="14"/>
      <c r="N165" s="14"/>
      <c r="R165" s="246"/>
      <c r="S165" s="216"/>
      <c r="V165" s="197"/>
    </row>
    <row r="166" spans="1:22" ht="18" customHeight="1">
      <c r="A166" s="96"/>
      <c r="B166" s="14"/>
      <c r="D166" s="295"/>
      <c r="E166" s="296"/>
      <c r="F166" s="14"/>
      <c r="G166" s="14"/>
      <c r="H166" s="14"/>
      <c r="I166" s="296"/>
      <c r="J166" s="28"/>
      <c r="L166" s="291"/>
      <c r="M166" s="120"/>
      <c r="N166" s="47"/>
      <c r="O166" s="291"/>
      <c r="P166" s="248"/>
      <c r="Q166" s="248"/>
      <c r="R166" s="246"/>
      <c r="S166" s="216"/>
      <c r="V166" s="197"/>
    </row>
    <row r="167" spans="1:22" ht="18" customHeight="1">
      <c r="A167" s="96"/>
      <c r="B167" s="14"/>
      <c r="D167" s="230"/>
      <c r="E167" s="296"/>
      <c r="F167" s="297"/>
      <c r="G167" s="298"/>
      <c r="H167" s="297"/>
      <c r="I167" s="296"/>
      <c r="J167" s="28"/>
      <c r="L167" s="291"/>
      <c r="M167" s="120"/>
      <c r="N167" s="225"/>
      <c r="O167" s="291"/>
      <c r="P167" s="248"/>
      <c r="Q167" s="248"/>
      <c r="R167" s="246"/>
      <c r="S167" s="216"/>
      <c r="V167" s="197"/>
    </row>
    <row r="168" spans="1:22" ht="18" customHeight="1">
      <c r="A168" s="96"/>
      <c r="B168" s="14"/>
      <c r="G168" s="14"/>
      <c r="H168" s="14"/>
      <c r="I168" s="14"/>
      <c r="J168" s="14"/>
      <c r="K168" s="14"/>
      <c r="L168" s="14"/>
      <c r="M168" s="14"/>
      <c r="N168" s="14"/>
      <c r="R168" s="246"/>
      <c r="S168" s="216"/>
      <c r="V168" s="197"/>
    </row>
    <row r="169" spans="1:22" s="14" customFormat="1" ht="18" customHeight="1">
      <c r="A169" s="206"/>
      <c r="B169" s="207"/>
      <c r="C169" s="207"/>
      <c r="D169" s="207"/>
      <c r="E169" s="207"/>
      <c r="F169" s="207"/>
      <c r="G169" s="207"/>
      <c r="H169" s="207"/>
      <c r="I169" s="207"/>
      <c r="J169" s="207"/>
      <c r="K169" s="207"/>
      <c r="L169" s="207"/>
      <c r="M169" s="207"/>
      <c r="N169" s="207"/>
      <c r="O169" s="207"/>
      <c r="P169" s="207"/>
      <c r="Q169" s="236"/>
      <c r="R169" s="194"/>
      <c r="S169" s="237"/>
      <c r="T169" s="207"/>
      <c r="U169" s="207"/>
      <c r="V169" s="140"/>
    </row>
    <row r="170" spans="1:22" ht="18" hidden="1" customHeight="1">
      <c r="A170" s="238"/>
      <c r="B170" s="239"/>
      <c r="C170" s="239"/>
      <c r="D170" s="239"/>
      <c r="E170" s="239"/>
      <c r="F170" s="239"/>
      <c r="G170" s="239"/>
      <c r="H170" s="239"/>
      <c r="I170" s="239"/>
      <c r="J170" s="239"/>
      <c r="K170" s="239"/>
      <c r="L170" s="239"/>
      <c r="M170" s="239"/>
      <c r="N170" s="239"/>
      <c r="O170" s="239"/>
      <c r="P170" s="239"/>
      <c r="Q170" s="239"/>
      <c r="R170" s="239"/>
      <c r="S170" s="239"/>
      <c r="T170" s="239"/>
      <c r="U170" s="239"/>
      <c r="V170" s="240"/>
    </row>
    <row r="171" spans="1:22" ht="18" hidden="1" customHeight="1">
      <c r="A171" s="196"/>
      <c r="B171" s="650" t="str">
        <f>B89</f>
        <v>T1</v>
      </c>
      <c r="C171" s="651"/>
      <c r="D171" s="663" t="str">
        <f>D89</f>
        <v>Core2</v>
      </c>
      <c r="E171" s="664"/>
      <c r="F171" s="198" t="s">
        <v>642</v>
      </c>
      <c r="H171" s="639" t="str">
        <f>H89</f>
        <v>(Transformer Differential)</v>
      </c>
      <c r="I171" s="639"/>
      <c r="J171" s="639"/>
      <c r="K171" s="639"/>
      <c r="L171" s="639"/>
      <c r="M171" s="639"/>
      <c r="P171" s="198"/>
      <c r="S171" s="199" t="s">
        <v>398</v>
      </c>
      <c r="T171" s="1125" t="str">
        <f>T89</f>
        <v>SEL487E</v>
      </c>
      <c r="U171" s="1126"/>
      <c r="V171" s="197"/>
    </row>
    <row r="172" spans="1:22" ht="18" hidden="1" customHeight="1">
      <c r="A172" s="196"/>
      <c r="B172" s="660">
        <f>B90</f>
        <v>0</v>
      </c>
      <c r="C172" s="660"/>
      <c r="D172" s="665"/>
      <c r="E172" s="666"/>
      <c r="F172" s="299"/>
      <c r="T172" s="1125">
        <f>T90</f>
        <v>0</v>
      </c>
      <c r="U172" s="1126"/>
      <c r="V172" s="197"/>
    </row>
    <row r="173" spans="1:22" ht="18" hidden="1" customHeight="1">
      <c r="A173" s="196"/>
      <c r="H173" s="661" t="s">
        <v>401</v>
      </c>
      <c r="I173" s="661"/>
      <c r="J173" s="661" t="s">
        <v>402</v>
      </c>
      <c r="K173" s="661"/>
      <c r="L173" s="662" t="s">
        <v>403</v>
      </c>
      <c r="M173" s="662"/>
      <c r="T173" s="1125">
        <f>T91</f>
        <v>0</v>
      </c>
      <c r="U173" s="1126"/>
      <c r="V173" s="197"/>
    </row>
    <row r="174" spans="1:22" ht="18" hidden="1" customHeight="1">
      <c r="A174" s="196"/>
      <c r="B174" s="47" t="s">
        <v>404</v>
      </c>
      <c r="H174" s="650">
        <f>H92</f>
        <v>3150</v>
      </c>
      <c r="I174" s="651"/>
      <c r="J174" s="650">
        <f>J92</f>
        <v>2000</v>
      </c>
      <c r="K174" s="651"/>
      <c r="L174" s="652" t="str">
        <f>L92</f>
        <v>-</v>
      </c>
      <c r="M174" s="653"/>
      <c r="N174" s="102" t="s">
        <v>353</v>
      </c>
      <c r="O174" s="268">
        <f>O92</f>
        <v>1</v>
      </c>
      <c r="P174" s="27" t="s">
        <v>9</v>
      </c>
      <c r="V174" s="197"/>
    </row>
    <row r="175" spans="1:22" ht="18" hidden="1" customHeight="1">
      <c r="A175" s="196"/>
      <c r="B175" s="47" t="s">
        <v>405</v>
      </c>
      <c r="H175" s="14"/>
      <c r="I175" s="14"/>
      <c r="L175" s="650" t="str">
        <f>J93</f>
        <v>PX</v>
      </c>
      <c r="M175" s="707"/>
      <c r="V175" s="197"/>
    </row>
    <row r="176" spans="1:22" ht="18" hidden="1" customHeight="1">
      <c r="A176" s="196"/>
      <c r="B176" s="47" t="s">
        <v>407</v>
      </c>
      <c r="K176" s="120" t="s">
        <v>508</v>
      </c>
      <c r="L176" s="656">
        <v>3</v>
      </c>
      <c r="M176" s="657"/>
      <c r="N176" s="204" t="s">
        <v>344</v>
      </c>
      <c r="V176" s="197"/>
    </row>
    <row r="177" spans="1:29" ht="18" hidden="1" customHeight="1">
      <c r="A177" s="196"/>
      <c r="B177" s="47" t="s">
        <v>409</v>
      </c>
      <c r="K177" s="120" t="s">
        <v>509</v>
      </c>
      <c r="L177" s="656">
        <v>200</v>
      </c>
      <c r="M177" s="657"/>
      <c r="N177" s="14" t="s">
        <v>316</v>
      </c>
      <c r="V177" s="197"/>
      <c r="W177" s="30" t="s">
        <v>411</v>
      </c>
      <c r="AB177" s="996" t="e">
        <f>D235</f>
        <v>#VALUE!</v>
      </c>
      <c r="AC177" s="997"/>
    </row>
    <row r="178" spans="1:29" ht="18" hidden="1" customHeight="1">
      <c r="A178" s="196"/>
      <c r="B178" s="14" t="s">
        <v>412</v>
      </c>
      <c r="K178" s="120" t="s">
        <v>413</v>
      </c>
      <c r="L178" s="656">
        <v>50</v>
      </c>
      <c r="M178" s="657"/>
      <c r="N178" s="30" t="s">
        <v>414</v>
      </c>
      <c r="V178" s="197"/>
    </row>
    <row r="179" spans="1:29" ht="18" hidden="1" customHeight="1">
      <c r="A179" s="96"/>
      <c r="V179" s="197"/>
    </row>
    <row r="180" spans="1:29" ht="18" hidden="1" customHeight="1">
      <c r="A180" s="205" t="s">
        <v>415</v>
      </c>
      <c r="V180" s="197"/>
    </row>
    <row r="181" spans="1:29" ht="18" hidden="1" customHeight="1">
      <c r="A181" s="196"/>
      <c r="V181" s="197"/>
    </row>
    <row r="182" spans="1:29" ht="18" hidden="1" customHeight="1">
      <c r="A182" s="196"/>
      <c r="B182" s="206" t="s">
        <v>416</v>
      </c>
      <c r="C182" s="207"/>
      <c r="D182" s="207" t="str">
        <f>T171</f>
        <v>SEL487E</v>
      </c>
      <c r="E182" s="208"/>
      <c r="F182" s="208"/>
      <c r="G182" s="208"/>
      <c r="H182" s="194" t="s">
        <v>417</v>
      </c>
      <c r="I182" s="195" t="s">
        <v>138</v>
      </c>
      <c r="J182" s="897">
        <f>J100</f>
        <v>0.1</v>
      </c>
      <c r="K182" s="649"/>
      <c r="L182" s="3" t="s">
        <v>168</v>
      </c>
      <c r="V182" s="197"/>
    </row>
    <row r="183" spans="1:29" ht="18" hidden="1" customHeight="1">
      <c r="A183" s="196"/>
      <c r="B183" s="196" t="s">
        <v>416</v>
      </c>
      <c r="D183" s="30">
        <f>T172</f>
        <v>0</v>
      </c>
      <c r="H183" s="27"/>
      <c r="I183" s="189" t="s">
        <v>138</v>
      </c>
      <c r="J183" s="1042">
        <f>J101</f>
        <v>0</v>
      </c>
      <c r="K183" s="643"/>
      <c r="L183" s="210" t="s">
        <v>168</v>
      </c>
      <c r="V183" s="197"/>
    </row>
    <row r="184" spans="1:29" ht="18" hidden="1" customHeight="1">
      <c r="A184" s="196"/>
      <c r="B184" s="196" t="s">
        <v>416</v>
      </c>
      <c r="D184" s="30">
        <f>T173</f>
        <v>0</v>
      </c>
      <c r="E184" s="14"/>
      <c r="G184" s="211"/>
      <c r="H184" s="27"/>
      <c r="I184" s="189" t="s">
        <v>138</v>
      </c>
      <c r="J184" s="644">
        <f>J102</f>
        <v>0</v>
      </c>
      <c r="K184" s="645"/>
      <c r="L184" s="214" t="s">
        <v>168</v>
      </c>
      <c r="V184" s="197"/>
    </row>
    <row r="185" spans="1:29" ht="18" hidden="1" customHeight="1">
      <c r="A185" s="196"/>
      <c r="B185" s="196" t="s">
        <v>423</v>
      </c>
      <c r="H185" s="27" t="s">
        <v>610</v>
      </c>
      <c r="I185" s="189" t="s">
        <v>138</v>
      </c>
      <c r="J185" s="1042">
        <f>J103</f>
        <v>1.4869257975000001</v>
      </c>
      <c r="K185" s="643"/>
      <c r="L185" s="215" t="s">
        <v>168</v>
      </c>
      <c r="V185" s="197"/>
    </row>
    <row r="186" spans="1:29" ht="18" hidden="1" customHeight="1">
      <c r="A186" s="196"/>
      <c r="B186" s="217" t="s">
        <v>424</v>
      </c>
      <c r="C186" s="218"/>
      <c r="D186" s="218"/>
      <c r="E186" s="218"/>
      <c r="F186" s="219"/>
      <c r="G186" s="219"/>
      <c r="H186" s="202" t="s">
        <v>420</v>
      </c>
      <c r="I186" s="220" t="s">
        <v>138</v>
      </c>
      <c r="J186" s="897">
        <f>J183+J185</f>
        <v>1.4869257975000001</v>
      </c>
      <c r="K186" s="649"/>
      <c r="L186" s="222" t="s">
        <v>168</v>
      </c>
      <c r="V186" s="197"/>
    </row>
    <row r="187" spans="1:29" ht="18" hidden="1" customHeight="1">
      <c r="A187" s="196"/>
      <c r="B187" s="47"/>
      <c r="C187" s="47"/>
      <c r="D187" s="47"/>
      <c r="E187" s="47"/>
      <c r="H187" s="27"/>
      <c r="I187" s="28"/>
      <c r="J187" s="211"/>
      <c r="L187" s="47"/>
      <c r="O187" s="27"/>
      <c r="P187" s="223"/>
      <c r="Q187" s="223"/>
      <c r="R187" s="204"/>
      <c r="V187" s="197"/>
    </row>
    <row r="188" spans="1:29" ht="18" hidden="1" customHeight="1">
      <c r="A188" s="196"/>
      <c r="B188" s="209" t="s">
        <v>659</v>
      </c>
      <c r="L188" s="47"/>
      <c r="M188" s="209" t="s">
        <v>418</v>
      </c>
      <c r="V188" s="197"/>
    </row>
    <row r="189" spans="1:29" ht="18" hidden="1" customHeight="1">
      <c r="A189" s="196"/>
      <c r="B189" s="27" t="s">
        <v>660</v>
      </c>
      <c r="C189" s="27" t="s">
        <v>138</v>
      </c>
      <c r="D189" s="30" t="s">
        <v>417</v>
      </c>
      <c r="E189" s="283" t="s">
        <v>421</v>
      </c>
      <c r="F189" s="27" t="s">
        <v>157</v>
      </c>
      <c r="G189" s="28" t="s">
        <v>326</v>
      </c>
      <c r="H189" s="230" t="s">
        <v>157</v>
      </c>
      <c r="I189" s="30" t="s">
        <v>361</v>
      </c>
      <c r="J189" s="211"/>
      <c r="L189" s="47"/>
      <c r="M189" s="30" t="s">
        <v>419</v>
      </c>
      <c r="N189" s="27" t="s">
        <v>138</v>
      </c>
      <c r="O189" s="30" t="s">
        <v>420</v>
      </c>
      <c r="P189" s="203" t="s">
        <v>421</v>
      </c>
      <c r="Q189" s="256" t="s">
        <v>422</v>
      </c>
      <c r="R189" s="27" t="s">
        <v>326</v>
      </c>
      <c r="S189" s="30" t="s">
        <v>422</v>
      </c>
      <c r="T189" s="30" t="s">
        <v>361</v>
      </c>
      <c r="V189" s="197"/>
    </row>
    <row r="190" spans="1:29" ht="18" hidden="1" customHeight="1">
      <c r="A190" s="196"/>
      <c r="B190" s="47"/>
      <c r="C190" s="27" t="s">
        <v>138</v>
      </c>
      <c r="D190" s="216">
        <f>J182</f>
        <v>0.1</v>
      </c>
      <c r="E190" s="203" t="s">
        <v>421</v>
      </c>
      <c r="F190" s="27">
        <f>F108</f>
        <v>1</v>
      </c>
      <c r="G190" s="27" t="s">
        <v>326</v>
      </c>
      <c r="H190" s="27">
        <f>H108</f>
        <v>1</v>
      </c>
      <c r="I190" s="30" t="s">
        <v>361</v>
      </c>
      <c r="J190" s="211"/>
      <c r="L190" s="47"/>
      <c r="N190" s="27" t="s">
        <v>138</v>
      </c>
      <c r="O190" s="216">
        <f>J186</f>
        <v>1.4869257975000001</v>
      </c>
      <c r="P190" s="203" t="s">
        <v>421</v>
      </c>
      <c r="Q190" s="27">
        <f>O174</f>
        <v>1</v>
      </c>
      <c r="R190" s="27" t="s">
        <v>326</v>
      </c>
      <c r="S190" s="27">
        <f>O174</f>
        <v>1</v>
      </c>
      <c r="T190" s="30" t="s">
        <v>361</v>
      </c>
      <c r="V190" s="197"/>
    </row>
    <row r="191" spans="1:29" ht="18" hidden="1" customHeight="1">
      <c r="A191" s="196"/>
      <c r="B191" s="47"/>
      <c r="C191" s="27" t="s">
        <v>138</v>
      </c>
      <c r="D191" s="637">
        <f>D190/(F190*H190)</f>
        <v>0.1</v>
      </c>
      <c r="E191" s="637"/>
      <c r="F191" s="204" t="s">
        <v>344</v>
      </c>
      <c r="J191" s="211"/>
      <c r="L191" s="47"/>
      <c r="N191" s="27" t="s">
        <v>138</v>
      </c>
      <c r="O191" s="637">
        <f>O190/(Q190*S190)</f>
        <v>1.4869257975000001</v>
      </c>
      <c r="P191" s="637"/>
      <c r="Q191" s="204" t="s">
        <v>344</v>
      </c>
      <c r="V191" s="197"/>
    </row>
    <row r="192" spans="1:29" ht="18" hidden="1" customHeight="1">
      <c r="A192" s="196"/>
      <c r="B192" s="47"/>
      <c r="C192" s="47"/>
      <c r="D192" s="47"/>
      <c r="E192" s="47"/>
      <c r="H192" s="27"/>
      <c r="I192" s="28"/>
      <c r="J192" s="211"/>
      <c r="L192" s="47"/>
      <c r="O192" s="27"/>
      <c r="P192" s="223"/>
      <c r="Q192" s="223"/>
      <c r="R192" s="204"/>
      <c r="V192" s="197"/>
    </row>
    <row r="193" spans="1:22" ht="18" hidden="1" customHeight="1">
      <c r="A193" s="196"/>
      <c r="B193" s="47"/>
      <c r="C193" s="47"/>
      <c r="D193" s="47"/>
      <c r="E193" s="47"/>
      <c r="H193" s="27"/>
      <c r="I193" s="28"/>
      <c r="J193" s="211"/>
      <c r="L193" s="28"/>
      <c r="M193" s="216"/>
      <c r="N193" s="216"/>
      <c r="O193" s="27"/>
      <c r="P193" s="216"/>
      <c r="Q193" s="216"/>
      <c r="R193" s="223"/>
      <c r="S193" s="216"/>
      <c r="T193" s="216"/>
      <c r="U193" s="204"/>
      <c r="V193" s="197"/>
    </row>
    <row r="194" spans="1:22" s="14" customFormat="1" ht="18" hidden="1" customHeight="1">
      <c r="A194" s="205" t="s">
        <v>611</v>
      </c>
      <c r="B194" s="5"/>
      <c r="C194" s="5"/>
      <c r="D194" s="5"/>
      <c r="E194" s="5"/>
      <c r="F194" s="5"/>
      <c r="G194" s="5"/>
      <c r="H194" s="224"/>
      <c r="I194" s="224"/>
      <c r="J194" s="5"/>
      <c r="K194" s="5"/>
      <c r="L194" s="5"/>
      <c r="M194" s="5"/>
      <c r="N194" s="5"/>
      <c r="O194" s="5"/>
      <c r="P194" s="103"/>
      <c r="Q194" s="224"/>
      <c r="R194" s="225"/>
      <c r="S194" s="226"/>
      <c r="T194" s="18"/>
      <c r="U194" s="18"/>
      <c r="V194" s="97"/>
    </row>
    <row r="195" spans="1:22" s="14" customFormat="1" ht="18" hidden="1" customHeight="1">
      <c r="A195" s="96"/>
      <c r="B195" s="47" t="s">
        <v>612</v>
      </c>
      <c r="C195" s="5"/>
      <c r="D195" s="5"/>
      <c r="E195" s="5"/>
      <c r="I195" s="227"/>
      <c r="M195" s="5"/>
      <c r="N195" s="103" t="s">
        <v>138</v>
      </c>
      <c r="O195" s="1125">
        <f>O113</f>
        <v>100</v>
      </c>
      <c r="P195" s="651"/>
      <c r="Q195" s="14" t="s">
        <v>613</v>
      </c>
      <c r="S195" s="226"/>
      <c r="T195" s="18"/>
      <c r="U195" s="18"/>
      <c r="V195" s="97"/>
    </row>
    <row r="196" spans="1:22" s="14" customFormat="1" ht="18" hidden="1" customHeight="1">
      <c r="A196" s="96"/>
      <c r="B196" s="47" t="s">
        <v>614</v>
      </c>
      <c r="C196" s="5"/>
      <c r="D196" s="5"/>
      <c r="E196" s="5"/>
      <c r="I196" s="227"/>
      <c r="M196" s="5"/>
      <c r="N196" s="103" t="s">
        <v>138</v>
      </c>
      <c r="O196" s="1125">
        <f>O114</f>
        <v>25</v>
      </c>
      <c r="P196" s="651"/>
      <c r="Q196" s="14" t="s">
        <v>615</v>
      </c>
      <c r="S196" s="226"/>
      <c r="T196" s="18"/>
      <c r="U196" s="18"/>
      <c r="V196" s="97"/>
    </row>
    <row r="197" spans="1:22" s="14" customFormat="1" ht="18" hidden="1" customHeight="1">
      <c r="A197" s="96"/>
      <c r="B197" s="47" t="s">
        <v>616</v>
      </c>
      <c r="C197" s="5"/>
      <c r="D197" s="5"/>
      <c r="E197" s="5"/>
      <c r="M197" s="120" t="s">
        <v>617</v>
      </c>
      <c r="N197" s="103" t="s">
        <v>618</v>
      </c>
      <c r="O197" s="1125">
        <f>O115</f>
        <v>33</v>
      </c>
      <c r="P197" s="651"/>
      <c r="Q197" s="14" t="s">
        <v>174</v>
      </c>
      <c r="S197" s="226"/>
      <c r="T197" s="18"/>
      <c r="U197" s="18"/>
      <c r="V197" s="97"/>
    </row>
    <row r="198" spans="1:22" s="14" customFormat="1" ht="18" hidden="1" customHeight="1">
      <c r="A198" s="228"/>
      <c r="B198" s="224"/>
      <c r="C198" s="224"/>
      <c r="D198" s="224"/>
      <c r="E198" s="224"/>
      <c r="T198" s="18"/>
      <c r="U198" s="18"/>
      <c r="V198" s="97"/>
    </row>
    <row r="199" spans="1:22" s="14" customFormat="1" ht="18" hidden="1" customHeight="1">
      <c r="A199" s="284" t="s">
        <v>619</v>
      </c>
      <c r="B199" s="225"/>
      <c r="C199" s="225"/>
      <c r="D199" s="225"/>
      <c r="E199" s="225"/>
      <c r="H199" s="120" t="s">
        <v>620</v>
      </c>
      <c r="I199" s="28" t="s">
        <v>138</v>
      </c>
      <c r="J199" s="638" t="s">
        <v>621</v>
      </c>
      <c r="K199" s="638"/>
      <c r="L199" s="28" t="s">
        <v>326</v>
      </c>
      <c r="M199" s="229">
        <v>1000</v>
      </c>
      <c r="N199" s="102" t="s">
        <v>353</v>
      </c>
      <c r="O199" s="28" t="s">
        <v>622</v>
      </c>
      <c r="P199" s="28" t="s">
        <v>326</v>
      </c>
      <c r="Q199" s="28" t="s">
        <v>617</v>
      </c>
      <c r="R199" s="47" t="s">
        <v>361</v>
      </c>
      <c r="T199" s="18"/>
      <c r="U199" s="18"/>
      <c r="V199" s="97"/>
    </row>
    <row r="200" spans="1:22" s="14" customFormat="1" ht="18" hidden="1" customHeight="1">
      <c r="A200" s="228"/>
      <c r="B200" s="225"/>
      <c r="C200" s="225"/>
      <c r="D200" s="225"/>
      <c r="E200" s="225"/>
      <c r="F200" s="224"/>
      <c r="G200" s="224"/>
      <c r="H200" s="28"/>
      <c r="I200" s="28" t="s">
        <v>138</v>
      </c>
      <c r="J200" s="638">
        <f>O195</f>
        <v>100</v>
      </c>
      <c r="K200" s="638"/>
      <c r="L200" s="28" t="s">
        <v>326</v>
      </c>
      <c r="M200" s="229">
        <v>1000</v>
      </c>
      <c r="N200" s="102" t="s">
        <v>353</v>
      </c>
      <c r="O200" s="28" t="s">
        <v>622</v>
      </c>
      <c r="P200" s="28" t="s">
        <v>326</v>
      </c>
      <c r="Q200" s="28">
        <f>O197</f>
        <v>33</v>
      </c>
      <c r="R200" s="47" t="s">
        <v>361</v>
      </c>
      <c r="T200" s="18"/>
      <c r="U200" s="18"/>
      <c r="V200" s="97"/>
    </row>
    <row r="201" spans="1:22" s="14" customFormat="1" ht="18" hidden="1" customHeight="1">
      <c r="A201" s="228"/>
      <c r="B201" s="224"/>
      <c r="C201" s="224"/>
      <c r="D201" s="224"/>
      <c r="E201" s="224"/>
      <c r="F201" s="224"/>
      <c r="G201" s="224"/>
      <c r="I201" s="28" t="s">
        <v>138</v>
      </c>
      <c r="J201" s="641">
        <f>(O195*1000)/(SQRT(3)*O197)</f>
        <v>1749.5462702715934</v>
      </c>
      <c r="K201" s="641"/>
      <c r="L201" s="14" t="s">
        <v>9</v>
      </c>
      <c r="M201" s="120"/>
      <c r="N201" s="120"/>
      <c r="O201" s="120"/>
      <c r="T201" s="18"/>
      <c r="U201" s="18"/>
      <c r="V201" s="97"/>
    </row>
    <row r="202" spans="1:22" s="14" customFormat="1" ht="18" hidden="1" customHeight="1">
      <c r="A202" s="228"/>
      <c r="B202" s="224"/>
      <c r="C202" s="224"/>
      <c r="D202" s="224"/>
      <c r="E202" s="224"/>
      <c r="G202" s="224"/>
      <c r="H202" s="28"/>
      <c r="I202" s="103"/>
      <c r="J202" s="28"/>
      <c r="M202" s="224"/>
      <c r="N202" s="231"/>
      <c r="O202" s="224"/>
      <c r="T202" s="18"/>
      <c r="U202" s="18"/>
      <c r="V202" s="97"/>
    </row>
    <row r="203" spans="1:22" s="14" customFormat="1" ht="18" hidden="1" customHeight="1">
      <c r="A203" s="159" t="s">
        <v>640</v>
      </c>
      <c r="B203" s="5"/>
      <c r="C203" s="5"/>
      <c r="D203" s="5"/>
      <c r="E203" s="5"/>
      <c r="F203" s="224"/>
      <c r="G203" s="224"/>
      <c r="H203" s="5"/>
      <c r="I203" s="5"/>
      <c r="J203" s="5"/>
      <c r="K203" s="5"/>
      <c r="L203" s="103"/>
      <c r="M203" s="103"/>
      <c r="N203" s="103"/>
      <c r="O203" s="103"/>
      <c r="P203" s="224"/>
      <c r="Q203" s="225"/>
      <c r="S203" s="232"/>
      <c r="T203" s="18"/>
      <c r="U203" s="18"/>
      <c r="V203" s="97"/>
    </row>
    <row r="204" spans="1:22" s="14" customFormat="1" ht="18" hidden="1" customHeight="1">
      <c r="A204" s="159"/>
      <c r="B204" s="5"/>
      <c r="C204" s="5"/>
      <c r="D204" s="5"/>
      <c r="E204" s="5"/>
      <c r="F204" s="224"/>
      <c r="G204" s="224"/>
      <c r="H204" s="5"/>
      <c r="I204" s="5"/>
      <c r="J204" s="5"/>
      <c r="K204" s="5"/>
      <c r="L204" s="103"/>
      <c r="M204" s="103"/>
      <c r="N204" s="103"/>
      <c r="O204" s="103"/>
      <c r="P204" s="224"/>
      <c r="Q204" s="225"/>
      <c r="S204" s="226"/>
      <c r="T204" s="18"/>
      <c r="U204" s="18"/>
      <c r="V204" s="97"/>
    </row>
    <row r="205" spans="1:22" ht="18" hidden="1" customHeight="1">
      <c r="A205" s="96" t="s">
        <v>643</v>
      </c>
      <c r="B205" s="14"/>
      <c r="C205" s="14"/>
      <c r="D205" s="14"/>
      <c r="E205" s="14"/>
      <c r="M205" s="120" t="s">
        <v>624</v>
      </c>
      <c r="N205" s="28" t="s">
        <v>138</v>
      </c>
      <c r="O205" s="638" t="s">
        <v>620</v>
      </c>
      <c r="P205" s="920"/>
      <c r="Q205" s="233" t="s">
        <v>641</v>
      </c>
      <c r="R205" s="233">
        <v>16</v>
      </c>
      <c r="S205" s="226"/>
      <c r="V205" s="197"/>
    </row>
    <row r="206" spans="1:22" ht="18" hidden="1" customHeight="1">
      <c r="A206" s="96"/>
      <c r="B206" s="5"/>
      <c r="C206" s="5"/>
      <c r="D206" s="5"/>
      <c r="E206" s="5"/>
      <c r="M206" s="262"/>
      <c r="N206" s="28" t="s">
        <v>138</v>
      </c>
      <c r="O206" s="638">
        <f>+J201</f>
        <v>1749.5462702715934</v>
      </c>
      <c r="P206" s="920"/>
      <c r="Q206" s="233" t="s">
        <v>641</v>
      </c>
      <c r="R206" s="233">
        <v>16</v>
      </c>
      <c r="S206" s="226"/>
      <c r="V206" s="197"/>
    </row>
    <row r="207" spans="1:22" ht="18" hidden="1" customHeight="1">
      <c r="A207" s="96"/>
      <c r="B207" s="5"/>
      <c r="C207" s="5"/>
      <c r="D207" s="5"/>
      <c r="E207" s="5"/>
      <c r="M207" s="120" t="s">
        <v>624</v>
      </c>
      <c r="N207" s="28" t="s">
        <v>138</v>
      </c>
      <c r="O207" s="638">
        <f>O206*R206</f>
        <v>27992.740324345494</v>
      </c>
      <c r="P207" s="920"/>
      <c r="Q207" s="253" t="s">
        <v>9</v>
      </c>
      <c r="R207" s="14"/>
      <c r="S207" s="226"/>
      <c r="V207" s="197"/>
    </row>
    <row r="208" spans="1:22" ht="18" hidden="1" customHeight="1">
      <c r="A208" s="96"/>
      <c r="B208" s="5"/>
      <c r="C208" s="5"/>
      <c r="D208" s="5"/>
      <c r="E208" s="5"/>
      <c r="M208" s="120"/>
      <c r="N208" s="28"/>
      <c r="O208" s="28"/>
      <c r="P208" s="14"/>
      <c r="Q208" s="253"/>
      <c r="R208" s="14"/>
      <c r="S208" s="226"/>
      <c r="V208" s="197"/>
    </row>
    <row r="209" spans="1:22" ht="18" hidden="1" customHeight="1">
      <c r="A209" s="96"/>
      <c r="B209" s="5"/>
      <c r="C209" s="5"/>
      <c r="D209" s="5"/>
      <c r="E209" s="5"/>
      <c r="M209" s="120"/>
      <c r="N209" s="28"/>
      <c r="O209" s="28"/>
      <c r="P209" s="14"/>
      <c r="Q209" s="253"/>
      <c r="R209" s="14"/>
      <c r="S209" s="226"/>
      <c r="V209" s="197"/>
    </row>
    <row r="210" spans="1:22" ht="18" hidden="1" customHeight="1">
      <c r="A210" s="96"/>
      <c r="B210" s="5"/>
      <c r="C210" s="5"/>
      <c r="D210" s="5"/>
      <c r="E210" s="5"/>
      <c r="M210" s="120"/>
      <c r="N210" s="28"/>
      <c r="O210" s="28"/>
      <c r="P210" s="14"/>
      <c r="Q210" s="253"/>
      <c r="R210" s="14"/>
      <c r="S210" s="226"/>
      <c r="V210" s="197"/>
    </row>
    <row r="211" spans="1:22" ht="18" hidden="1" customHeight="1">
      <c r="A211" s="96"/>
      <c r="B211" s="5"/>
      <c r="C211" s="5"/>
      <c r="D211" s="5"/>
      <c r="E211" s="5"/>
      <c r="M211" s="120"/>
      <c r="N211" s="28"/>
      <c r="O211" s="28"/>
      <c r="P211" s="14"/>
      <c r="Q211" s="253"/>
      <c r="R211" s="14"/>
      <c r="S211" s="226"/>
      <c r="V211" s="197"/>
    </row>
    <row r="212" spans="1:22" ht="18" hidden="1" customHeight="1">
      <c r="A212" s="96"/>
      <c r="B212" s="5"/>
      <c r="C212" s="5"/>
      <c r="D212" s="5"/>
      <c r="E212" s="5"/>
      <c r="M212" s="120"/>
      <c r="N212" s="28"/>
      <c r="O212" s="28"/>
      <c r="P212" s="14"/>
      <c r="Q212" s="253"/>
      <c r="R212" s="14"/>
      <c r="S212" s="226"/>
      <c r="V212" s="197"/>
    </row>
    <row r="213" spans="1:22" s="14" customFormat="1" ht="18" hidden="1" customHeight="1">
      <c r="A213" s="206"/>
      <c r="B213" s="207"/>
      <c r="C213" s="207"/>
      <c r="D213" s="207"/>
      <c r="E213" s="207"/>
      <c r="F213" s="207"/>
      <c r="G213" s="207"/>
      <c r="H213" s="207"/>
      <c r="I213" s="207"/>
      <c r="J213" s="207"/>
      <c r="K213" s="207"/>
      <c r="L213" s="207"/>
      <c r="M213" s="207"/>
      <c r="N213" s="207"/>
      <c r="O213" s="207"/>
      <c r="P213" s="207"/>
      <c r="Q213" s="236"/>
      <c r="R213" s="194"/>
      <c r="S213" s="237"/>
      <c r="T213" s="207"/>
      <c r="U213" s="207"/>
      <c r="V213" s="140" t="s">
        <v>563</v>
      </c>
    </row>
    <row r="214" spans="1:22" s="14" customFormat="1" ht="18" hidden="1" customHeight="1">
      <c r="A214" s="141"/>
      <c r="B214" s="285"/>
      <c r="C214" s="285"/>
      <c r="D214" s="285"/>
      <c r="E214" s="285"/>
      <c r="F214" s="285"/>
      <c r="G214" s="285"/>
      <c r="H214" s="285"/>
      <c r="I214" s="285"/>
      <c r="J214" s="285"/>
      <c r="K214" s="285"/>
      <c r="L214" s="285"/>
      <c r="M214" s="285"/>
      <c r="N214" s="285"/>
      <c r="O214" s="285"/>
      <c r="P214" s="285"/>
      <c r="Q214" s="286"/>
      <c r="R214" s="145"/>
      <c r="S214" s="287"/>
      <c r="T214" s="285"/>
      <c r="U214" s="285"/>
      <c r="V214" s="288"/>
    </row>
    <row r="215" spans="1:22" ht="18" hidden="1" customHeight="1">
      <c r="A215" s="96" t="s">
        <v>673</v>
      </c>
      <c r="V215" s="197"/>
    </row>
    <row r="216" spans="1:22" ht="18" hidden="1" customHeight="1">
      <c r="A216" s="196"/>
      <c r="V216" s="197"/>
    </row>
    <row r="217" spans="1:22" s="291" customFormat="1" ht="18" hidden="1" customHeight="1">
      <c r="A217" s="289"/>
      <c r="B217" s="638" t="s">
        <v>484</v>
      </c>
      <c r="C217" s="1124" t="s">
        <v>663</v>
      </c>
      <c r="D217" s="638">
        <v>2</v>
      </c>
      <c r="E217" s="638" t="s">
        <v>389</v>
      </c>
      <c r="F217" s="638" t="s">
        <v>628</v>
      </c>
      <c r="G217" s="638"/>
      <c r="H217" s="638" t="s">
        <v>389</v>
      </c>
      <c r="I217" s="638" t="s">
        <v>430</v>
      </c>
      <c r="J217" s="638" t="s">
        <v>431</v>
      </c>
      <c r="K217" s="638" t="s">
        <v>358</v>
      </c>
      <c r="L217" s="638" t="s">
        <v>419</v>
      </c>
      <c r="M217" s="638" t="s">
        <v>358</v>
      </c>
      <c r="N217" s="638" t="s">
        <v>660</v>
      </c>
      <c r="O217" s="638" t="s">
        <v>361</v>
      </c>
      <c r="P217" s="14"/>
      <c r="Q217" s="14"/>
      <c r="R217" s="14"/>
      <c r="S217" s="14"/>
      <c r="T217" s="14"/>
      <c r="U217" s="958" t="s">
        <v>664</v>
      </c>
      <c r="V217" s="197"/>
    </row>
    <row r="218" spans="1:22" s="291" customFormat="1" ht="18" hidden="1" customHeight="1">
      <c r="A218" s="289"/>
      <c r="B218" s="638"/>
      <c r="C218" s="638"/>
      <c r="D218" s="638"/>
      <c r="E218" s="638"/>
      <c r="F218" s="638"/>
      <c r="G218" s="638"/>
      <c r="H218" s="638"/>
      <c r="I218" s="638"/>
      <c r="J218" s="638"/>
      <c r="K218" s="638"/>
      <c r="L218" s="638"/>
      <c r="M218" s="638"/>
      <c r="N218" s="638"/>
      <c r="O218" s="638"/>
      <c r="P218" s="14"/>
      <c r="Q218" s="14"/>
      <c r="R218" s="14"/>
      <c r="S218" s="14"/>
      <c r="T218" s="14"/>
      <c r="U218" s="638"/>
      <c r="V218" s="197"/>
    </row>
    <row r="219" spans="1:22" ht="18" hidden="1" customHeight="1">
      <c r="A219" s="196"/>
      <c r="V219" s="197"/>
    </row>
    <row r="220" spans="1:22" ht="18" hidden="1" customHeight="1">
      <c r="A220" s="196"/>
      <c r="B220" s="47" t="s">
        <v>665</v>
      </c>
      <c r="C220" s="14"/>
      <c r="D220" s="14"/>
      <c r="E220" s="14"/>
      <c r="F220" s="18"/>
      <c r="G220" s="18"/>
      <c r="H220" s="14"/>
      <c r="I220" s="120"/>
      <c r="J220" s="14"/>
      <c r="K220" s="14"/>
      <c r="M220" s="14"/>
      <c r="N220" s="14"/>
      <c r="P220" s="14" t="s">
        <v>434</v>
      </c>
      <c r="R220" s="246" t="s">
        <v>138</v>
      </c>
      <c r="S220" s="639" t="str">
        <f>L174</f>
        <v>-</v>
      </c>
      <c r="T220" s="639"/>
      <c r="U220" s="30" t="s">
        <v>9</v>
      </c>
      <c r="V220" s="197"/>
    </row>
    <row r="221" spans="1:22" ht="18" hidden="1" customHeight="1">
      <c r="A221" s="196"/>
      <c r="B221" s="47" t="s">
        <v>666</v>
      </c>
      <c r="C221" s="14"/>
      <c r="D221" s="14"/>
      <c r="E221" s="14"/>
      <c r="F221" s="18"/>
      <c r="G221" s="18"/>
      <c r="H221" s="14"/>
      <c r="I221" s="120"/>
      <c r="J221" s="14"/>
      <c r="K221" s="14"/>
      <c r="M221" s="14"/>
      <c r="N221" s="14"/>
      <c r="P221" s="14" t="s">
        <v>431</v>
      </c>
      <c r="R221" s="246" t="s">
        <v>138</v>
      </c>
      <c r="S221" s="639">
        <f>L176</f>
        <v>3</v>
      </c>
      <c r="T221" s="639"/>
      <c r="U221" s="204" t="s">
        <v>344</v>
      </c>
      <c r="V221" s="197"/>
    </row>
    <row r="222" spans="1:22" ht="18" hidden="1" customHeight="1">
      <c r="A222" s="196"/>
      <c r="B222" s="47" t="s">
        <v>667</v>
      </c>
      <c r="C222" s="14"/>
      <c r="D222" s="14"/>
      <c r="E222" s="14"/>
      <c r="F222" s="18"/>
      <c r="G222" s="18"/>
      <c r="H222" s="14"/>
      <c r="I222" s="120"/>
      <c r="J222" s="14"/>
      <c r="K222" s="14"/>
      <c r="M222" s="14"/>
      <c r="N222" s="14"/>
      <c r="P222" s="14" t="s">
        <v>419</v>
      </c>
      <c r="R222" s="246" t="s">
        <v>138</v>
      </c>
      <c r="S222" s="637">
        <f>O191</f>
        <v>1.4869257975000001</v>
      </c>
      <c r="T222" s="637"/>
      <c r="U222" s="204" t="s">
        <v>344</v>
      </c>
      <c r="V222" s="197"/>
    </row>
    <row r="223" spans="1:22" ht="18" hidden="1" customHeight="1">
      <c r="A223" s="196"/>
      <c r="B223" s="47" t="s">
        <v>668</v>
      </c>
      <c r="C223" s="14"/>
      <c r="D223" s="14"/>
      <c r="E223" s="14"/>
      <c r="F223" s="14"/>
      <c r="G223" s="14"/>
      <c r="H223" s="14"/>
      <c r="I223" s="120"/>
      <c r="J223" s="14"/>
      <c r="K223" s="14"/>
      <c r="M223" s="14"/>
      <c r="N223" s="14"/>
      <c r="P223" s="14" t="s">
        <v>660</v>
      </c>
      <c r="R223" s="246" t="s">
        <v>138</v>
      </c>
      <c r="S223" s="637">
        <f>D191</f>
        <v>0.1</v>
      </c>
      <c r="T223" s="639"/>
      <c r="U223" s="204" t="s">
        <v>344</v>
      </c>
      <c r="V223" s="197"/>
    </row>
    <row r="224" spans="1:22" ht="18" hidden="1" customHeight="1">
      <c r="A224" s="196"/>
      <c r="B224" s="14" t="s">
        <v>669</v>
      </c>
      <c r="C224" s="14"/>
      <c r="D224" s="14"/>
      <c r="E224" s="14"/>
      <c r="F224" s="14"/>
      <c r="G224" s="14"/>
      <c r="H224" s="14"/>
      <c r="I224" s="120"/>
      <c r="J224" s="14"/>
      <c r="K224" s="14"/>
      <c r="M224" s="14"/>
      <c r="N224" s="14"/>
      <c r="P224" s="47" t="s">
        <v>628</v>
      </c>
      <c r="R224" s="246" t="s">
        <v>138</v>
      </c>
      <c r="S224" s="637" t="e">
        <f>O207/S220</f>
        <v>#VALUE!</v>
      </c>
      <c r="T224" s="637"/>
      <c r="U224" s="30" t="s">
        <v>9</v>
      </c>
      <c r="V224" s="197"/>
    </row>
    <row r="225" spans="1:22" ht="18" hidden="1" customHeight="1">
      <c r="A225" s="196"/>
      <c r="B225" s="47" t="s">
        <v>670</v>
      </c>
      <c r="C225" s="14"/>
      <c r="D225" s="14"/>
      <c r="E225" s="14"/>
      <c r="F225" s="14"/>
      <c r="G225" s="14"/>
      <c r="H225" s="14"/>
      <c r="I225" s="120"/>
      <c r="J225" s="14"/>
      <c r="K225" s="14"/>
      <c r="M225" s="14"/>
      <c r="N225" s="14"/>
      <c r="P225" s="120" t="s">
        <v>671</v>
      </c>
      <c r="R225" s="246" t="s">
        <v>138</v>
      </c>
      <c r="S225" s="639">
        <f>S140</f>
        <v>1</v>
      </c>
      <c r="T225" s="639"/>
      <c r="U225" s="30" t="s">
        <v>9</v>
      </c>
      <c r="V225" s="197"/>
    </row>
    <row r="226" spans="1:22" ht="18" hidden="1" customHeight="1">
      <c r="A226" s="196"/>
      <c r="V226" s="197"/>
    </row>
    <row r="227" spans="1:22" ht="18" hidden="1" customHeight="1">
      <c r="A227" s="96"/>
      <c r="B227" s="14" t="s">
        <v>672</v>
      </c>
      <c r="C227" s="14"/>
      <c r="D227" s="247"/>
      <c r="E227" s="14"/>
      <c r="F227" s="28"/>
      <c r="G227" s="261"/>
      <c r="H227" s="28"/>
      <c r="I227" s="263"/>
      <c r="J227" s="14"/>
      <c r="K227" s="292"/>
      <c r="M227" s="47"/>
      <c r="N227" s="280"/>
      <c r="P227" s="293"/>
      <c r="R227" s="246"/>
      <c r="S227" s="216"/>
      <c r="V227" s="197"/>
    </row>
    <row r="228" spans="1:22" ht="18" hidden="1" customHeight="1">
      <c r="A228" s="284"/>
      <c r="C228" s="14"/>
      <c r="D228" s="14"/>
      <c r="E228" s="14"/>
      <c r="F228" s="14"/>
      <c r="G228" s="14"/>
      <c r="H228" s="28"/>
      <c r="I228" s="47"/>
      <c r="J228" s="14"/>
      <c r="K228" s="14"/>
      <c r="M228" s="14"/>
      <c r="N228" s="14"/>
      <c r="P228" s="120"/>
      <c r="R228" s="246"/>
      <c r="S228" s="294"/>
      <c r="V228" s="197"/>
    </row>
    <row r="229" spans="1:22" ht="18" hidden="1" customHeight="1">
      <c r="A229" s="284"/>
      <c r="B229" s="638" t="s">
        <v>484</v>
      </c>
      <c r="C229" s="1124" t="s">
        <v>663</v>
      </c>
      <c r="D229" s="638">
        <v>2</v>
      </c>
      <c r="E229" s="638" t="s">
        <v>389</v>
      </c>
      <c r="F229" s="638" t="s">
        <v>628</v>
      </c>
      <c r="G229" s="638"/>
      <c r="H229" s="638" t="s">
        <v>389</v>
      </c>
      <c r="I229" s="638" t="s">
        <v>430</v>
      </c>
      <c r="J229" s="638" t="s">
        <v>431</v>
      </c>
      <c r="K229" s="638" t="s">
        <v>358</v>
      </c>
      <c r="L229" s="638" t="s">
        <v>419</v>
      </c>
      <c r="M229" s="638" t="s">
        <v>358</v>
      </c>
      <c r="N229" s="638" t="s">
        <v>660</v>
      </c>
      <c r="O229" s="638" t="s">
        <v>361</v>
      </c>
      <c r="P229" s="14"/>
      <c r="Q229" s="14"/>
      <c r="R229" s="14"/>
      <c r="S229" s="14"/>
      <c r="T229" s="14"/>
      <c r="U229" s="958" t="s">
        <v>664</v>
      </c>
      <c r="V229" s="197"/>
    </row>
    <row r="230" spans="1:22" s="291" customFormat="1" ht="18" hidden="1" customHeight="1">
      <c r="A230" s="289"/>
      <c r="B230" s="638"/>
      <c r="C230" s="638"/>
      <c r="D230" s="638"/>
      <c r="E230" s="638"/>
      <c r="F230" s="638"/>
      <c r="G230" s="638"/>
      <c r="H230" s="638"/>
      <c r="I230" s="638"/>
      <c r="J230" s="638"/>
      <c r="K230" s="638"/>
      <c r="L230" s="638"/>
      <c r="M230" s="638"/>
      <c r="N230" s="638"/>
      <c r="O230" s="638"/>
      <c r="P230" s="14"/>
      <c r="Q230" s="14"/>
      <c r="R230" s="14"/>
      <c r="S230" s="14"/>
      <c r="T230" s="14"/>
      <c r="U230" s="638"/>
      <c r="V230" s="197"/>
    </row>
    <row r="231" spans="1:22" s="291" customFormat="1" ht="18" hidden="1" customHeight="1">
      <c r="A231" s="289"/>
      <c r="B231" s="28"/>
      <c r="C231" s="28"/>
      <c r="D231" s="166"/>
      <c r="E231" s="166"/>
      <c r="F231" s="166"/>
      <c r="G231" s="166"/>
      <c r="H231" s="166"/>
      <c r="I231" s="28"/>
      <c r="J231" s="28"/>
      <c r="K231" s="28"/>
      <c r="L231" s="28"/>
      <c r="M231" s="28"/>
      <c r="N231" s="28"/>
      <c r="O231" s="28"/>
      <c r="P231" s="14"/>
      <c r="Q231" s="14"/>
      <c r="R231" s="14"/>
      <c r="S231" s="14"/>
      <c r="T231" s="14"/>
      <c r="U231" s="28"/>
      <c r="V231" s="197"/>
    </row>
    <row r="232" spans="1:22" ht="18" hidden="1" customHeight="1">
      <c r="A232" s="289"/>
      <c r="B232" s="28"/>
      <c r="C232" s="1124" t="s">
        <v>663</v>
      </c>
      <c r="D232" s="861">
        <v>2</v>
      </c>
      <c r="E232" s="861" t="s">
        <v>389</v>
      </c>
      <c r="F232" s="1113" t="e">
        <f>S224</f>
        <v>#VALUE!</v>
      </c>
      <c r="G232" s="1113"/>
      <c r="H232" s="861" t="s">
        <v>389</v>
      </c>
      <c r="I232" s="861" t="s">
        <v>430</v>
      </c>
      <c r="J232" s="861">
        <f>S221</f>
        <v>3</v>
      </c>
      <c r="K232" s="861" t="s">
        <v>358</v>
      </c>
      <c r="L232" s="1113">
        <f>S222</f>
        <v>1.4869257975000001</v>
      </c>
      <c r="M232" s="861" t="s">
        <v>358</v>
      </c>
      <c r="N232" s="1113">
        <f>S223</f>
        <v>0.1</v>
      </c>
      <c r="O232" s="861" t="s">
        <v>361</v>
      </c>
      <c r="P232" s="14"/>
      <c r="Q232" s="14"/>
      <c r="R232" s="14"/>
      <c r="S232" s="14"/>
      <c r="T232" s="14"/>
      <c r="U232" s="28"/>
      <c r="V232" s="197"/>
    </row>
    <row r="233" spans="1:22" ht="18" hidden="1" customHeight="1">
      <c r="A233" s="289"/>
      <c r="B233" s="28"/>
      <c r="C233" s="638"/>
      <c r="D233" s="861"/>
      <c r="E233" s="861"/>
      <c r="F233" s="1113"/>
      <c r="G233" s="1113"/>
      <c r="H233" s="861"/>
      <c r="I233" s="861"/>
      <c r="J233" s="861"/>
      <c r="K233" s="861"/>
      <c r="L233" s="861"/>
      <c r="M233" s="861"/>
      <c r="N233" s="861"/>
      <c r="O233" s="861"/>
      <c r="P233" s="14"/>
      <c r="Q233" s="14"/>
      <c r="R233" s="14"/>
      <c r="S233" s="14"/>
      <c r="T233" s="14"/>
      <c r="U233" s="28"/>
      <c r="V233" s="197"/>
    </row>
    <row r="234" spans="1:22" ht="18" hidden="1" customHeight="1">
      <c r="A234" s="289"/>
      <c r="B234" s="14"/>
      <c r="C234" s="14"/>
      <c r="D234" s="291"/>
      <c r="E234" s="291"/>
      <c r="F234" s="291"/>
      <c r="G234" s="14"/>
      <c r="I234" s="14"/>
      <c r="K234" s="28"/>
      <c r="L234" s="14"/>
      <c r="N234" s="14"/>
      <c r="O234" s="14"/>
      <c r="P234" s="14"/>
      <c r="Q234" s="14"/>
      <c r="R234" s="14"/>
      <c r="S234" s="14"/>
      <c r="T234" s="14"/>
      <c r="U234" s="14"/>
      <c r="V234" s="197"/>
    </row>
    <row r="235" spans="1:22" ht="18" hidden="1" customHeight="1">
      <c r="A235" s="96"/>
      <c r="B235" s="14"/>
      <c r="C235" s="27" t="s">
        <v>138</v>
      </c>
      <c r="D235" s="798" t="e">
        <f>D232*F232*(J232+L232+N232)</f>
        <v>#VALUE!</v>
      </c>
      <c r="E235" s="799"/>
      <c r="F235" s="30" t="s">
        <v>316</v>
      </c>
      <c r="G235" s="14"/>
      <c r="H235" s="14"/>
      <c r="I235" s="14"/>
      <c r="J235" s="14"/>
      <c r="K235" s="14"/>
      <c r="L235" s="14"/>
      <c r="M235" s="14"/>
      <c r="N235" s="14"/>
      <c r="R235" s="246"/>
      <c r="S235" s="216"/>
      <c r="V235" s="197"/>
    </row>
    <row r="236" spans="1:22" ht="18" hidden="1" customHeight="1">
      <c r="A236" s="96"/>
      <c r="B236" s="14"/>
      <c r="G236" s="14"/>
      <c r="H236" s="14"/>
      <c r="I236" s="14"/>
      <c r="J236" s="14"/>
      <c r="K236" s="14"/>
      <c r="L236" s="14"/>
      <c r="M236" s="14"/>
      <c r="N236" s="14"/>
      <c r="R236" s="246"/>
      <c r="S236" s="216"/>
      <c r="V236" s="197"/>
    </row>
    <row r="237" spans="1:22" ht="18" hidden="1" customHeight="1">
      <c r="A237" s="96"/>
      <c r="B237" s="14"/>
      <c r="D237" s="30" t="s">
        <v>486</v>
      </c>
      <c r="G237" s="27" t="e">
        <f>IF(E238&gt;H238,"&gt;","&lt;")</f>
        <v>#VALUE!</v>
      </c>
      <c r="H237" s="30" t="s">
        <v>488</v>
      </c>
      <c r="M237" s="14"/>
      <c r="N237" s="14"/>
      <c r="R237" s="246"/>
      <c r="S237" s="216"/>
      <c r="V237" s="197"/>
    </row>
    <row r="238" spans="1:22" ht="18" hidden="1" customHeight="1">
      <c r="A238" s="96"/>
      <c r="B238" s="14"/>
      <c r="E238" s="639" t="str">
        <f>H182</f>
        <v>Sr'</v>
      </c>
      <c r="F238" s="639"/>
      <c r="G238" s="27" t="e">
        <f>G237</f>
        <v>#VALUE!</v>
      </c>
      <c r="H238" s="637" t="e">
        <f>D235</f>
        <v>#VALUE!</v>
      </c>
      <c r="I238" s="639"/>
      <c r="M238" s="14"/>
      <c r="N238" s="14"/>
      <c r="R238" s="246"/>
      <c r="S238" s="216"/>
      <c r="V238" s="197"/>
    </row>
    <row r="239" spans="1:22" ht="18" hidden="1" customHeight="1">
      <c r="A239" s="96"/>
      <c r="B239" s="14"/>
      <c r="F239" s="256" t="s">
        <v>489</v>
      </c>
      <c r="H239" s="18" t="e">
        <f>IF(G237="&gt;","Suitably Dimentioned","Under Dimentioned")</f>
        <v>#VALUE!</v>
      </c>
      <c r="M239" s="14"/>
      <c r="N239" s="14"/>
      <c r="R239" s="246"/>
      <c r="S239" s="216"/>
      <c r="V239" s="197"/>
    </row>
    <row r="240" spans="1:22" ht="18" hidden="1" customHeight="1">
      <c r="A240" s="96"/>
      <c r="B240" s="14"/>
      <c r="G240" s="14"/>
      <c r="H240" s="14"/>
      <c r="I240" s="14"/>
      <c r="J240" s="14"/>
      <c r="K240" s="14"/>
      <c r="L240" s="14"/>
      <c r="M240" s="14"/>
      <c r="N240" s="14"/>
      <c r="R240" s="246"/>
      <c r="S240" s="216"/>
      <c r="V240" s="197"/>
    </row>
    <row r="241" spans="1:22" ht="18" hidden="1" customHeight="1">
      <c r="A241" s="205"/>
      <c r="B241" s="14"/>
      <c r="G241" s="14"/>
      <c r="H241" s="14"/>
      <c r="I241" s="14"/>
      <c r="J241" s="14"/>
      <c r="K241" s="14"/>
      <c r="L241" s="14"/>
      <c r="M241" s="14"/>
      <c r="N241" s="14"/>
      <c r="R241" s="246"/>
      <c r="S241" s="216"/>
      <c r="V241" s="197"/>
    </row>
    <row r="242" spans="1:22" ht="18" hidden="1" customHeight="1">
      <c r="A242" s="96"/>
      <c r="B242" s="14"/>
      <c r="D242" s="14"/>
      <c r="E242" s="14"/>
      <c r="F242" s="291"/>
      <c r="G242" s="14"/>
      <c r="H242" s="14"/>
      <c r="I242" s="291"/>
      <c r="J242" s="14"/>
      <c r="K242" s="14"/>
      <c r="L242" s="14"/>
      <c r="M242" s="14"/>
      <c r="N242" s="14"/>
      <c r="R242" s="246"/>
      <c r="S242" s="216"/>
      <c r="V242" s="197"/>
    </row>
    <row r="243" spans="1:22" ht="18" hidden="1" customHeight="1">
      <c r="A243" s="96"/>
      <c r="B243" s="14"/>
      <c r="D243" s="14"/>
      <c r="E243" s="14"/>
      <c r="F243" s="291"/>
      <c r="G243" s="14"/>
      <c r="H243" s="14"/>
      <c r="I243" s="291"/>
      <c r="J243" s="14"/>
      <c r="K243" s="14"/>
      <c r="L243" s="14"/>
      <c r="M243" s="14"/>
      <c r="N243" s="14"/>
      <c r="R243" s="246"/>
      <c r="S243" s="216"/>
      <c r="V243" s="197"/>
    </row>
    <row r="244" spans="1:22" ht="18" hidden="1" customHeight="1">
      <c r="A244" s="96"/>
      <c r="B244" s="14"/>
      <c r="D244" s="14"/>
      <c r="E244" s="14"/>
      <c r="F244" s="291"/>
      <c r="G244" s="14"/>
      <c r="H244" s="14"/>
      <c r="I244" s="291"/>
      <c r="J244" s="14"/>
      <c r="K244" s="14"/>
      <c r="L244" s="14"/>
      <c r="M244" s="14"/>
      <c r="N244" s="14"/>
      <c r="R244" s="246"/>
      <c r="S244" s="216"/>
      <c r="V244" s="197"/>
    </row>
    <row r="245" spans="1:22" ht="18" hidden="1" customHeight="1">
      <c r="A245" s="96"/>
      <c r="B245" s="14"/>
      <c r="G245" s="14"/>
      <c r="H245" s="14"/>
      <c r="I245" s="14"/>
      <c r="J245" s="14"/>
      <c r="K245" s="14"/>
      <c r="L245" s="14"/>
      <c r="M245" s="14"/>
      <c r="N245" s="14"/>
      <c r="R245" s="246"/>
      <c r="S245" s="216"/>
      <c r="V245" s="197"/>
    </row>
    <row r="246" spans="1:22" ht="18" hidden="1" customHeight="1">
      <c r="A246" s="96"/>
      <c r="B246" s="14"/>
      <c r="F246" s="14"/>
      <c r="G246" s="14"/>
      <c r="H246" s="14"/>
      <c r="I246" s="14"/>
      <c r="J246" s="14"/>
      <c r="K246" s="14"/>
      <c r="L246" s="14"/>
      <c r="M246" s="14"/>
      <c r="N246" s="14"/>
      <c r="O246" s="166"/>
      <c r="P246" s="14"/>
      <c r="R246" s="246"/>
      <c r="S246" s="216"/>
      <c r="V246" s="197"/>
    </row>
    <row r="247" spans="1:22" ht="18" hidden="1" customHeight="1">
      <c r="A247" s="96"/>
      <c r="B247" s="14"/>
      <c r="F247" s="14"/>
      <c r="G247" s="269"/>
      <c r="H247" s="14"/>
      <c r="I247" s="14"/>
      <c r="J247" s="14"/>
      <c r="K247" s="14"/>
      <c r="L247" s="14"/>
      <c r="M247" s="14"/>
      <c r="N247" s="14"/>
      <c r="R247" s="246"/>
      <c r="S247" s="216"/>
      <c r="V247" s="197"/>
    </row>
    <row r="248" spans="1:22" ht="18" hidden="1" customHeight="1">
      <c r="A248" s="96"/>
      <c r="B248" s="14"/>
      <c r="G248" s="14"/>
      <c r="H248" s="14"/>
      <c r="I248" s="14"/>
      <c r="J248" s="14"/>
      <c r="K248" s="14"/>
      <c r="L248" s="14"/>
      <c r="M248" s="14"/>
      <c r="N248" s="14"/>
      <c r="R248" s="246"/>
      <c r="S248" s="216"/>
      <c r="V248" s="197"/>
    </row>
    <row r="249" spans="1:22" ht="18" hidden="1" customHeight="1">
      <c r="A249" s="96"/>
      <c r="B249" s="14"/>
      <c r="F249" s="27"/>
      <c r="G249" s="14"/>
      <c r="H249" s="14"/>
      <c r="I249" s="14"/>
      <c r="J249" s="14"/>
      <c r="K249" s="14"/>
      <c r="L249" s="14"/>
      <c r="M249" s="14"/>
      <c r="N249" s="14"/>
      <c r="R249" s="246"/>
      <c r="S249" s="216"/>
      <c r="V249" s="197"/>
    </row>
    <row r="250" spans="1:22" ht="18" hidden="1" customHeight="1">
      <c r="A250" s="96"/>
      <c r="B250" s="14"/>
      <c r="G250" s="14"/>
      <c r="H250" s="14"/>
      <c r="I250" s="14"/>
      <c r="J250" s="14"/>
      <c r="K250" s="14"/>
      <c r="L250" s="14"/>
      <c r="M250" s="14"/>
      <c r="N250" s="14"/>
      <c r="R250" s="246"/>
      <c r="S250" s="216"/>
      <c r="V250" s="197"/>
    </row>
    <row r="251" spans="1:22" ht="18" hidden="1" customHeight="1">
      <c r="A251" s="96"/>
      <c r="B251" s="14"/>
      <c r="D251" s="295"/>
      <c r="E251" s="296"/>
      <c r="F251" s="14"/>
      <c r="G251" s="14"/>
      <c r="H251" s="14"/>
      <c r="I251" s="296"/>
      <c r="J251" s="28"/>
      <c r="L251" s="291"/>
      <c r="M251" s="120"/>
      <c r="N251" s="47"/>
      <c r="O251" s="291"/>
      <c r="P251" s="248"/>
      <c r="Q251" s="248"/>
      <c r="R251" s="246"/>
      <c r="S251" s="216"/>
      <c r="V251" s="197"/>
    </row>
    <row r="252" spans="1:22" ht="18" hidden="1" customHeight="1">
      <c r="A252" s="96"/>
      <c r="B252" s="14"/>
      <c r="D252" s="230"/>
      <c r="E252" s="296"/>
      <c r="F252" s="297"/>
      <c r="G252" s="298"/>
      <c r="H252" s="297"/>
      <c r="I252" s="296"/>
      <c r="J252" s="28"/>
      <c r="L252" s="291"/>
      <c r="M252" s="120"/>
      <c r="N252" s="225"/>
      <c r="O252" s="291"/>
      <c r="P252" s="248"/>
      <c r="Q252" s="248"/>
      <c r="R252" s="246"/>
      <c r="S252" s="216"/>
      <c r="V252" s="197"/>
    </row>
    <row r="253" spans="1:22" ht="18" hidden="1" customHeight="1">
      <c r="A253" s="96"/>
      <c r="B253" s="14"/>
      <c r="G253" s="14"/>
      <c r="H253" s="14"/>
      <c r="I253" s="14"/>
      <c r="J253" s="14"/>
      <c r="K253" s="14"/>
      <c r="L253" s="14"/>
      <c r="M253" s="14"/>
      <c r="N253" s="14"/>
      <c r="R253" s="246"/>
      <c r="S253" s="216"/>
      <c r="V253" s="197"/>
    </row>
    <row r="254" spans="1:22" ht="18" hidden="1" customHeight="1">
      <c r="A254" s="96"/>
      <c r="B254" s="14"/>
      <c r="G254" s="14"/>
      <c r="H254" s="18"/>
      <c r="I254" s="14"/>
      <c r="J254" s="14"/>
      <c r="K254" s="14"/>
      <c r="L254" s="14"/>
      <c r="M254" s="14"/>
      <c r="N254" s="14"/>
      <c r="R254" s="246"/>
      <c r="S254" s="216"/>
      <c r="V254" s="197"/>
    </row>
    <row r="255" spans="1:22" ht="18" hidden="1" customHeight="1">
      <c r="A255" s="96"/>
      <c r="B255" s="14"/>
      <c r="G255" s="14"/>
      <c r="H255" s="18"/>
      <c r="I255" s="14"/>
      <c r="J255" s="14"/>
      <c r="K255" s="14"/>
      <c r="L255" s="14"/>
      <c r="M255" s="14"/>
      <c r="N255" s="14"/>
      <c r="R255" s="246"/>
      <c r="S255" s="216"/>
      <c r="V255" s="197"/>
    </row>
    <row r="256" spans="1:22" ht="18" hidden="1" customHeight="1">
      <c r="A256" s="96"/>
      <c r="B256" s="14"/>
      <c r="G256" s="14"/>
      <c r="H256" s="14"/>
      <c r="I256" s="14"/>
      <c r="J256" s="14"/>
      <c r="K256" s="14"/>
      <c r="L256" s="14"/>
      <c r="M256" s="14"/>
      <c r="N256" s="14"/>
      <c r="R256" s="246"/>
      <c r="S256" s="216"/>
      <c r="V256" s="197"/>
    </row>
    <row r="257" spans="1:22" s="14" customFormat="1" ht="18" hidden="1" customHeight="1">
      <c r="A257" s="206"/>
      <c r="B257" s="207"/>
      <c r="C257" s="207"/>
      <c r="D257" s="207"/>
      <c r="E257" s="207"/>
      <c r="F257" s="207"/>
      <c r="G257" s="207"/>
      <c r="H257" s="207"/>
      <c r="I257" s="207"/>
      <c r="J257" s="207"/>
      <c r="K257" s="207"/>
      <c r="L257" s="207"/>
      <c r="M257" s="207"/>
      <c r="N257" s="207"/>
      <c r="O257" s="207"/>
      <c r="P257" s="207"/>
      <c r="Q257" s="236"/>
      <c r="R257" s="194"/>
      <c r="S257" s="237"/>
      <c r="T257" s="207"/>
      <c r="U257" s="207"/>
      <c r="V257" s="140" t="s">
        <v>563</v>
      </c>
    </row>
    <row r="258" spans="1:22" ht="18" hidden="1" customHeight="1">
      <c r="A258" s="238"/>
      <c r="B258" s="239"/>
      <c r="C258" s="239"/>
      <c r="D258" s="239"/>
      <c r="E258" s="239"/>
      <c r="F258" s="239"/>
      <c r="G258" s="239"/>
      <c r="H258" s="239"/>
      <c r="I258" s="239"/>
      <c r="J258" s="239"/>
      <c r="K258" s="239"/>
      <c r="L258" s="239"/>
      <c r="M258" s="239"/>
      <c r="N258" s="239"/>
      <c r="O258" s="239"/>
      <c r="P258" s="239"/>
      <c r="Q258" s="239"/>
      <c r="R258" s="239"/>
      <c r="S258" s="239"/>
      <c r="T258" s="239"/>
      <c r="U258" s="239"/>
      <c r="V258" s="240"/>
    </row>
    <row r="259" spans="1:22" ht="18" customHeight="1">
      <c r="A259" s="274" t="s">
        <v>543</v>
      </c>
      <c r="B259" s="14"/>
      <c r="C259" s="14"/>
      <c r="D259" s="120"/>
      <c r="E259" s="120"/>
      <c r="F259" s="18"/>
      <c r="G259" s="18"/>
      <c r="H259" s="14"/>
      <c r="I259" s="14"/>
      <c r="J259" s="14"/>
      <c r="K259" s="14"/>
      <c r="L259" s="14"/>
      <c r="M259" s="14"/>
      <c r="N259" s="14"/>
      <c r="O259" s="14"/>
      <c r="P259" s="28"/>
      <c r="Q259" s="120"/>
      <c r="R259" s="47"/>
      <c r="S259" s="218"/>
      <c r="T259" s="271"/>
      <c r="U259" s="14"/>
      <c r="V259" s="97"/>
    </row>
    <row r="260" spans="1:22" ht="18" customHeight="1">
      <c r="A260" s="614" t="s">
        <v>97</v>
      </c>
      <c r="B260" s="620"/>
      <c r="C260" s="615"/>
      <c r="D260" s="614" t="s">
        <v>98</v>
      </c>
      <c r="E260" s="620"/>
      <c r="F260" s="615"/>
      <c r="G260" s="614" t="s">
        <v>99</v>
      </c>
      <c r="H260" s="615"/>
      <c r="I260" s="614" t="s">
        <v>100</v>
      </c>
      <c r="J260" s="615"/>
      <c r="K260" s="614" t="s">
        <v>513</v>
      </c>
      <c r="L260" s="615"/>
      <c r="M260" s="614" t="s">
        <v>514</v>
      </c>
      <c r="N260" s="615"/>
      <c r="O260" s="614" t="s">
        <v>515</v>
      </c>
      <c r="P260" s="615"/>
      <c r="Q260" s="614" t="s">
        <v>516</v>
      </c>
      <c r="R260" s="615"/>
      <c r="S260" s="614" t="s">
        <v>105</v>
      </c>
      <c r="T260" s="620"/>
      <c r="U260" s="620"/>
      <c r="V260" s="615"/>
    </row>
    <row r="261" spans="1:22" ht="18" customHeight="1">
      <c r="A261" s="616"/>
      <c r="B261" s="621"/>
      <c r="C261" s="617"/>
      <c r="D261" s="616"/>
      <c r="E261" s="621"/>
      <c r="F261" s="617"/>
      <c r="G261" s="616"/>
      <c r="H261" s="617"/>
      <c r="I261" s="616"/>
      <c r="J261" s="617"/>
      <c r="K261" s="616"/>
      <c r="L261" s="617"/>
      <c r="M261" s="616"/>
      <c r="N261" s="617"/>
      <c r="O261" s="616"/>
      <c r="P261" s="617"/>
      <c r="Q261" s="616"/>
      <c r="R261" s="617"/>
      <c r="S261" s="616"/>
      <c r="T261" s="621"/>
      <c r="U261" s="621"/>
      <c r="V261" s="617"/>
    </row>
    <row r="262" spans="1:22" ht="18" customHeight="1">
      <c r="A262" s="616"/>
      <c r="B262" s="621"/>
      <c r="C262" s="617"/>
      <c r="D262" s="616"/>
      <c r="E262" s="621"/>
      <c r="F262" s="617"/>
      <c r="G262" s="616"/>
      <c r="H262" s="617"/>
      <c r="I262" s="616"/>
      <c r="J262" s="617"/>
      <c r="K262" s="616"/>
      <c r="L262" s="617"/>
      <c r="M262" s="616"/>
      <c r="N262" s="617"/>
      <c r="O262" s="616"/>
      <c r="P262" s="617"/>
      <c r="Q262" s="616"/>
      <c r="R262" s="617"/>
      <c r="S262" s="616"/>
      <c r="T262" s="621"/>
      <c r="U262" s="621"/>
      <c r="V262" s="617"/>
    </row>
    <row r="263" spans="1:22" ht="18" customHeight="1">
      <c r="A263" s="618"/>
      <c r="B263" s="622"/>
      <c r="C263" s="619"/>
      <c r="D263" s="618"/>
      <c r="E263" s="622"/>
      <c r="F263" s="619"/>
      <c r="G263" s="618"/>
      <c r="H263" s="619"/>
      <c r="I263" s="618"/>
      <c r="J263" s="619"/>
      <c r="K263" s="618"/>
      <c r="L263" s="619"/>
      <c r="M263" s="618"/>
      <c r="N263" s="619"/>
      <c r="O263" s="618"/>
      <c r="P263" s="619"/>
      <c r="Q263" s="618"/>
      <c r="R263" s="619"/>
      <c r="S263" s="618"/>
      <c r="T263" s="622"/>
      <c r="U263" s="622"/>
      <c r="V263" s="619"/>
    </row>
    <row r="264" spans="1:22" ht="18" customHeight="1">
      <c r="A264" s="623" t="str">
        <f>B7</f>
        <v>T1</v>
      </c>
      <c r="B264" s="623" t="str">
        <f>D7</f>
        <v>Core2</v>
      </c>
      <c r="C264" s="623"/>
      <c r="D264" s="613">
        <f>H10</f>
        <v>3150</v>
      </c>
      <c r="E264" s="613"/>
      <c r="F264" s="624">
        <f>O10</f>
        <v>1</v>
      </c>
      <c r="G264" s="627">
        <f>'CT-VT Burdens'!S19</f>
        <v>80</v>
      </c>
      <c r="H264" s="630">
        <f>'CT-VT Burdens'!S10</f>
        <v>2.5</v>
      </c>
      <c r="I264" s="783" t="str">
        <f>H11</f>
        <v>PX</v>
      </c>
      <c r="J264" s="783"/>
      <c r="K264" s="612">
        <f>H12</f>
        <v>9</v>
      </c>
      <c r="L264" s="612"/>
      <c r="M264" s="612">
        <f>H13</f>
        <v>800</v>
      </c>
      <c r="N264" s="612"/>
      <c r="O264" s="613">
        <f>H14</f>
        <v>30</v>
      </c>
      <c r="P264" s="613"/>
      <c r="Q264" s="629" t="str">
        <f>T7</f>
        <v>SEL487E</v>
      </c>
      <c r="R264" s="629"/>
      <c r="S264" s="628" t="str">
        <f>H72</f>
        <v>Suitable Dimensions</v>
      </c>
      <c r="T264" s="628"/>
      <c r="U264" s="628"/>
      <c r="V264" s="628"/>
    </row>
    <row r="265" spans="1:22" ht="18" customHeight="1">
      <c r="A265" s="623"/>
      <c r="B265" s="623"/>
      <c r="C265" s="623"/>
      <c r="D265" s="613">
        <f>J10</f>
        <v>2000</v>
      </c>
      <c r="E265" s="613"/>
      <c r="F265" s="625"/>
      <c r="G265" s="627"/>
      <c r="H265" s="630"/>
      <c r="I265" s="783"/>
      <c r="J265" s="783"/>
      <c r="K265" s="612">
        <f>J94</f>
        <v>6</v>
      </c>
      <c r="L265" s="612"/>
      <c r="M265" s="612">
        <f>J95</f>
        <v>500</v>
      </c>
      <c r="N265" s="612"/>
      <c r="O265" s="613">
        <f>J96</f>
        <v>60</v>
      </c>
      <c r="P265" s="613"/>
      <c r="Q265" s="629"/>
      <c r="R265" s="629"/>
      <c r="S265" s="628" t="str">
        <f>H154</f>
        <v>Suitable Dimensions</v>
      </c>
      <c r="T265" s="628"/>
      <c r="U265" s="628"/>
      <c r="V265" s="628"/>
    </row>
    <row r="266" spans="1:22" ht="18" customHeight="1">
      <c r="A266" s="623"/>
      <c r="B266" s="623"/>
      <c r="C266" s="623"/>
      <c r="D266" s="613" t="str">
        <f>L10</f>
        <v>-</v>
      </c>
      <c r="E266" s="613"/>
      <c r="F266" s="626"/>
      <c r="G266" s="627"/>
      <c r="H266" s="630"/>
      <c r="I266" s="783"/>
      <c r="J266" s="783"/>
      <c r="K266" s="612" t="s">
        <v>7</v>
      </c>
      <c r="L266" s="612"/>
      <c r="M266" s="612" t="s">
        <v>7</v>
      </c>
      <c r="N266" s="612"/>
      <c r="O266" s="613" t="s">
        <v>7</v>
      </c>
      <c r="P266" s="613"/>
      <c r="Q266" s="629"/>
      <c r="R266" s="629"/>
      <c r="S266" s="628" t="s">
        <v>7</v>
      </c>
      <c r="T266" s="628"/>
      <c r="U266" s="628"/>
      <c r="V266" s="628"/>
    </row>
    <row r="267" spans="1:22" ht="18" customHeight="1">
      <c r="A267" s="196"/>
      <c r="V267" s="197"/>
    </row>
    <row r="268" spans="1:22" ht="18" customHeight="1">
      <c r="A268" s="196"/>
      <c r="V268" s="197"/>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302"/>
      <c r="B299" s="208"/>
      <c r="C299" s="208"/>
      <c r="D299" s="208"/>
      <c r="E299" s="208"/>
      <c r="F299" s="208"/>
      <c r="G299" s="208"/>
      <c r="H299" s="208"/>
      <c r="I299" s="208"/>
      <c r="J299" s="208"/>
      <c r="K299" s="208"/>
      <c r="L299" s="208"/>
      <c r="M299" s="208"/>
      <c r="N299" s="208"/>
      <c r="O299" s="208"/>
      <c r="P299" s="208"/>
      <c r="Q299" s="208"/>
      <c r="R299" s="208"/>
      <c r="S299" s="208"/>
      <c r="T299" s="208"/>
      <c r="U299" s="208"/>
      <c r="V299" s="303"/>
    </row>
    <row r="300" spans="1:22" ht="18" hidden="1" customHeight="1">
      <c r="A300" s="196"/>
      <c r="V300" s="197"/>
    </row>
    <row r="301" spans="1:22" s="14" customFormat="1" ht="18" hidden="1" customHeight="1">
      <c r="A301" s="206"/>
      <c r="B301" s="207"/>
      <c r="C301" s="207"/>
      <c r="D301" s="207"/>
      <c r="E301" s="207"/>
      <c r="F301" s="207"/>
      <c r="G301" s="207"/>
      <c r="H301" s="207"/>
      <c r="I301" s="207"/>
      <c r="J301" s="207"/>
      <c r="K301" s="207"/>
      <c r="L301" s="207"/>
      <c r="M301" s="207"/>
      <c r="N301" s="207"/>
      <c r="O301" s="207"/>
      <c r="P301" s="207"/>
      <c r="Q301" s="236"/>
      <c r="R301" s="194"/>
      <c r="S301" s="237"/>
      <c r="T301" s="207"/>
      <c r="U301" s="207"/>
      <c r="V301" s="140" t="s">
        <v>563</v>
      </c>
    </row>
    <row r="302" spans="1:22" ht="18" hidden="1" customHeight="1">
      <c r="A302" s="1105" t="str">
        <f>A1</f>
        <v>HITACHI</v>
      </c>
      <c r="B302" s="1106"/>
      <c r="C302" s="1106"/>
      <c r="D302" s="1106"/>
      <c r="E302" s="1106"/>
      <c r="F302" s="1106"/>
      <c r="G302" s="1107"/>
      <c r="H302" s="726" t="str">
        <f>H1</f>
        <v>CT / VT</v>
      </c>
      <c r="I302" s="727"/>
      <c r="J302" s="727"/>
      <c r="K302" s="727"/>
      <c r="L302" s="727"/>
      <c r="M302" s="727"/>
      <c r="N302" s="728"/>
      <c r="O302" s="702" t="str">
        <f>O1</f>
        <v>Contract No.</v>
      </c>
      <c r="P302" s="703"/>
      <c r="Q302" s="704"/>
      <c r="R302" s="1133" t="str">
        <f>R1</f>
        <v>N-19957.1-DF5W</v>
      </c>
      <c r="S302" s="1134"/>
      <c r="T302" s="1134"/>
      <c r="U302" s="1134"/>
      <c r="V302" s="1135"/>
    </row>
    <row r="303" spans="1:22" ht="18" hidden="1" customHeight="1">
      <c r="A303" s="1108"/>
      <c r="B303" s="1109"/>
      <c r="C303" s="1109"/>
      <c r="D303" s="1109"/>
      <c r="E303" s="1109"/>
      <c r="F303" s="1109"/>
      <c r="G303" s="1110"/>
      <c r="H303" s="729" t="str">
        <f>H2</f>
        <v>ADEQUACY CHECK</v>
      </c>
      <c r="I303" s="730"/>
      <c r="J303" s="730"/>
      <c r="K303" s="730"/>
      <c r="L303" s="730"/>
      <c r="M303" s="730"/>
      <c r="N303" s="731"/>
      <c r="O303" s="702" t="str">
        <f>O2</f>
        <v>Date</v>
      </c>
      <c r="P303" s="703"/>
      <c r="Q303" s="704"/>
      <c r="R303" s="1133">
        <f>R2</f>
        <v>46106</v>
      </c>
      <c r="S303" s="1134"/>
      <c r="T303" s="1134"/>
      <c r="U303" s="1134"/>
      <c r="V303" s="1135"/>
    </row>
    <row r="304" spans="1:22" ht="18" hidden="1" customHeight="1">
      <c r="A304" s="614">
        <f>A3</f>
        <v>0</v>
      </c>
      <c r="B304" s="620"/>
      <c r="C304" s="620"/>
      <c r="D304" s="620"/>
      <c r="E304" s="620"/>
      <c r="F304" s="620"/>
      <c r="G304" s="615"/>
      <c r="H304" s="1139" t="str">
        <f>H3</f>
        <v>LT14 - LEWIS
400/132kV SUBSTATION</v>
      </c>
      <c r="I304" s="1140"/>
      <c r="J304" s="1140"/>
      <c r="K304" s="1140"/>
      <c r="L304" s="1140"/>
      <c r="M304" s="1140"/>
      <c r="N304" s="1141"/>
      <c r="O304" s="702" t="str">
        <f>O3</f>
        <v>Document No.</v>
      </c>
      <c r="P304" s="703"/>
      <c r="Q304" s="704"/>
      <c r="R304" s="1133" t="str">
        <f>R3</f>
        <v>-</v>
      </c>
      <c r="S304" s="1134"/>
      <c r="T304" s="1134"/>
      <c r="U304" s="1134"/>
      <c r="V304" s="1135"/>
    </row>
    <row r="305" spans="1:29" ht="18" hidden="1" customHeight="1">
      <c r="A305" s="618"/>
      <c r="B305" s="622"/>
      <c r="C305" s="622"/>
      <c r="D305" s="622"/>
      <c r="E305" s="622"/>
      <c r="F305" s="622"/>
      <c r="G305" s="619"/>
      <c r="H305" s="1142"/>
      <c r="I305" s="1143"/>
      <c r="J305" s="1143"/>
      <c r="K305" s="1143"/>
      <c r="L305" s="1143"/>
      <c r="M305" s="1143"/>
      <c r="N305" s="1144"/>
      <c r="O305" s="702" t="str">
        <f>O4</f>
        <v>Revision No.</v>
      </c>
      <c r="P305" s="703"/>
      <c r="Q305" s="704"/>
      <c r="R305" s="1133" t="str">
        <f>R4</f>
        <v>A</v>
      </c>
      <c r="S305" s="1134"/>
      <c r="T305" s="1134"/>
      <c r="U305" s="1134"/>
      <c r="V305" s="1135"/>
    </row>
    <row r="306" spans="1:29" ht="18" hidden="1" customHeight="1">
      <c r="A306" s="708" t="str">
        <f>A5</f>
        <v>Prep. By</v>
      </c>
      <c r="B306" s="709"/>
      <c r="C306" s="304" t="str">
        <f>C5</f>
        <v>AP</v>
      </c>
      <c r="D306" s="708" t="str">
        <f>D5</f>
        <v>Checked By</v>
      </c>
      <c r="E306" s="710"/>
      <c r="F306" s="709"/>
      <c r="G306" s="304" t="str">
        <f>G5</f>
        <v>RB</v>
      </c>
      <c r="H306" s="1100" t="str">
        <f>H5</f>
        <v>33kV Side Trafo Feeder (100MVA)</v>
      </c>
      <c r="I306" s="1101"/>
      <c r="J306" s="1101"/>
      <c r="K306" s="1101"/>
      <c r="L306" s="1101"/>
      <c r="M306" s="1101"/>
      <c r="N306" s="1102"/>
      <c r="O306" s="714" t="str">
        <f>O5</f>
        <v>Contractor</v>
      </c>
      <c r="P306" s="715"/>
      <c r="Q306" s="716"/>
      <c r="R306" s="1133" t="str">
        <f>R5</f>
        <v>HITACHI</v>
      </c>
      <c r="S306" s="1134"/>
      <c r="T306" s="1134"/>
      <c r="U306" s="1134"/>
      <c r="V306" s="1135"/>
    </row>
    <row r="307" spans="1:29" ht="18" hidden="1" customHeight="1">
      <c r="A307" s="238"/>
      <c r="B307" s="239"/>
      <c r="C307" s="239"/>
      <c r="D307" s="239"/>
      <c r="E307" s="239"/>
      <c r="F307" s="239"/>
      <c r="G307" s="239"/>
      <c r="H307" s="239"/>
      <c r="I307" s="239"/>
      <c r="J307" s="239"/>
      <c r="K307" s="239"/>
      <c r="L307" s="239"/>
      <c r="M307" s="239"/>
      <c r="N307" s="239"/>
      <c r="O307" s="239"/>
      <c r="P307" s="239"/>
      <c r="Q307" s="239"/>
      <c r="R307" s="239"/>
      <c r="S307" s="239"/>
      <c r="T307" s="239"/>
      <c r="U307" s="239"/>
      <c r="V307" s="240"/>
    </row>
    <row r="308" spans="1:29" ht="18" hidden="1" customHeight="1">
      <c r="A308" s="196"/>
      <c r="B308" s="656" t="s">
        <v>674</v>
      </c>
      <c r="C308" s="657"/>
      <c r="D308" s="696" t="s">
        <v>121</v>
      </c>
      <c r="E308" s="1136"/>
      <c r="F308" s="198" t="s">
        <v>647</v>
      </c>
      <c r="H308" s="639" t="str">
        <f>H171</f>
        <v>(Transformer Differential)</v>
      </c>
      <c r="I308" s="639"/>
      <c r="J308" s="639"/>
      <c r="K308" s="639"/>
      <c r="L308" s="639"/>
      <c r="M308" s="639"/>
      <c r="P308" s="198"/>
      <c r="S308" s="199" t="s">
        <v>398</v>
      </c>
      <c r="T308" s="1131" t="str">
        <f>T171</f>
        <v>SEL487E</v>
      </c>
      <c r="U308" s="1132"/>
      <c r="V308" s="197"/>
    </row>
    <row r="309" spans="1:29" ht="18" hidden="1" customHeight="1">
      <c r="A309" s="196"/>
      <c r="B309" s="894" t="s">
        <v>675</v>
      </c>
      <c r="C309" s="894"/>
      <c r="D309" s="1137"/>
      <c r="E309" s="1138"/>
      <c r="F309" s="267"/>
      <c r="T309" s="1131"/>
      <c r="U309" s="1132"/>
      <c r="V309" s="197"/>
    </row>
    <row r="310" spans="1:29" ht="18" hidden="1" customHeight="1">
      <c r="A310" s="196"/>
      <c r="H310" s="662" t="s">
        <v>401</v>
      </c>
      <c r="I310" s="662"/>
      <c r="J310" s="661" t="s">
        <v>402</v>
      </c>
      <c r="K310" s="661"/>
      <c r="L310" s="661" t="s">
        <v>403</v>
      </c>
      <c r="M310" s="661"/>
      <c r="T310" s="1131"/>
      <c r="U310" s="1132"/>
      <c r="V310" s="197"/>
    </row>
    <row r="311" spans="1:29" ht="18" hidden="1" customHeight="1">
      <c r="A311" s="196"/>
      <c r="B311" s="47" t="s">
        <v>404</v>
      </c>
      <c r="H311" s="692">
        <v>5000</v>
      </c>
      <c r="I311" s="693"/>
      <c r="J311" s="656">
        <v>4000</v>
      </c>
      <c r="K311" s="657"/>
      <c r="L311" s="656">
        <v>3000</v>
      </c>
      <c r="M311" s="657"/>
      <c r="N311" s="203" t="s">
        <v>353</v>
      </c>
      <c r="O311" s="125">
        <v>1</v>
      </c>
      <c r="P311" s="27" t="s">
        <v>9</v>
      </c>
      <c r="V311" s="197"/>
    </row>
    <row r="312" spans="1:29" ht="18" hidden="1" customHeight="1">
      <c r="A312" s="196"/>
      <c r="B312" s="47" t="s">
        <v>405</v>
      </c>
      <c r="H312" s="656" t="s">
        <v>406</v>
      </c>
      <c r="I312" s="689"/>
      <c r="V312" s="197"/>
    </row>
    <row r="313" spans="1:29" ht="18" hidden="1" customHeight="1">
      <c r="A313" s="196"/>
      <c r="B313" s="47" t="s">
        <v>407</v>
      </c>
      <c r="G313" s="120" t="s">
        <v>508</v>
      </c>
      <c r="H313" s="656">
        <v>20</v>
      </c>
      <c r="I313" s="657"/>
      <c r="J313" s="204" t="s">
        <v>344</v>
      </c>
      <c r="V313" s="197"/>
    </row>
    <row r="314" spans="1:29" ht="18" hidden="1" customHeight="1">
      <c r="A314" s="196"/>
      <c r="B314" s="47" t="s">
        <v>409</v>
      </c>
      <c r="G314" s="120" t="s">
        <v>509</v>
      </c>
      <c r="H314" s="656">
        <v>1000</v>
      </c>
      <c r="I314" s="657"/>
      <c r="J314" s="14" t="s">
        <v>316</v>
      </c>
      <c r="V314" s="197"/>
      <c r="W314" s="30" t="s">
        <v>411</v>
      </c>
      <c r="AB314" s="996">
        <f>D367</f>
        <v>60.427720825033227</v>
      </c>
      <c r="AC314" s="997"/>
    </row>
    <row r="315" spans="1:29" ht="18" hidden="1" customHeight="1">
      <c r="A315" s="196"/>
      <c r="B315" s="14" t="s">
        <v>412</v>
      </c>
      <c r="G315" s="120" t="s">
        <v>413</v>
      </c>
      <c r="H315" s="656">
        <v>20</v>
      </c>
      <c r="I315" s="657"/>
      <c r="J315" s="30" t="s">
        <v>414</v>
      </c>
      <c r="V315" s="197"/>
    </row>
    <row r="316" spans="1:29" ht="18" hidden="1" customHeight="1">
      <c r="A316" s="96"/>
      <c r="V316" s="197"/>
    </row>
    <row r="317" spans="1:29" ht="18" hidden="1" customHeight="1">
      <c r="A317" s="205" t="s">
        <v>415</v>
      </c>
      <c r="V317" s="197"/>
    </row>
    <row r="318" spans="1:29" ht="18" hidden="1" customHeight="1">
      <c r="A318" s="196"/>
      <c r="V318" s="197"/>
    </row>
    <row r="319" spans="1:29" ht="18" hidden="1" customHeight="1">
      <c r="A319" s="196"/>
      <c r="B319" s="206" t="s">
        <v>416</v>
      </c>
      <c r="C319" s="207"/>
      <c r="D319" s="207" t="str">
        <f>T308</f>
        <v>SEL487E</v>
      </c>
      <c r="E319" s="208"/>
      <c r="F319" s="208"/>
      <c r="G319" s="208"/>
      <c r="H319" s="194" t="s">
        <v>417</v>
      </c>
      <c r="I319" s="195" t="s">
        <v>138</v>
      </c>
      <c r="J319" s="1129">
        <f>J182</f>
        <v>0.1</v>
      </c>
      <c r="K319" s="1130"/>
      <c r="L319" s="3" t="s">
        <v>168</v>
      </c>
      <c r="V319" s="197"/>
    </row>
    <row r="320" spans="1:29" ht="18" hidden="1" customHeight="1">
      <c r="A320" s="196"/>
      <c r="B320" s="196" t="s">
        <v>416</v>
      </c>
      <c r="D320" s="30">
        <f>T309</f>
        <v>0</v>
      </c>
      <c r="H320" s="27"/>
      <c r="I320" s="189" t="s">
        <v>138</v>
      </c>
      <c r="J320" s="999"/>
      <c r="K320" s="1122"/>
      <c r="L320" s="210" t="s">
        <v>168</v>
      </c>
      <c r="V320" s="197"/>
    </row>
    <row r="321" spans="1:22" ht="18" hidden="1" customHeight="1">
      <c r="A321" s="196"/>
      <c r="B321" s="196" t="s">
        <v>416</v>
      </c>
      <c r="D321" s="30">
        <f>T310</f>
        <v>0</v>
      </c>
      <c r="E321" s="14"/>
      <c r="G321" s="211"/>
      <c r="H321" s="27"/>
      <c r="I321" s="189" t="s">
        <v>138</v>
      </c>
      <c r="J321" s="1127"/>
      <c r="K321" s="1128"/>
      <c r="L321" s="214" t="s">
        <v>168</v>
      </c>
      <c r="V321" s="197"/>
    </row>
    <row r="322" spans="1:22" ht="18" hidden="1" customHeight="1">
      <c r="A322" s="196"/>
      <c r="B322" s="196" t="s">
        <v>423</v>
      </c>
      <c r="H322" s="27" t="s">
        <v>610</v>
      </c>
      <c r="I322" s="189" t="s">
        <v>138</v>
      </c>
      <c r="J322" s="1042">
        <f>J185</f>
        <v>1.4869257975000001</v>
      </c>
      <c r="K322" s="643"/>
      <c r="L322" s="215" t="s">
        <v>168</v>
      </c>
      <c r="V322" s="197"/>
    </row>
    <row r="323" spans="1:22" ht="18" hidden="1" customHeight="1">
      <c r="A323" s="196"/>
      <c r="B323" s="217" t="s">
        <v>424</v>
      </c>
      <c r="C323" s="218"/>
      <c r="D323" s="218"/>
      <c r="E323" s="218"/>
      <c r="F323" s="219"/>
      <c r="G323" s="219"/>
      <c r="H323" s="202" t="s">
        <v>420</v>
      </c>
      <c r="I323" s="220" t="s">
        <v>138</v>
      </c>
      <c r="J323" s="897">
        <f>J320+J322</f>
        <v>1.4869257975000001</v>
      </c>
      <c r="K323" s="649"/>
      <c r="L323" s="222" t="s">
        <v>168</v>
      </c>
      <c r="V323" s="197"/>
    </row>
    <row r="324" spans="1:22" ht="18" hidden="1" customHeight="1">
      <c r="A324" s="196"/>
      <c r="B324" s="47"/>
      <c r="C324" s="47"/>
      <c r="D324" s="47"/>
      <c r="E324" s="47"/>
      <c r="H324" s="27"/>
      <c r="I324" s="28"/>
      <c r="J324" s="211"/>
      <c r="L324" s="47"/>
      <c r="O324" s="27"/>
      <c r="P324" s="223"/>
      <c r="Q324" s="223"/>
      <c r="R324" s="204"/>
      <c r="V324" s="197"/>
    </row>
    <row r="325" spans="1:22" ht="18" hidden="1" customHeight="1">
      <c r="A325" s="196"/>
      <c r="B325" s="209" t="s">
        <v>659</v>
      </c>
      <c r="L325" s="47"/>
      <c r="M325" s="209" t="s">
        <v>418</v>
      </c>
      <c r="V325" s="197"/>
    </row>
    <row r="326" spans="1:22" s="14" customFormat="1" ht="18" hidden="1" customHeight="1">
      <c r="A326" s="196"/>
      <c r="B326" s="27" t="s">
        <v>660</v>
      </c>
      <c r="C326" s="27" t="s">
        <v>138</v>
      </c>
      <c r="D326" s="30" t="s">
        <v>417</v>
      </c>
      <c r="E326" s="283" t="s">
        <v>421</v>
      </c>
      <c r="F326" s="27" t="s">
        <v>157</v>
      </c>
      <c r="G326" s="28" t="s">
        <v>326</v>
      </c>
      <c r="H326" s="230" t="s">
        <v>157</v>
      </c>
      <c r="I326" s="30" t="s">
        <v>361</v>
      </c>
      <c r="J326" s="211"/>
      <c r="K326" s="30"/>
      <c r="L326" s="47"/>
      <c r="M326" s="30" t="s">
        <v>419</v>
      </c>
      <c r="N326" s="27" t="s">
        <v>138</v>
      </c>
      <c r="O326" s="30" t="s">
        <v>420</v>
      </c>
      <c r="P326" s="203" t="s">
        <v>421</v>
      </c>
      <c r="Q326" s="256" t="s">
        <v>422</v>
      </c>
      <c r="R326" s="27" t="s">
        <v>326</v>
      </c>
      <c r="S326" s="30" t="s">
        <v>422</v>
      </c>
      <c r="T326" s="30" t="s">
        <v>361</v>
      </c>
      <c r="U326" s="30"/>
      <c r="V326" s="197"/>
    </row>
    <row r="327" spans="1:22" s="14" customFormat="1" ht="18" hidden="1" customHeight="1">
      <c r="A327" s="196"/>
      <c r="B327" s="47"/>
      <c r="C327" s="27" t="s">
        <v>138</v>
      </c>
      <c r="D327" s="216">
        <f>J319</f>
        <v>0.1</v>
      </c>
      <c r="E327" s="203" t="s">
        <v>421</v>
      </c>
      <c r="F327" s="27">
        <f>F108</f>
        <v>1</v>
      </c>
      <c r="G327" s="27" t="s">
        <v>326</v>
      </c>
      <c r="H327" s="27">
        <f>H108</f>
        <v>1</v>
      </c>
      <c r="I327" s="30" t="s">
        <v>361</v>
      </c>
      <c r="J327" s="211"/>
      <c r="K327" s="30"/>
      <c r="L327" s="47"/>
      <c r="M327" s="30"/>
      <c r="N327" s="27" t="s">
        <v>138</v>
      </c>
      <c r="O327" s="216">
        <f>J323</f>
        <v>1.4869257975000001</v>
      </c>
      <c r="P327" s="203" t="s">
        <v>421</v>
      </c>
      <c r="Q327" s="27">
        <f>O311</f>
        <v>1</v>
      </c>
      <c r="R327" s="27" t="s">
        <v>326</v>
      </c>
      <c r="S327" s="27">
        <f>O311</f>
        <v>1</v>
      </c>
      <c r="T327" s="30" t="s">
        <v>361</v>
      </c>
      <c r="U327" s="30"/>
      <c r="V327" s="197"/>
    </row>
    <row r="328" spans="1:22" s="14" customFormat="1" ht="18" hidden="1" customHeight="1">
      <c r="A328" s="196"/>
      <c r="B328" s="47"/>
      <c r="C328" s="27" t="s">
        <v>138</v>
      </c>
      <c r="D328" s="637">
        <f>D327/(F327*H327)</f>
        <v>0.1</v>
      </c>
      <c r="E328" s="637"/>
      <c r="F328" s="204" t="s">
        <v>344</v>
      </c>
      <c r="G328" s="30"/>
      <c r="H328" s="30"/>
      <c r="I328" s="30"/>
      <c r="J328" s="211"/>
      <c r="K328" s="30"/>
      <c r="L328" s="47"/>
      <c r="M328" s="30"/>
      <c r="N328" s="27" t="s">
        <v>138</v>
      </c>
      <c r="O328" s="637">
        <f>O327/(Q327*S327)</f>
        <v>1.4869257975000001</v>
      </c>
      <c r="P328" s="637"/>
      <c r="Q328" s="204" t="s">
        <v>344</v>
      </c>
      <c r="R328" s="30"/>
      <c r="S328" s="30"/>
      <c r="T328" s="30"/>
      <c r="U328" s="30"/>
      <c r="V328" s="197"/>
    </row>
    <row r="329" spans="1:22" s="14" customFormat="1" ht="18" hidden="1" customHeight="1">
      <c r="A329" s="196"/>
      <c r="B329" s="47"/>
      <c r="C329" s="47"/>
      <c r="D329" s="47"/>
      <c r="E329" s="47"/>
      <c r="F329" s="30"/>
      <c r="G329" s="30"/>
      <c r="H329" s="27"/>
      <c r="I329" s="28"/>
      <c r="J329" s="211"/>
      <c r="K329" s="30"/>
      <c r="L329" s="47"/>
      <c r="M329" s="30"/>
      <c r="N329" s="30"/>
      <c r="O329" s="27"/>
      <c r="P329" s="223"/>
      <c r="Q329" s="223"/>
      <c r="R329" s="204"/>
      <c r="S329" s="30"/>
      <c r="T329" s="30"/>
      <c r="U329" s="30"/>
      <c r="V329" s="197"/>
    </row>
    <row r="330" spans="1:22" s="14" customFormat="1" ht="18" hidden="1" customHeight="1">
      <c r="A330" s="196"/>
      <c r="B330" s="47"/>
      <c r="C330" s="47"/>
      <c r="D330" s="47"/>
      <c r="E330" s="47"/>
      <c r="F330" s="30"/>
      <c r="G330" s="30"/>
      <c r="H330" s="27"/>
      <c r="I330" s="28"/>
      <c r="J330" s="211"/>
      <c r="K330" s="30"/>
      <c r="L330" s="47"/>
      <c r="M330" s="216"/>
      <c r="N330" s="27"/>
      <c r="O330" s="223"/>
      <c r="P330" s="223"/>
      <c r="Q330" s="223"/>
      <c r="R330" s="204"/>
      <c r="S330" s="30"/>
      <c r="T330" s="30"/>
      <c r="U330" s="30"/>
      <c r="V330" s="197"/>
    </row>
    <row r="331" spans="1:22" s="14" customFormat="1" ht="18" hidden="1" customHeight="1">
      <c r="A331" s="205" t="s">
        <v>611</v>
      </c>
      <c r="B331" s="5"/>
      <c r="C331" s="5"/>
      <c r="D331" s="5"/>
      <c r="E331" s="5"/>
      <c r="F331" s="5"/>
      <c r="G331" s="5"/>
      <c r="H331" s="224"/>
      <c r="I331" s="224"/>
      <c r="J331" s="5"/>
      <c r="K331" s="5"/>
      <c r="L331" s="5"/>
      <c r="M331" s="5"/>
      <c r="N331" s="5"/>
      <c r="O331" s="5"/>
      <c r="P331" s="103"/>
      <c r="Q331" s="224"/>
      <c r="R331" s="225"/>
      <c r="S331" s="226"/>
      <c r="T331" s="18"/>
      <c r="U331" s="18"/>
      <c r="V331" s="97"/>
    </row>
    <row r="332" spans="1:22" s="14" customFormat="1" ht="18" hidden="1" customHeight="1">
      <c r="A332" s="96"/>
      <c r="B332" s="47" t="s">
        <v>612</v>
      </c>
      <c r="C332" s="5"/>
      <c r="D332" s="5"/>
      <c r="E332" s="5"/>
      <c r="I332" s="227"/>
      <c r="M332" s="5"/>
      <c r="N332" s="103" t="s">
        <v>138</v>
      </c>
      <c r="O332" s="1125">
        <f>O113</f>
        <v>100</v>
      </c>
      <c r="P332" s="651"/>
      <c r="Q332" s="14" t="s">
        <v>613</v>
      </c>
      <c r="S332" s="226"/>
      <c r="T332" s="18"/>
      <c r="U332" s="18"/>
      <c r="V332" s="97"/>
    </row>
    <row r="333" spans="1:22" s="14" customFormat="1" ht="18" hidden="1" customHeight="1">
      <c r="A333" s="96"/>
      <c r="B333" s="47" t="s">
        <v>614</v>
      </c>
      <c r="C333" s="5"/>
      <c r="D333" s="5"/>
      <c r="E333" s="5"/>
      <c r="I333" s="227"/>
      <c r="M333" s="5"/>
      <c r="N333" s="103" t="s">
        <v>138</v>
      </c>
      <c r="O333" s="1125">
        <f>O114</f>
        <v>25</v>
      </c>
      <c r="P333" s="651"/>
      <c r="Q333" s="14" t="s">
        <v>615</v>
      </c>
      <c r="S333" s="226"/>
      <c r="T333" s="18"/>
      <c r="U333" s="18"/>
      <c r="V333" s="97"/>
    </row>
    <row r="334" spans="1:22" s="14" customFormat="1" ht="18" hidden="1" customHeight="1">
      <c r="A334" s="96"/>
      <c r="B334" s="47" t="s">
        <v>616</v>
      </c>
      <c r="C334" s="5"/>
      <c r="D334" s="5"/>
      <c r="E334" s="5"/>
      <c r="M334" s="120" t="s">
        <v>617</v>
      </c>
      <c r="N334" s="103" t="s">
        <v>618</v>
      </c>
      <c r="O334" s="1125">
        <f>'[2]Parameters &amp; Fault Cal.'!Q12</f>
        <v>132</v>
      </c>
      <c r="P334" s="651"/>
      <c r="Q334" s="14" t="s">
        <v>174</v>
      </c>
      <c r="S334" s="226"/>
      <c r="T334" s="18"/>
      <c r="U334" s="18"/>
      <c r="V334" s="97"/>
    </row>
    <row r="335" spans="1:22" s="14" customFormat="1" ht="18" hidden="1" customHeight="1">
      <c r="A335" s="228"/>
      <c r="B335" s="224"/>
      <c r="C335" s="224"/>
      <c r="D335" s="224"/>
      <c r="E335" s="224"/>
      <c r="T335" s="18"/>
      <c r="U335" s="18"/>
      <c r="V335" s="97"/>
    </row>
    <row r="336" spans="1:22" s="14" customFormat="1" ht="18" hidden="1" customHeight="1">
      <c r="A336" s="284" t="s">
        <v>619</v>
      </c>
      <c r="B336" s="225"/>
      <c r="C336" s="225"/>
      <c r="D336" s="225"/>
      <c r="E336" s="225"/>
      <c r="H336" s="120" t="s">
        <v>620</v>
      </c>
      <c r="I336" s="28" t="s">
        <v>138</v>
      </c>
      <c r="J336" s="638" t="s">
        <v>621</v>
      </c>
      <c r="K336" s="638"/>
      <c r="L336" s="28" t="s">
        <v>326</v>
      </c>
      <c r="M336" s="229">
        <v>1000</v>
      </c>
      <c r="N336" s="102" t="s">
        <v>353</v>
      </c>
      <c r="O336" s="28" t="s">
        <v>622</v>
      </c>
      <c r="P336" s="28" t="s">
        <v>326</v>
      </c>
      <c r="Q336" s="28" t="s">
        <v>617</v>
      </c>
      <c r="R336" s="47" t="s">
        <v>361</v>
      </c>
      <c r="T336" s="18"/>
      <c r="U336" s="18"/>
      <c r="V336" s="97"/>
    </row>
    <row r="337" spans="1:22" ht="18" hidden="1" customHeight="1">
      <c r="A337" s="228"/>
      <c r="B337" s="225"/>
      <c r="C337" s="225"/>
      <c r="D337" s="225"/>
      <c r="E337" s="225"/>
      <c r="F337" s="224"/>
      <c r="G337" s="224"/>
      <c r="H337" s="28"/>
      <c r="I337" s="28" t="s">
        <v>138</v>
      </c>
      <c r="J337" s="638">
        <f>O332</f>
        <v>100</v>
      </c>
      <c r="K337" s="638"/>
      <c r="L337" s="28" t="s">
        <v>326</v>
      </c>
      <c r="M337" s="229">
        <v>1000</v>
      </c>
      <c r="N337" s="102" t="s">
        <v>353</v>
      </c>
      <c r="O337" s="28" t="s">
        <v>622</v>
      </c>
      <c r="P337" s="28" t="s">
        <v>326</v>
      </c>
      <c r="Q337" s="28">
        <f>O334</f>
        <v>132</v>
      </c>
      <c r="R337" s="47" t="s">
        <v>361</v>
      </c>
      <c r="S337" s="14"/>
      <c r="T337" s="18"/>
      <c r="U337" s="18"/>
      <c r="V337" s="97"/>
    </row>
    <row r="338" spans="1:22" ht="18" hidden="1" customHeight="1">
      <c r="A338" s="228"/>
      <c r="B338" s="224"/>
      <c r="C338" s="224"/>
      <c r="D338" s="224"/>
      <c r="E338" s="224"/>
      <c r="F338" s="224"/>
      <c r="G338" s="224"/>
      <c r="H338" s="14"/>
      <c r="I338" s="28" t="s">
        <v>138</v>
      </c>
      <c r="J338" s="641">
        <f>(O332*1000)/(SQRT(3)*O334)</f>
        <v>437.38656756789834</v>
      </c>
      <c r="K338" s="641"/>
      <c r="L338" s="14" t="s">
        <v>9</v>
      </c>
      <c r="M338" s="120"/>
      <c r="N338" s="120"/>
      <c r="O338" s="120"/>
      <c r="P338" s="14"/>
      <c r="Q338" s="14"/>
      <c r="R338" s="14"/>
      <c r="S338" s="14"/>
      <c r="T338" s="18"/>
      <c r="U338" s="18"/>
      <c r="V338" s="97"/>
    </row>
    <row r="339" spans="1:22" ht="18" hidden="1" customHeight="1">
      <c r="A339" s="228"/>
      <c r="B339" s="224"/>
      <c r="C339" s="224"/>
      <c r="D339" s="224"/>
      <c r="E339" s="224"/>
      <c r="F339" s="14"/>
      <c r="G339" s="224"/>
      <c r="H339" s="28"/>
      <c r="I339" s="103"/>
      <c r="J339" s="28"/>
      <c r="K339" s="14"/>
      <c r="L339" s="14"/>
      <c r="M339" s="224"/>
      <c r="N339" s="231"/>
      <c r="O339" s="224"/>
      <c r="P339" s="14"/>
      <c r="Q339" s="14"/>
      <c r="R339" s="14"/>
      <c r="S339" s="14"/>
      <c r="T339" s="18"/>
      <c r="U339" s="18"/>
      <c r="V339" s="97"/>
    </row>
    <row r="340" spans="1:22" s="14" customFormat="1" ht="18" hidden="1" customHeight="1">
      <c r="A340" s="159" t="s">
        <v>640</v>
      </c>
      <c r="B340" s="5"/>
      <c r="C340" s="5"/>
      <c r="D340" s="5"/>
      <c r="E340" s="5"/>
      <c r="F340" s="224"/>
      <c r="G340" s="224"/>
      <c r="H340" s="5"/>
      <c r="I340" s="5"/>
      <c r="J340" s="5"/>
      <c r="K340" s="5"/>
      <c r="L340" s="103"/>
      <c r="M340" s="103"/>
      <c r="N340" s="103"/>
      <c r="O340" s="103"/>
      <c r="P340" s="224"/>
      <c r="Q340" s="225"/>
      <c r="S340" s="232"/>
      <c r="T340" s="18"/>
      <c r="U340" s="18"/>
      <c r="V340" s="97"/>
    </row>
    <row r="341" spans="1:22" s="14" customFormat="1" ht="18" hidden="1" customHeight="1">
      <c r="A341" s="159"/>
      <c r="B341" s="5"/>
      <c r="C341" s="5"/>
      <c r="D341" s="5"/>
      <c r="E341" s="5"/>
      <c r="F341" s="224"/>
      <c r="G341" s="224"/>
      <c r="H341" s="5"/>
      <c r="I341" s="5"/>
      <c r="J341" s="5"/>
      <c r="K341" s="5"/>
      <c r="L341" s="103"/>
      <c r="M341" s="103"/>
      <c r="N341" s="103"/>
      <c r="O341" s="103"/>
      <c r="P341" s="224"/>
      <c r="Q341" s="225"/>
      <c r="S341" s="226"/>
      <c r="T341" s="18"/>
      <c r="U341" s="18"/>
      <c r="V341" s="97"/>
    </row>
    <row r="342" spans="1:22" ht="18" hidden="1" customHeight="1">
      <c r="A342" s="96" t="s">
        <v>623</v>
      </c>
      <c r="B342" s="14"/>
      <c r="C342" s="14"/>
      <c r="D342" s="14"/>
      <c r="E342" s="14"/>
      <c r="M342" s="120" t="s">
        <v>624</v>
      </c>
      <c r="N342" s="28" t="s">
        <v>138</v>
      </c>
      <c r="O342" s="638" t="s">
        <v>620</v>
      </c>
      <c r="P342" s="920"/>
      <c r="Q342" s="233" t="s">
        <v>641</v>
      </c>
      <c r="R342" s="233">
        <v>16</v>
      </c>
      <c r="S342" s="198"/>
      <c r="V342" s="197"/>
    </row>
    <row r="343" spans="1:22" ht="18" hidden="1" customHeight="1">
      <c r="A343" s="96"/>
      <c r="B343" s="5"/>
      <c r="C343" s="5"/>
      <c r="D343" s="5"/>
      <c r="E343" s="5"/>
      <c r="M343" s="262"/>
      <c r="N343" s="28" t="s">
        <v>138</v>
      </c>
      <c r="O343" s="638">
        <f>+J338</f>
        <v>437.38656756789834</v>
      </c>
      <c r="P343" s="920"/>
      <c r="Q343" s="233" t="s">
        <v>641</v>
      </c>
      <c r="R343" s="233">
        <v>16</v>
      </c>
      <c r="S343" s="198"/>
      <c r="V343" s="197"/>
    </row>
    <row r="344" spans="1:22" s="291" customFormat="1" ht="18" hidden="1" customHeight="1">
      <c r="A344" s="96"/>
      <c r="B344" s="5"/>
      <c r="C344" s="5"/>
      <c r="D344" s="5"/>
      <c r="E344" s="5"/>
      <c r="F344" s="30"/>
      <c r="G344" s="30"/>
      <c r="H344" s="30"/>
      <c r="I344" s="30"/>
      <c r="J344" s="30"/>
      <c r="K344" s="30"/>
      <c r="L344" s="30"/>
      <c r="M344" s="120" t="s">
        <v>624</v>
      </c>
      <c r="N344" s="28" t="s">
        <v>138</v>
      </c>
      <c r="O344" s="638">
        <f>O343*R343</f>
        <v>6998.1850810863734</v>
      </c>
      <c r="P344" s="920"/>
      <c r="Q344" s="253" t="s">
        <v>9</v>
      </c>
      <c r="R344" s="14"/>
      <c r="S344" s="198"/>
      <c r="T344" s="30"/>
      <c r="U344" s="30"/>
      <c r="V344" s="197"/>
    </row>
    <row r="345" spans="1:22" s="291" customFormat="1" ht="18" hidden="1" customHeight="1">
      <c r="A345" s="206"/>
      <c r="B345" s="207"/>
      <c r="C345" s="207"/>
      <c r="D345" s="207"/>
      <c r="E345" s="207"/>
      <c r="F345" s="207"/>
      <c r="G345" s="207"/>
      <c r="H345" s="207"/>
      <c r="I345" s="207"/>
      <c r="J345" s="207"/>
      <c r="K345" s="207"/>
      <c r="L345" s="207"/>
      <c r="M345" s="207"/>
      <c r="N345" s="207"/>
      <c r="O345" s="207"/>
      <c r="P345" s="207"/>
      <c r="Q345" s="236"/>
      <c r="R345" s="194"/>
      <c r="S345" s="237"/>
      <c r="T345" s="207"/>
      <c r="U345" s="207"/>
      <c r="V345" s="140" t="s">
        <v>563</v>
      </c>
    </row>
    <row r="346" spans="1:22" ht="18" hidden="1" customHeight="1">
      <c r="A346" s="141"/>
      <c r="B346" s="285"/>
      <c r="C346" s="285"/>
      <c r="D346" s="285"/>
      <c r="E346" s="285"/>
      <c r="F346" s="285"/>
      <c r="G346" s="285"/>
      <c r="H346" s="285"/>
      <c r="I346" s="285"/>
      <c r="J346" s="285"/>
      <c r="K346" s="285"/>
      <c r="L346" s="285"/>
      <c r="M346" s="285"/>
      <c r="N346" s="285"/>
      <c r="O346" s="285"/>
      <c r="P346" s="285"/>
      <c r="Q346" s="286"/>
      <c r="R346" s="145"/>
      <c r="S346" s="287"/>
      <c r="T346" s="285"/>
      <c r="U346" s="285"/>
      <c r="V346" s="288"/>
    </row>
    <row r="347" spans="1:22" ht="18" hidden="1" customHeight="1">
      <c r="A347" s="96" t="s">
        <v>673</v>
      </c>
      <c r="V347" s="197"/>
    </row>
    <row r="348" spans="1:22" ht="18" hidden="1" customHeight="1">
      <c r="A348" s="196"/>
      <c r="V348" s="197"/>
    </row>
    <row r="349" spans="1:22" ht="18" hidden="1" customHeight="1">
      <c r="A349" s="289"/>
      <c r="B349" s="638" t="s">
        <v>484</v>
      </c>
      <c r="C349" s="1124" t="s">
        <v>663</v>
      </c>
      <c r="D349" s="638">
        <v>2</v>
      </c>
      <c r="E349" s="638" t="s">
        <v>389</v>
      </c>
      <c r="F349" s="638" t="s">
        <v>628</v>
      </c>
      <c r="G349" s="638"/>
      <c r="H349" s="638" t="s">
        <v>389</v>
      </c>
      <c r="I349" s="638" t="s">
        <v>430</v>
      </c>
      <c r="J349" s="638" t="s">
        <v>431</v>
      </c>
      <c r="K349" s="638" t="s">
        <v>358</v>
      </c>
      <c r="L349" s="638" t="s">
        <v>419</v>
      </c>
      <c r="M349" s="638" t="s">
        <v>358</v>
      </c>
      <c r="N349" s="638" t="s">
        <v>660</v>
      </c>
      <c r="O349" s="638" t="s">
        <v>361</v>
      </c>
      <c r="P349" s="14"/>
      <c r="Q349" s="14"/>
      <c r="R349" s="14"/>
      <c r="S349" s="14"/>
      <c r="T349" s="14"/>
      <c r="U349" s="958" t="s">
        <v>664</v>
      </c>
      <c r="V349" s="197"/>
    </row>
    <row r="350" spans="1:22" ht="18" hidden="1" customHeight="1">
      <c r="A350" s="289"/>
      <c r="B350" s="638"/>
      <c r="C350" s="638"/>
      <c r="D350" s="638"/>
      <c r="E350" s="638"/>
      <c r="F350" s="638"/>
      <c r="G350" s="638"/>
      <c r="H350" s="638"/>
      <c r="I350" s="638"/>
      <c r="J350" s="638"/>
      <c r="K350" s="638"/>
      <c r="L350" s="638"/>
      <c r="M350" s="638"/>
      <c r="N350" s="638"/>
      <c r="O350" s="638"/>
      <c r="P350" s="14"/>
      <c r="Q350" s="14"/>
      <c r="R350" s="14"/>
      <c r="S350" s="14"/>
      <c r="T350" s="14"/>
      <c r="U350" s="638"/>
      <c r="V350" s="197"/>
    </row>
    <row r="351" spans="1:22" ht="18" hidden="1" customHeight="1">
      <c r="A351" s="196"/>
      <c r="V351" s="197"/>
    </row>
    <row r="352" spans="1:22" ht="18" hidden="1" customHeight="1">
      <c r="A352" s="196"/>
      <c r="B352" s="47" t="s">
        <v>665</v>
      </c>
      <c r="C352" s="14"/>
      <c r="D352" s="14"/>
      <c r="E352" s="14"/>
      <c r="F352" s="18"/>
      <c r="G352" s="18"/>
      <c r="H352" s="14"/>
      <c r="I352" s="120"/>
      <c r="J352" s="14"/>
      <c r="K352" s="14"/>
      <c r="M352" s="14"/>
      <c r="N352" s="14"/>
      <c r="P352" s="14" t="s">
        <v>434</v>
      </c>
      <c r="R352" s="246" t="s">
        <v>138</v>
      </c>
      <c r="S352" s="639">
        <f>H311</f>
        <v>5000</v>
      </c>
      <c r="T352" s="639"/>
      <c r="U352" s="30" t="s">
        <v>9</v>
      </c>
      <c r="V352" s="197"/>
    </row>
    <row r="353" spans="1:22" ht="18" hidden="1" customHeight="1">
      <c r="A353" s="196"/>
      <c r="B353" s="47" t="s">
        <v>666</v>
      </c>
      <c r="C353" s="14"/>
      <c r="D353" s="14"/>
      <c r="E353" s="14"/>
      <c r="F353" s="18"/>
      <c r="G353" s="18"/>
      <c r="H353" s="14"/>
      <c r="I353" s="120"/>
      <c r="J353" s="14"/>
      <c r="K353" s="14"/>
      <c r="M353" s="14"/>
      <c r="N353" s="14"/>
      <c r="P353" s="14" t="s">
        <v>431</v>
      </c>
      <c r="R353" s="246" t="s">
        <v>138</v>
      </c>
      <c r="S353" s="639">
        <f>H313</f>
        <v>20</v>
      </c>
      <c r="T353" s="639"/>
      <c r="U353" s="204" t="s">
        <v>344</v>
      </c>
      <c r="V353" s="197"/>
    </row>
    <row r="354" spans="1:22" ht="18" hidden="1" customHeight="1">
      <c r="A354" s="196"/>
      <c r="B354" s="47" t="s">
        <v>667</v>
      </c>
      <c r="C354" s="14"/>
      <c r="D354" s="14"/>
      <c r="E354" s="14"/>
      <c r="F354" s="18"/>
      <c r="G354" s="18"/>
      <c r="H354" s="14"/>
      <c r="I354" s="120"/>
      <c r="J354" s="14"/>
      <c r="K354" s="14"/>
      <c r="M354" s="14"/>
      <c r="N354" s="14"/>
      <c r="P354" s="14" t="s">
        <v>419</v>
      </c>
      <c r="R354" s="246" t="s">
        <v>138</v>
      </c>
      <c r="S354" s="637">
        <f>O328</f>
        <v>1.4869257975000001</v>
      </c>
      <c r="T354" s="637"/>
      <c r="U354" s="204" t="s">
        <v>344</v>
      </c>
      <c r="V354" s="197"/>
    </row>
    <row r="355" spans="1:22" ht="18" hidden="1" customHeight="1">
      <c r="A355" s="196"/>
      <c r="B355" s="47" t="s">
        <v>668</v>
      </c>
      <c r="C355" s="14"/>
      <c r="D355" s="14"/>
      <c r="E355" s="14"/>
      <c r="F355" s="14"/>
      <c r="G355" s="14"/>
      <c r="H355" s="14"/>
      <c r="I355" s="120"/>
      <c r="J355" s="14"/>
      <c r="K355" s="14"/>
      <c r="M355" s="14"/>
      <c r="N355" s="14"/>
      <c r="P355" s="14" t="s">
        <v>660</v>
      </c>
      <c r="R355" s="246" t="s">
        <v>138</v>
      </c>
      <c r="S355" s="637">
        <f>D328</f>
        <v>0.1</v>
      </c>
      <c r="T355" s="639"/>
      <c r="U355" s="204" t="s">
        <v>344</v>
      </c>
      <c r="V355" s="197"/>
    </row>
    <row r="356" spans="1:22" ht="18" hidden="1" customHeight="1">
      <c r="A356" s="196"/>
      <c r="B356" s="14" t="s">
        <v>669</v>
      </c>
      <c r="C356" s="14"/>
      <c r="D356" s="14"/>
      <c r="E356" s="14"/>
      <c r="F356" s="14"/>
      <c r="G356" s="14"/>
      <c r="H356" s="14"/>
      <c r="I356" s="120"/>
      <c r="J356" s="14"/>
      <c r="K356" s="14"/>
      <c r="M356" s="14"/>
      <c r="N356" s="14"/>
      <c r="P356" s="47" t="s">
        <v>628</v>
      </c>
      <c r="R356" s="246" t="s">
        <v>138</v>
      </c>
      <c r="S356" s="637">
        <f>O344/S352</f>
        <v>1.3996370162172747</v>
      </c>
      <c r="T356" s="637"/>
      <c r="U356" s="30" t="s">
        <v>9</v>
      </c>
      <c r="V356" s="197"/>
    </row>
    <row r="357" spans="1:22" s="291" customFormat="1" ht="18" hidden="1" customHeight="1">
      <c r="A357" s="196"/>
      <c r="B357" s="47" t="s">
        <v>670</v>
      </c>
      <c r="C357" s="14"/>
      <c r="D357" s="14"/>
      <c r="E357" s="14"/>
      <c r="F357" s="14"/>
      <c r="G357" s="14"/>
      <c r="H357" s="14"/>
      <c r="I357" s="120"/>
      <c r="J357" s="14"/>
      <c r="K357" s="14"/>
      <c r="L357" s="30"/>
      <c r="M357" s="14"/>
      <c r="N357" s="14"/>
      <c r="O357" s="30"/>
      <c r="P357" s="120" t="s">
        <v>671</v>
      </c>
      <c r="Q357" s="30"/>
      <c r="R357" s="246" t="s">
        <v>138</v>
      </c>
      <c r="S357" s="639">
        <f>S58</f>
        <v>1</v>
      </c>
      <c r="T357" s="639"/>
      <c r="U357" s="30" t="s">
        <v>9</v>
      </c>
      <c r="V357" s="197"/>
    </row>
    <row r="358" spans="1:22" s="291" customFormat="1" ht="18" hidden="1" customHeight="1">
      <c r="A358" s="196"/>
      <c r="B358" s="30"/>
      <c r="C358" s="30"/>
      <c r="D358" s="30"/>
      <c r="E358" s="30"/>
      <c r="F358" s="30"/>
      <c r="G358" s="30"/>
      <c r="H358" s="30"/>
      <c r="I358" s="30"/>
      <c r="J358" s="30"/>
      <c r="K358" s="30"/>
      <c r="L358" s="30"/>
      <c r="M358" s="30"/>
      <c r="N358" s="30"/>
      <c r="O358" s="30"/>
      <c r="P358" s="30"/>
      <c r="Q358" s="30"/>
      <c r="R358" s="30"/>
      <c r="S358" s="30"/>
      <c r="T358" s="30"/>
      <c r="U358" s="30"/>
      <c r="V358" s="197"/>
    </row>
    <row r="359" spans="1:22" ht="18" hidden="1" customHeight="1">
      <c r="A359" s="96"/>
      <c r="B359" s="14" t="s">
        <v>672</v>
      </c>
      <c r="C359" s="14"/>
      <c r="D359" s="247"/>
      <c r="E359" s="14"/>
      <c r="F359" s="28"/>
      <c r="G359" s="261"/>
      <c r="H359" s="28"/>
      <c r="I359" s="263"/>
      <c r="J359" s="14"/>
      <c r="K359" s="292"/>
      <c r="M359" s="47"/>
      <c r="N359" s="280"/>
      <c r="P359" s="293"/>
      <c r="R359" s="246"/>
      <c r="S359" s="216"/>
      <c r="V359" s="197"/>
    </row>
    <row r="360" spans="1:22" ht="18" hidden="1" customHeight="1">
      <c r="A360" s="284"/>
      <c r="C360" s="14"/>
      <c r="D360" s="14"/>
      <c r="E360" s="14"/>
      <c r="F360" s="14"/>
      <c r="G360" s="14"/>
      <c r="H360" s="28"/>
      <c r="I360" s="47"/>
      <c r="J360" s="14"/>
      <c r="K360" s="14"/>
      <c r="M360" s="14"/>
      <c r="N360" s="14"/>
      <c r="P360" s="120"/>
      <c r="R360" s="246"/>
      <c r="S360" s="294"/>
      <c r="V360" s="197"/>
    </row>
    <row r="361" spans="1:22" ht="18" hidden="1" customHeight="1">
      <c r="A361" s="284"/>
      <c r="B361" s="638" t="s">
        <v>484</v>
      </c>
      <c r="C361" s="1124" t="s">
        <v>663</v>
      </c>
      <c r="D361" s="638">
        <v>2</v>
      </c>
      <c r="E361" s="638" t="s">
        <v>389</v>
      </c>
      <c r="F361" s="638" t="s">
        <v>628</v>
      </c>
      <c r="G361" s="638"/>
      <c r="H361" s="638" t="s">
        <v>389</v>
      </c>
      <c r="I361" s="638" t="s">
        <v>430</v>
      </c>
      <c r="J361" s="638" t="s">
        <v>431</v>
      </c>
      <c r="K361" s="638" t="s">
        <v>358</v>
      </c>
      <c r="L361" s="638" t="s">
        <v>419</v>
      </c>
      <c r="M361" s="638" t="s">
        <v>358</v>
      </c>
      <c r="N361" s="638" t="s">
        <v>660</v>
      </c>
      <c r="O361" s="638" t="s">
        <v>361</v>
      </c>
      <c r="P361" s="14"/>
      <c r="Q361" s="14"/>
      <c r="R361" s="14"/>
      <c r="S361" s="14"/>
      <c r="T361" s="14"/>
      <c r="U361" s="958" t="s">
        <v>664</v>
      </c>
      <c r="V361" s="197"/>
    </row>
    <row r="362" spans="1:22" ht="18" hidden="1" customHeight="1">
      <c r="A362" s="289"/>
      <c r="B362" s="638"/>
      <c r="C362" s="638"/>
      <c r="D362" s="638"/>
      <c r="E362" s="638"/>
      <c r="F362" s="638"/>
      <c r="G362" s="638"/>
      <c r="H362" s="638"/>
      <c r="I362" s="638"/>
      <c r="J362" s="638"/>
      <c r="K362" s="638"/>
      <c r="L362" s="638"/>
      <c r="M362" s="638"/>
      <c r="N362" s="638"/>
      <c r="O362" s="638"/>
      <c r="P362" s="14"/>
      <c r="Q362" s="14"/>
      <c r="R362" s="14"/>
      <c r="S362" s="14"/>
      <c r="T362" s="14"/>
      <c r="U362" s="638"/>
      <c r="V362" s="197"/>
    </row>
    <row r="363" spans="1:22" ht="18" hidden="1" customHeight="1">
      <c r="A363" s="289"/>
      <c r="B363" s="28"/>
      <c r="C363" s="28"/>
      <c r="D363" s="166"/>
      <c r="E363" s="166"/>
      <c r="F363" s="166"/>
      <c r="G363" s="166"/>
      <c r="H363" s="166"/>
      <c r="I363" s="28"/>
      <c r="J363" s="28"/>
      <c r="K363" s="28"/>
      <c r="L363" s="28"/>
      <c r="M363" s="28"/>
      <c r="N363" s="28"/>
      <c r="O363" s="28"/>
      <c r="P363" s="14"/>
      <c r="Q363" s="14"/>
      <c r="R363" s="14"/>
      <c r="S363" s="14"/>
      <c r="T363" s="14"/>
      <c r="U363" s="28"/>
      <c r="V363" s="197"/>
    </row>
    <row r="364" spans="1:22" ht="18" hidden="1" customHeight="1">
      <c r="A364" s="289"/>
      <c r="B364" s="28"/>
      <c r="C364" s="1124" t="s">
        <v>663</v>
      </c>
      <c r="D364" s="861">
        <v>2</v>
      </c>
      <c r="E364" s="861" t="s">
        <v>389</v>
      </c>
      <c r="F364" s="1113">
        <f>S356</f>
        <v>1.3996370162172747</v>
      </c>
      <c r="G364" s="1113"/>
      <c r="H364" s="861" t="s">
        <v>389</v>
      </c>
      <c r="I364" s="861" t="s">
        <v>430</v>
      </c>
      <c r="J364" s="861">
        <f>S353</f>
        <v>20</v>
      </c>
      <c r="K364" s="861" t="s">
        <v>358</v>
      </c>
      <c r="L364" s="1113">
        <f>S354</f>
        <v>1.4869257975000001</v>
      </c>
      <c r="M364" s="861" t="s">
        <v>358</v>
      </c>
      <c r="N364" s="1113">
        <f>S355</f>
        <v>0.1</v>
      </c>
      <c r="O364" s="861" t="s">
        <v>361</v>
      </c>
      <c r="P364" s="14"/>
      <c r="Q364" s="14"/>
      <c r="R364" s="14"/>
      <c r="S364" s="14"/>
      <c r="T364" s="14"/>
      <c r="U364" s="28"/>
      <c r="V364" s="197"/>
    </row>
    <row r="365" spans="1:22" ht="18" hidden="1" customHeight="1">
      <c r="A365" s="289"/>
      <c r="B365" s="28"/>
      <c r="C365" s="638"/>
      <c r="D365" s="861"/>
      <c r="E365" s="861"/>
      <c r="F365" s="1113"/>
      <c r="G365" s="1113"/>
      <c r="H365" s="861"/>
      <c r="I365" s="861"/>
      <c r="J365" s="861"/>
      <c r="K365" s="861"/>
      <c r="L365" s="861"/>
      <c r="M365" s="861"/>
      <c r="N365" s="861"/>
      <c r="O365" s="861"/>
      <c r="P365" s="14"/>
      <c r="Q365" s="14"/>
      <c r="R365" s="14"/>
      <c r="S365" s="14"/>
      <c r="T365" s="14"/>
      <c r="U365" s="28"/>
      <c r="V365" s="197"/>
    </row>
    <row r="366" spans="1:22" ht="18" hidden="1" customHeight="1">
      <c r="A366" s="289"/>
      <c r="B366" s="14"/>
      <c r="C366" s="14"/>
      <c r="D366" s="291"/>
      <c r="E366" s="291"/>
      <c r="F366" s="291"/>
      <c r="G366" s="14"/>
      <c r="I366" s="14"/>
      <c r="K366" s="28"/>
      <c r="L366" s="14"/>
      <c r="N366" s="14"/>
      <c r="O366" s="14"/>
      <c r="P366" s="14"/>
      <c r="Q366" s="14"/>
      <c r="R366" s="14"/>
      <c r="S366" s="14"/>
      <c r="T366" s="14"/>
      <c r="U366" s="14"/>
      <c r="V366" s="197"/>
    </row>
    <row r="367" spans="1:22" ht="18" hidden="1" customHeight="1">
      <c r="A367" s="96"/>
      <c r="B367" s="14"/>
      <c r="C367" s="27" t="s">
        <v>138</v>
      </c>
      <c r="D367" s="798">
        <f>D364*F364*(J364+L364+N364)</f>
        <v>60.427720825033227</v>
      </c>
      <c r="E367" s="799"/>
      <c r="F367" s="30" t="s">
        <v>316</v>
      </c>
      <c r="G367" s="14"/>
      <c r="H367" s="14"/>
      <c r="I367" s="14"/>
      <c r="J367" s="14"/>
      <c r="K367" s="14"/>
      <c r="L367" s="14"/>
      <c r="M367" s="14"/>
      <c r="N367" s="14"/>
      <c r="R367" s="246"/>
      <c r="S367" s="216"/>
      <c r="V367" s="197"/>
    </row>
    <row r="368" spans="1:22" ht="18" hidden="1" customHeight="1">
      <c r="A368" s="96"/>
      <c r="B368" s="14"/>
      <c r="G368" s="14"/>
      <c r="H368" s="14"/>
      <c r="I368" s="14"/>
      <c r="J368" s="14"/>
      <c r="K368" s="14"/>
      <c r="L368" s="14"/>
      <c r="M368" s="14"/>
      <c r="N368" s="14"/>
      <c r="R368" s="246"/>
      <c r="S368" s="216"/>
      <c r="V368" s="197"/>
    </row>
    <row r="369" spans="1:22" ht="18" hidden="1" customHeight="1">
      <c r="A369" s="96"/>
      <c r="B369" s="14"/>
      <c r="D369" s="30" t="s">
        <v>486</v>
      </c>
      <c r="G369" s="27" t="str">
        <f>IF(E370&gt;H370,"&gt;","&lt;")</f>
        <v>&gt;</v>
      </c>
      <c r="H369" s="30" t="s">
        <v>488</v>
      </c>
      <c r="M369" s="14"/>
      <c r="N369" s="14"/>
      <c r="R369" s="246"/>
      <c r="S369" s="216"/>
      <c r="V369" s="197"/>
    </row>
    <row r="370" spans="1:22" ht="18" hidden="1" customHeight="1">
      <c r="A370" s="96"/>
      <c r="B370" s="14"/>
      <c r="E370" s="639">
        <f>H314</f>
        <v>1000</v>
      </c>
      <c r="F370" s="639"/>
      <c r="G370" s="27" t="str">
        <f>G369</f>
        <v>&gt;</v>
      </c>
      <c r="H370" s="637">
        <f>D367</f>
        <v>60.427720825033227</v>
      </c>
      <c r="I370" s="639"/>
      <c r="M370" s="14"/>
      <c r="N370" s="14"/>
      <c r="R370" s="246"/>
      <c r="S370" s="216"/>
      <c r="V370" s="197"/>
    </row>
    <row r="371" spans="1:22" ht="18" hidden="1" customHeight="1">
      <c r="A371" s="96"/>
      <c r="B371" s="14"/>
      <c r="F371" s="256" t="s">
        <v>489</v>
      </c>
      <c r="H371" s="18" t="str">
        <f>IF(G369="&gt;","Suitably Dimentioned","Under Dimentioned")</f>
        <v>Suitably Dimentioned</v>
      </c>
      <c r="M371" s="14"/>
      <c r="N371" s="14"/>
      <c r="R371" s="246"/>
      <c r="S371" s="216"/>
      <c r="V371" s="197"/>
    </row>
    <row r="372" spans="1:22" ht="18" hidden="1" customHeight="1">
      <c r="A372" s="96"/>
      <c r="B372" s="14"/>
      <c r="G372" s="14"/>
      <c r="H372" s="14"/>
      <c r="I372" s="14"/>
      <c r="J372" s="14"/>
      <c r="K372" s="14"/>
      <c r="L372" s="14"/>
      <c r="M372" s="14"/>
      <c r="N372" s="14"/>
      <c r="R372" s="246"/>
      <c r="S372" s="216"/>
      <c r="V372" s="197"/>
    </row>
    <row r="373" spans="1:22" ht="18" hidden="1" customHeight="1">
      <c r="A373" s="205"/>
      <c r="B373" s="14"/>
      <c r="G373" s="14"/>
      <c r="H373" s="14"/>
      <c r="I373" s="14"/>
      <c r="J373" s="14"/>
      <c r="K373" s="14"/>
      <c r="L373" s="14"/>
      <c r="M373" s="14"/>
      <c r="N373" s="14"/>
      <c r="R373" s="246"/>
      <c r="S373" s="216"/>
      <c r="V373" s="197"/>
    </row>
    <row r="374" spans="1:22" ht="18" hidden="1" customHeight="1">
      <c r="A374" s="96"/>
      <c r="B374" s="14"/>
      <c r="D374" s="14"/>
      <c r="E374" s="14"/>
      <c r="F374" s="291"/>
      <c r="G374" s="14"/>
      <c r="H374" s="14"/>
      <c r="I374" s="291"/>
      <c r="J374" s="14"/>
      <c r="K374" s="14"/>
      <c r="L374" s="14"/>
      <c r="M374" s="14"/>
      <c r="N374" s="14"/>
      <c r="R374" s="246"/>
      <c r="S374" s="216"/>
      <c r="V374" s="197"/>
    </row>
    <row r="375" spans="1:22" ht="18" hidden="1" customHeight="1">
      <c r="A375" s="96"/>
      <c r="B375" s="14"/>
      <c r="D375" s="14"/>
      <c r="E375" s="14"/>
      <c r="F375" s="291"/>
      <c r="G375" s="14"/>
      <c r="H375" s="14"/>
      <c r="I375" s="291"/>
      <c r="J375" s="14"/>
      <c r="K375" s="14"/>
      <c r="L375" s="14"/>
      <c r="M375" s="14"/>
      <c r="N375" s="14"/>
      <c r="R375" s="246"/>
      <c r="S375" s="216"/>
      <c r="V375" s="197"/>
    </row>
    <row r="376" spans="1:22" ht="18" hidden="1" customHeight="1">
      <c r="A376" s="96"/>
      <c r="B376" s="14"/>
      <c r="D376" s="14"/>
      <c r="E376" s="14"/>
      <c r="F376" s="291"/>
      <c r="G376" s="14"/>
      <c r="H376" s="14"/>
      <c r="I376" s="291"/>
      <c r="J376" s="14"/>
      <c r="K376" s="14"/>
      <c r="L376" s="14"/>
      <c r="M376" s="14"/>
      <c r="N376" s="14"/>
      <c r="R376" s="246"/>
      <c r="S376" s="216"/>
      <c r="V376" s="197"/>
    </row>
    <row r="377" spans="1:22" ht="18" hidden="1" customHeight="1">
      <c r="A377" s="96"/>
      <c r="B377" s="14"/>
      <c r="G377" s="14"/>
      <c r="H377" s="14"/>
      <c r="I377" s="14"/>
      <c r="J377" s="14"/>
      <c r="K377" s="14"/>
      <c r="L377" s="14"/>
      <c r="M377" s="14"/>
      <c r="N377" s="14"/>
      <c r="R377" s="246"/>
      <c r="S377" s="216"/>
      <c r="V377" s="197"/>
    </row>
    <row r="378" spans="1:22" ht="18" hidden="1" customHeight="1">
      <c r="A378" s="96"/>
      <c r="B378" s="14"/>
      <c r="F378" s="14"/>
      <c r="G378" s="14"/>
      <c r="H378" s="14"/>
      <c r="I378" s="14"/>
      <c r="J378" s="14"/>
      <c r="K378" s="14"/>
      <c r="L378" s="14"/>
      <c r="M378" s="14"/>
      <c r="N378" s="14"/>
      <c r="O378" s="166"/>
      <c r="P378" s="14"/>
      <c r="R378" s="246"/>
      <c r="S378" s="216"/>
      <c r="V378" s="197"/>
    </row>
    <row r="379" spans="1:22" s="14" customFormat="1" ht="18" hidden="1" customHeight="1">
      <c r="A379" s="96"/>
      <c r="C379" s="30"/>
      <c r="D379" s="30"/>
      <c r="E379" s="30"/>
      <c r="G379" s="269"/>
      <c r="O379" s="30"/>
      <c r="P379" s="30"/>
      <c r="Q379" s="30"/>
      <c r="R379" s="246"/>
      <c r="S379" s="216"/>
      <c r="T379" s="30"/>
      <c r="U379" s="30"/>
      <c r="V379" s="197"/>
    </row>
    <row r="380" spans="1:22" ht="18" hidden="1" customHeight="1">
      <c r="A380" s="96"/>
      <c r="B380" s="14"/>
      <c r="G380" s="14"/>
      <c r="H380" s="14"/>
      <c r="I380" s="14"/>
      <c r="J380" s="14"/>
      <c r="K380" s="14"/>
      <c r="L380" s="14"/>
      <c r="M380" s="14"/>
      <c r="N380" s="14"/>
      <c r="R380" s="246"/>
      <c r="S380" s="216"/>
      <c r="V380" s="197"/>
    </row>
    <row r="381" spans="1:22" ht="18" hidden="1" customHeight="1">
      <c r="A381" s="96"/>
      <c r="B381" s="14"/>
      <c r="F381" s="27"/>
      <c r="G381" s="14"/>
      <c r="H381" s="14"/>
      <c r="I381" s="14"/>
      <c r="J381" s="14"/>
      <c r="K381" s="14"/>
      <c r="L381" s="14"/>
      <c r="M381" s="14"/>
      <c r="N381" s="14"/>
      <c r="R381" s="246"/>
      <c r="S381" s="216"/>
      <c r="V381" s="197"/>
    </row>
    <row r="382" spans="1:22" ht="18" hidden="1" customHeight="1">
      <c r="A382" s="96"/>
      <c r="B382" s="14"/>
      <c r="G382" s="14"/>
      <c r="H382" s="14"/>
      <c r="I382" s="14"/>
      <c r="J382" s="14"/>
      <c r="K382" s="14"/>
      <c r="L382" s="14"/>
      <c r="M382" s="14"/>
      <c r="N382" s="14"/>
      <c r="R382" s="246"/>
      <c r="S382" s="216"/>
      <c r="V382" s="197"/>
    </row>
    <row r="383" spans="1:22" ht="18" hidden="1" customHeight="1">
      <c r="A383" s="96"/>
      <c r="B383" s="14"/>
      <c r="D383" s="295"/>
      <c r="E383" s="296"/>
      <c r="F383" s="14"/>
      <c r="G383" s="14"/>
      <c r="H383" s="14"/>
      <c r="I383" s="296"/>
      <c r="J383" s="28"/>
      <c r="L383" s="291"/>
      <c r="M383" s="120"/>
      <c r="N383" s="47"/>
      <c r="O383" s="291"/>
      <c r="P383" s="248"/>
      <c r="Q383" s="248"/>
      <c r="R383" s="246"/>
      <c r="S383" s="216"/>
      <c r="V383" s="197"/>
    </row>
    <row r="384" spans="1:22" ht="18" hidden="1" customHeight="1">
      <c r="A384" s="96"/>
      <c r="B384" s="14"/>
      <c r="D384" s="230"/>
      <c r="E384" s="296"/>
      <c r="F384" s="297"/>
      <c r="G384" s="298"/>
      <c r="H384" s="297"/>
      <c r="I384" s="296"/>
      <c r="J384" s="28"/>
      <c r="L384" s="291"/>
      <c r="M384" s="120"/>
      <c r="N384" s="225"/>
      <c r="O384" s="291"/>
      <c r="P384" s="248"/>
      <c r="Q384" s="248"/>
      <c r="R384" s="246"/>
      <c r="S384" s="216"/>
      <c r="V384" s="197"/>
    </row>
    <row r="385" spans="1:29" ht="18" hidden="1" customHeight="1">
      <c r="A385" s="96"/>
      <c r="B385" s="14"/>
      <c r="G385" s="14"/>
      <c r="H385" s="14"/>
      <c r="I385" s="14"/>
      <c r="J385" s="14"/>
      <c r="K385" s="14"/>
      <c r="L385" s="14"/>
      <c r="M385" s="14"/>
      <c r="N385" s="14"/>
      <c r="R385" s="246"/>
      <c r="S385" s="216"/>
      <c r="V385" s="197"/>
    </row>
    <row r="386" spans="1:29" ht="18" hidden="1" customHeight="1">
      <c r="A386" s="96"/>
      <c r="B386" s="14"/>
      <c r="G386" s="14"/>
      <c r="H386" s="18"/>
      <c r="I386" s="14"/>
      <c r="J386" s="14"/>
      <c r="K386" s="14"/>
      <c r="L386" s="14"/>
      <c r="M386" s="14"/>
      <c r="N386" s="14"/>
      <c r="R386" s="246"/>
      <c r="S386" s="216"/>
      <c r="V386" s="197"/>
    </row>
    <row r="387" spans="1:29" ht="18" hidden="1" customHeight="1">
      <c r="A387" s="96"/>
      <c r="B387" s="14"/>
      <c r="G387" s="14"/>
      <c r="H387" s="18"/>
      <c r="I387" s="14"/>
      <c r="J387" s="14"/>
      <c r="K387" s="14"/>
      <c r="L387" s="14"/>
      <c r="M387" s="14"/>
      <c r="N387" s="14"/>
      <c r="R387" s="246"/>
      <c r="S387" s="216"/>
      <c r="V387" s="197"/>
    </row>
    <row r="388" spans="1:29" ht="18" hidden="1" customHeight="1">
      <c r="A388" s="96"/>
      <c r="B388" s="14"/>
      <c r="G388" s="14"/>
      <c r="H388" s="14"/>
      <c r="I388" s="14"/>
      <c r="J388" s="14"/>
      <c r="K388" s="14"/>
      <c r="L388" s="14"/>
      <c r="M388" s="14"/>
      <c r="N388" s="14"/>
      <c r="R388" s="246"/>
      <c r="S388" s="216"/>
      <c r="V388" s="197"/>
    </row>
    <row r="389" spans="1:29" ht="18" hidden="1" customHeight="1">
      <c r="A389" s="206"/>
      <c r="B389" s="207"/>
      <c r="C389" s="207"/>
      <c r="D389" s="207"/>
      <c r="E389" s="207"/>
      <c r="F389" s="207"/>
      <c r="G389" s="207"/>
      <c r="H389" s="207"/>
      <c r="I389" s="207"/>
      <c r="J389" s="207"/>
      <c r="K389" s="207"/>
      <c r="L389" s="207"/>
      <c r="M389" s="207"/>
      <c r="N389" s="207"/>
      <c r="O389" s="207"/>
      <c r="P389" s="207"/>
      <c r="Q389" s="236"/>
      <c r="R389" s="194"/>
      <c r="S389" s="237"/>
      <c r="T389" s="207"/>
      <c r="U389" s="207"/>
      <c r="V389" s="140" t="s">
        <v>563</v>
      </c>
    </row>
    <row r="390" spans="1:29" ht="18" hidden="1" customHeight="1">
      <c r="A390" s="238"/>
      <c r="B390" s="239"/>
      <c r="C390" s="239"/>
      <c r="D390" s="239"/>
      <c r="E390" s="239"/>
      <c r="F390" s="239"/>
      <c r="G390" s="239"/>
      <c r="H390" s="239"/>
      <c r="I390" s="239"/>
      <c r="J390" s="239"/>
      <c r="K390" s="239"/>
      <c r="L390" s="239"/>
      <c r="M390" s="239"/>
      <c r="N390" s="239"/>
      <c r="O390" s="239"/>
      <c r="P390" s="239"/>
      <c r="Q390" s="239"/>
      <c r="R390" s="239"/>
      <c r="S390" s="239"/>
      <c r="T390" s="239"/>
      <c r="U390" s="239"/>
      <c r="V390" s="240"/>
    </row>
    <row r="391" spans="1:29" ht="18" hidden="1" customHeight="1">
      <c r="A391" s="196"/>
      <c r="B391" s="650" t="str">
        <f>B308</f>
        <v>CT1L1</v>
      </c>
      <c r="C391" s="651"/>
      <c r="D391" s="663" t="str">
        <f>D308</f>
        <v>Core3</v>
      </c>
      <c r="E391" s="664"/>
      <c r="F391" s="198" t="s">
        <v>647</v>
      </c>
      <c r="H391" s="639" t="str">
        <f>H308</f>
        <v>(Transformer Differential)</v>
      </c>
      <c r="I391" s="639"/>
      <c r="J391" s="639"/>
      <c r="K391" s="639"/>
      <c r="L391" s="639"/>
      <c r="M391" s="639"/>
      <c r="P391" s="198"/>
      <c r="S391" s="199" t="s">
        <v>398</v>
      </c>
      <c r="T391" s="1125" t="str">
        <f>T308</f>
        <v>SEL487E</v>
      </c>
      <c r="U391" s="1126"/>
      <c r="V391" s="197"/>
    </row>
    <row r="392" spans="1:29" ht="18" hidden="1" customHeight="1">
      <c r="A392" s="196"/>
      <c r="B392" s="660" t="str">
        <f>B309</f>
        <v>CT1L2</v>
      </c>
      <c r="C392" s="660"/>
      <c r="D392" s="665"/>
      <c r="E392" s="666"/>
      <c r="F392" s="267"/>
      <c r="T392" s="1125">
        <f>T309</f>
        <v>0</v>
      </c>
      <c r="U392" s="1126"/>
      <c r="V392" s="197"/>
    </row>
    <row r="393" spans="1:29" ht="18" hidden="1" customHeight="1">
      <c r="A393" s="196"/>
      <c r="H393" s="661" t="s">
        <v>401</v>
      </c>
      <c r="I393" s="661"/>
      <c r="J393" s="662" t="s">
        <v>402</v>
      </c>
      <c r="K393" s="662"/>
      <c r="L393" s="661" t="s">
        <v>403</v>
      </c>
      <c r="M393" s="661"/>
      <c r="T393" s="1125">
        <f>T310</f>
        <v>0</v>
      </c>
      <c r="U393" s="1126"/>
      <c r="V393" s="197"/>
    </row>
    <row r="394" spans="1:29" ht="18" hidden="1" customHeight="1">
      <c r="A394" s="196"/>
      <c r="B394" s="47" t="s">
        <v>404</v>
      </c>
      <c r="H394" s="650">
        <f>H311</f>
        <v>5000</v>
      </c>
      <c r="I394" s="651"/>
      <c r="J394" s="652">
        <f>J311</f>
        <v>4000</v>
      </c>
      <c r="K394" s="653"/>
      <c r="L394" s="650">
        <f>L311</f>
        <v>3000</v>
      </c>
      <c r="M394" s="651"/>
      <c r="N394" s="102" t="s">
        <v>353</v>
      </c>
      <c r="O394" s="268">
        <f>O311</f>
        <v>1</v>
      </c>
      <c r="P394" s="27" t="s">
        <v>9</v>
      </c>
      <c r="V394" s="197"/>
    </row>
    <row r="395" spans="1:29" ht="18" hidden="1" customHeight="1">
      <c r="A395" s="196"/>
      <c r="B395" s="47" t="s">
        <v>405</v>
      </c>
      <c r="H395" s="14"/>
      <c r="I395" s="14"/>
      <c r="J395" s="650" t="str">
        <f>H312</f>
        <v>PX</v>
      </c>
      <c r="K395" s="707"/>
      <c r="L395" s="14"/>
      <c r="M395" s="14"/>
      <c r="V395" s="197"/>
    </row>
    <row r="396" spans="1:29" ht="18" hidden="1" customHeight="1">
      <c r="A396" s="196"/>
      <c r="B396" s="47" t="s">
        <v>407</v>
      </c>
      <c r="I396" s="120" t="s">
        <v>508</v>
      </c>
      <c r="J396" s="656">
        <v>15</v>
      </c>
      <c r="K396" s="657"/>
      <c r="L396" s="204" t="s">
        <v>344</v>
      </c>
      <c r="V396" s="197"/>
    </row>
    <row r="397" spans="1:29" ht="18" hidden="1" customHeight="1">
      <c r="A397" s="196"/>
      <c r="B397" s="47" t="s">
        <v>409</v>
      </c>
      <c r="I397" s="120" t="s">
        <v>509</v>
      </c>
      <c r="J397" s="656">
        <v>800</v>
      </c>
      <c r="K397" s="657"/>
      <c r="L397" s="14" t="s">
        <v>316</v>
      </c>
      <c r="V397" s="197"/>
      <c r="W397" s="30" t="s">
        <v>411</v>
      </c>
      <c r="AB397" s="996">
        <f>D455</f>
        <v>58.039188328575605</v>
      </c>
      <c r="AC397" s="997"/>
    </row>
    <row r="398" spans="1:29" ht="18" hidden="1" customHeight="1">
      <c r="A398" s="196"/>
      <c r="B398" s="14" t="s">
        <v>412</v>
      </c>
      <c r="I398" s="120" t="s">
        <v>413</v>
      </c>
      <c r="J398" s="656">
        <v>40</v>
      </c>
      <c r="K398" s="657"/>
      <c r="L398" s="30" t="s">
        <v>414</v>
      </c>
      <c r="V398" s="197"/>
    </row>
    <row r="399" spans="1:29" ht="18" hidden="1" customHeight="1">
      <c r="A399" s="96"/>
      <c r="V399" s="197"/>
    </row>
    <row r="400" spans="1:29" ht="18" hidden="1" customHeight="1">
      <c r="A400" s="205" t="s">
        <v>415</v>
      </c>
      <c r="V400" s="197"/>
    </row>
    <row r="401" spans="1:22" ht="18" hidden="1" customHeight="1">
      <c r="A401" s="196"/>
      <c r="V401" s="197"/>
    </row>
    <row r="402" spans="1:22" ht="18" hidden="1" customHeight="1">
      <c r="A402" s="196"/>
      <c r="B402" s="206" t="s">
        <v>416</v>
      </c>
      <c r="C402" s="207"/>
      <c r="D402" s="207" t="str">
        <f>T391</f>
        <v>SEL487E</v>
      </c>
      <c r="E402" s="208"/>
      <c r="F402" s="208"/>
      <c r="G402" s="208"/>
      <c r="H402" s="194" t="s">
        <v>417</v>
      </c>
      <c r="I402" s="195" t="s">
        <v>138</v>
      </c>
      <c r="J402" s="897">
        <f>J319</f>
        <v>0.1</v>
      </c>
      <c r="K402" s="649"/>
      <c r="L402" s="3" t="s">
        <v>168</v>
      </c>
      <c r="V402" s="197"/>
    </row>
    <row r="403" spans="1:22" ht="18" hidden="1" customHeight="1">
      <c r="A403" s="196"/>
      <c r="B403" s="196" t="s">
        <v>416</v>
      </c>
      <c r="D403" s="30">
        <f>T392</f>
        <v>0</v>
      </c>
      <c r="H403" s="27"/>
      <c r="I403" s="189" t="s">
        <v>138</v>
      </c>
      <c r="J403" s="897">
        <f>J320</f>
        <v>0</v>
      </c>
      <c r="K403" s="649"/>
      <c r="L403" s="210" t="s">
        <v>168</v>
      </c>
      <c r="V403" s="197"/>
    </row>
    <row r="404" spans="1:22" ht="18" hidden="1" customHeight="1">
      <c r="A404" s="196"/>
      <c r="B404" s="196" t="s">
        <v>416</v>
      </c>
      <c r="D404" s="30">
        <f>T393</f>
        <v>0</v>
      </c>
      <c r="E404" s="14"/>
      <c r="G404" s="211"/>
      <c r="H404" s="27"/>
      <c r="I404" s="189" t="s">
        <v>138</v>
      </c>
      <c r="J404" s="897">
        <f>J321</f>
        <v>0</v>
      </c>
      <c r="K404" s="649"/>
      <c r="L404" s="214" t="s">
        <v>168</v>
      </c>
      <c r="V404" s="197"/>
    </row>
    <row r="405" spans="1:22" ht="18" hidden="1" customHeight="1">
      <c r="A405" s="196"/>
      <c r="B405" s="196" t="s">
        <v>423</v>
      </c>
      <c r="H405" s="27" t="s">
        <v>610</v>
      </c>
      <c r="I405" s="189" t="s">
        <v>138</v>
      </c>
      <c r="J405" s="897">
        <f>J322</f>
        <v>1.4869257975000001</v>
      </c>
      <c r="K405" s="649"/>
      <c r="L405" s="215" t="s">
        <v>168</v>
      </c>
      <c r="V405" s="197"/>
    </row>
    <row r="406" spans="1:22" ht="18" hidden="1" customHeight="1">
      <c r="A406" s="196"/>
      <c r="B406" s="217" t="s">
        <v>424</v>
      </c>
      <c r="C406" s="218"/>
      <c r="D406" s="218"/>
      <c r="E406" s="218"/>
      <c r="F406" s="219"/>
      <c r="G406" s="219"/>
      <c r="H406" s="202" t="s">
        <v>420</v>
      </c>
      <c r="I406" s="220" t="s">
        <v>138</v>
      </c>
      <c r="J406" s="897">
        <f>J403+J405</f>
        <v>1.4869257975000001</v>
      </c>
      <c r="K406" s="649"/>
      <c r="L406" s="222" t="s">
        <v>168</v>
      </c>
      <c r="V406" s="197"/>
    </row>
    <row r="407" spans="1:22" ht="18" hidden="1" customHeight="1">
      <c r="A407" s="196"/>
      <c r="B407" s="47"/>
      <c r="C407" s="47"/>
      <c r="D407" s="47"/>
      <c r="E407" s="47"/>
      <c r="H407" s="27"/>
      <c r="I407" s="28"/>
      <c r="J407" s="211"/>
      <c r="L407" s="47"/>
      <c r="O407" s="27"/>
      <c r="P407" s="223"/>
      <c r="Q407" s="223"/>
      <c r="R407" s="204"/>
      <c r="V407" s="197"/>
    </row>
    <row r="408" spans="1:22" ht="18" hidden="1" customHeight="1">
      <c r="A408" s="196"/>
      <c r="B408" s="209" t="s">
        <v>659</v>
      </c>
      <c r="L408" s="47"/>
      <c r="M408" s="209" t="s">
        <v>418</v>
      </c>
      <c r="V408" s="197"/>
    </row>
    <row r="409" spans="1:22" s="14" customFormat="1" ht="18" hidden="1" customHeight="1">
      <c r="A409" s="196"/>
      <c r="B409" s="27" t="s">
        <v>660</v>
      </c>
      <c r="C409" s="27" t="s">
        <v>138</v>
      </c>
      <c r="D409" s="30" t="s">
        <v>417</v>
      </c>
      <c r="E409" s="283" t="s">
        <v>421</v>
      </c>
      <c r="F409" s="27" t="s">
        <v>157</v>
      </c>
      <c r="G409" s="28" t="s">
        <v>326</v>
      </c>
      <c r="H409" s="230" t="s">
        <v>157</v>
      </c>
      <c r="I409" s="30" t="s">
        <v>361</v>
      </c>
      <c r="J409" s="211"/>
      <c r="K409" s="30"/>
      <c r="L409" s="47"/>
      <c r="M409" s="30" t="s">
        <v>419</v>
      </c>
      <c r="N409" s="27" t="s">
        <v>138</v>
      </c>
      <c r="O409" s="30" t="s">
        <v>420</v>
      </c>
      <c r="P409" s="203" t="s">
        <v>421</v>
      </c>
      <c r="Q409" s="256" t="s">
        <v>422</v>
      </c>
      <c r="R409" s="27" t="s">
        <v>326</v>
      </c>
      <c r="S409" s="30" t="s">
        <v>422</v>
      </c>
      <c r="T409" s="30" t="s">
        <v>361</v>
      </c>
      <c r="U409" s="30"/>
      <c r="V409" s="197"/>
    </row>
    <row r="410" spans="1:22" s="14" customFormat="1" ht="18" hidden="1" customHeight="1">
      <c r="A410" s="196"/>
      <c r="B410" s="47"/>
      <c r="C410" s="27" t="s">
        <v>138</v>
      </c>
      <c r="D410" s="216">
        <f>J402</f>
        <v>0.1</v>
      </c>
      <c r="E410" s="203" t="s">
        <v>421</v>
      </c>
      <c r="F410" s="27">
        <f>F327</f>
        <v>1</v>
      </c>
      <c r="G410" s="27" t="s">
        <v>326</v>
      </c>
      <c r="H410" s="27">
        <f>H327</f>
        <v>1</v>
      </c>
      <c r="I410" s="30" t="s">
        <v>361</v>
      </c>
      <c r="J410" s="211"/>
      <c r="K410" s="30"/>
      <c r="L410" s="47"/>
      <c r="M410" s="30"/>
      <c r="N410" s="27" t="s">
        <v>138</v>
      </c>
      <c r="O410" s="216">
        <f>J406</f>
        <v>1.4869257975000001</v>
      </c>
      <c r="P410" s="203" t="s">
        <v>421</v>
      </c>
      <c r="Q410" s="27">
        <f>O394</f>
        <v>1</v>
      </c>
      <c r="R410" s="27" t="s">
        <v>326</v>
      </c>
      <c r="S410" s="27">
        <f>O394</f>
        <v>1</v>
      </c>
      <c r="T410" s="30" t="s">
        <v>361</v>
      </c>
      <c r="U410" s="30"/>
      <c r="V410" s="197"/>
    </row>
    <row r="411" spans="1:22" s="14" customFormat="1" ht="18" hidden="1" customHeight="1">
      <c r="A411" s="196"/>
      <c r="B411" s="47"/>
      <c r="C411" s="27" t="s">
        <v>138</v>
      </c>
      <c r="D411" s="637">
        <f>D410/(F410*H410)</f>
        <v>0.1</v>
      </c>
      <c r="E411" s="637"/>
      <c r="F411" s="204" t="s">
        <v>344</v>
      </c>
      <c r="G411" s="30"/>
      <c r="H411" s="30"/>
      <c r="I411" s="30"/>
      <c r="J411" s="211"/>
      <c r="K411" s="30"/>
      <c r="L411" s="47"/>
      <c r="M411" s="30"/>
      <c r="N411" s="27" t="s">
        <v>138</v>
      </c>
      <c r="O411" s="637">
        <f>O410/(Q410*S410)</f>
        <v>1.4869257975000001</v>
      </c>
      <c r="P411" s="637"/>
      <c r="Q411" s="204" t="s">
        <v>344</v>
      </c>
      <c r="R411" s="30"/>
      <c r="S411" s="30"/>
      <c r="T411" s="30"/>
      <c r="U411" s="30"/>
      <c r="V411" s="197"/>
    </row>
    <row r="412" spans="1:22" s="14" customFormat="1" ht="18" hidden="1" customHeight="1">
      <c r="A412" s="196"/>
      <c r="B412" s="47"/>
      <c r="C412" s="47"/>
      <c r="D412" s="47"/>
      <c r="E412" s="47"/>
      <c r="F412" s="30"/>
      <c r="G412" s="30"/>
      <c r="H412" s="27"/>
      <c r="I412" s="28"/>
      <c r="J412" s="211"/>
      <c r="K412" s="30"/>
      <c r="L412" s="47"/>
      <c r="M412" s="30"/>
      <c r="N412" s="30"/>
      <c r="O412" s="27"/>
      <c r="P412" s="223"/>
      <c r="Q412" s="223"/>
      <c r="R412" s="204"/>
      <c r="S412" s="30"/>
      <c r="T412" s="30"/>
      <c r="U412" s="30"/>
      <c r="V412" s="197"/>
    </row>
    <row r="413" spans="1:22" s="14" customFormat="1" ht="18" hidden="1" customHeight="1">
      <c r="A413" s="196"/>
      <c r="B413" s="47"/>
      <c r="C413" s="47"/>
      <c r="D413" s="47"/>
      <c r="E413" s="47"/>
      <c r="F413" s="30"/>
      <c r="G413" s="30"/>
      <c r="H413" s="27"/>
      <c r="I413" s="28"/>
      <c r="J413" s="211"/>
      <c r="K413" s="30"/>
      <c r="L413" s="47"/>
      <c r="M413" s="216"/>
      <c r="N413" s="27"/>
      <c r="O413" s="223"/>
      <c r="P413" s="223"/>
      <c r="Q413" s="223"/>
      <c r="R413" s="204"/>
      <c r="S413" s="30"/>
      <c r="T413" s="30"/>
      <c r="U413" s="30"/>
      <c r="V413" s="197"/>
    </row>
    <row r="414" spans="1:22" s="14" customFormat="1" ht="18" hidden="1" customHeight="1">
      <c r="A414" s="205" t="s">
        <v>611</v>
      </c>
      <c r="B414" s="5"/>
      <c r="C414" s="5"/>
      <c r="D414" s="5"/>
      <c r="E414" s="5"/>
      <c r="F414" s="5"/>
      <c r="G414" s="5"/>
      <c r="H414" s="224"/>
      <c r="I414" s="224"/>
      <c r="J414" s="5"/>
      <c r="K414" s="5"/>
      <c r="L414" s="5"/>
      <c r="M414" s="5"/>
      <c r="N414" s="5"/>
      <c r="O414" s="5"/>
      <c r="P414" s="103"/>
      <c r="Q414" s="224"/>
      <c r="R414" s="225"/>
      <c r="S414" s="226"/>
      <c r="T414" s="18"/>
      <c r="U414" s="18"/>
      <c r="V414" s="97"/>
    </row>
    <row r="415" spans="1:22" s="14" customFormat="1" ht="18" hidden="1" customHeight="1">
      <c r="A415" s="96"/>
      <c r="B415" s="47" t="s">
        <v>612</v>
      </c>
      <c r="C415" s="5"/>
      <c r="D415" s="5"/>
      <c r="E415" s="5"/>
      <c r="I415" s="227"/>
      <c r="M415" s="5"/>
      <c r="N415" s="103" t="s">
        <v>138</v>
      </c>
      <c r="O415" s="1125">
        <f>O332</f>
        <v>100</v>
      </c>
      <c r="P415" s="651"/>
      <c r="Q415" s="14" t="s">
        <v>613</v>
      </c>
      <c r="S415" s="226"/>
      <c r="T415" s="18"/>
      <c r="U415" s="18"/>
      <c r="V415" s="97"/>
    </row>
    <row r="416" spans="1:22" s="14" customFormat="1" ht="18" hidden="1" customHeight="1">
      <c r="A416" s="96"/>
      <c r="B416" s="47" t="s">
        <v>614</v>
      </c>
      <c r="C416" s="5"/>
      <c r="D416" s="5"/>
      <c r="E416" s="5"/>
      <c r="I416" s="227"/>
      <c r="M416" s="5"/>
      <c r="N416" s="103" t="s">
        <v>138</v>
      </c>
      <c r="O416" s="1125">
        <f>O333</f>
        <v>25</v>
      </c>
      <c r="P416" s="651"/>
      <c r="Q416" s="14" t="s">
        <v>615</v>
      </c>
      <c r="S416" s="226"/>
      <c r="T416" s="18"/>
      <c r="U416" s="18"/>
      <c r="V416" s="97"/>
    </row>
    <row r="417" spans="1:22" s="14" customFormat="1" ht="18" hidden="1" customHeight="1">
      <c r="A417" s="96"/>
      <c r="B417" s="47" t="s">
        <v>616</v>
      </c>
      <c r="C417" s="5"/>
      <c r="D417" s="5"/>
      <c r="E417" s="5"/>
      <c r="M417" s="120" t="s">
        <v>617</v>
      </c>
      <c r="N417" s="103" t="s">
        <v>618</v>
      </c>
      <c r="O417" s="1125">
        <f>O334</f>
        <v>132</v>
      </c>
      <c r="P417" s="651"/>
      <c r="Q417" s="14" t="s">
        <v>174</v>
      </c>
      <c r="S417" s="226"/>
      <c r="T417" s="18"/>
      <c r="U417" s="18"/>
      <c r="V417" s="97"/>
    </row>
    <row r="418" spans="1:22" s="14" customFormat="1" ht="18" hidden="1" customHeight="1">
      <c r="A418" s="228"/>
      <c r="B418" s="224"/>
      <c r="C418" s="224"/>
      <c r="D418" s="224"/>
      <c r="E418" s="224"/>
      <c r="T418" s="18"/>
      <c r="U418" s="18"/>
      <c r="V418" s="97"/>
    </row>
    <row r="419" spans="1:22" s="14" customFormat="1" ht="18" hidden="1" customHeight="1">
      <c r="A419" s="284" t="s">
        <v>619</v>
      </c>
      <c r="B419" s="225"/>
      <c r="C419" s="225"/>
      <c r="D419" s="225"/>
      <c r="E419" s="225"/>
      <c r="H419" s="120" t="s">
        <v>620</v>
      </c>
      <c r="I419" s="28" t="s">
        <v>138</v>
      </c>
      <c r="J419" s="638" t="s">
        <v>621</v>
      </c>
      <c r="K419" s="638"/>
      <c r="L419" s="28" t="s">
        <v>326</v>
      </c>
      <c r="M419" s="229">
        <v>1000</v>
      </c>
      <c r="N419" s="102" t="s">
        <v>353</v>
      </c>
      <c r="O419" s="28" t="s">
        <v>622</v>
      </c>
      <c r="P419" s="28" t="s">
        <v>326</v>
      </c>
      <c r="Q419" s="28" t="s">
        <v>617</v>
      </c>
      <c r="R419" s="47" t="s">
        <v>361</v>
      </c>
      <c r="T419" s="18"/>
      <c r="U419" s="18"/>
      <c r="V419" s="97"/>
    </row>
    <row r="420" spans="1:22" ht="18" hidden="1" customHeight="1">
      <c r="A420" s="228"/>
      <c r="B420" s="225"/>
      <c r="C420" s="225"/>
      <c r="D420" s="225"/>
      <c r="E420" s="225"/>
      <c r="F420" s="224"/>
      <c r="G420" s="224"/>
      <c r="H420" s="28"/>
      <c r="I420" s="28" t="s">
        <v>138</v>
      </c>
      <c r="J420" s="638">
        <f>O415</f>
        <v>100</v>
      </c>
      <c r="K420" s="638"/>
      <c r="L420" s="28" t="s">
        <v>326</v>
      </c>
      <c r="M420" s="229">
        <v>1000</v>
      </c>
      <c r="N420" s="102" t="s">
        <v>353</v>
      </c>
      <c r="O420" s="28" t="s">
        <v>622</v>
      </c>
      <c r="P420" s="28" t="s">
        <v>326</v>
      </c>
      <c r="Q420" s="28">
        <f>O417</f>
        <v>132</v>
      </c>
      <c r="R420" s="47" t="s">
        <v>361</v>
      </c>
      <c r="S420" s="14"/>
      <c r="T420" s="18"/>
      <c r="U420" s="18"/>
      <c r="V420" s="97"/>
    </row>
    <row r="421" spans="1:22" ht="18" hidden="1" customHeight="1">
      <c r="A421" s="228"/>
      <c r="B421" s="224"/>
      <c r="C421" s="224"/>
      <c r="D421" s="224"/>
      <c r="E421" s="224"/>
      <c r="F421" s="224"/>
      <c r="G421" s="224"/>
      <c r="H421" s="14"/>
      <c r="I421" s="28" t="s">
        <v>138</v>
      </c>
      <c r="J421" s="641">
        <f>(O415*1000)/(SQRT(3)*O417)</f>
        <v>437.38656756789834</v>
      </c>
      <c r="K421" s="641"/>
      <c r="L421" s="14" t="s">
        <v>9</v>
      </c>
      <c r="M421" s="120"/>
      <c r="N421" s="120"/>
      <c r="O421" s="120"/>
      <c r="P421" s="14"/>
      <c r="Q421" s="14"/>
      <c r="R421" s="14"/>
      <c r="S421" s="14"/>
      <c r="T421" s="18"/>
      <c r="U421" s="18"/>
      <c r="V421" s="97"/>
    </row>
    <row r="422" spans="1:22" ht="18" hidden="1" customHeight="1">
      <c r="A422" s="228"/>
      <c r="B422" s="224"/>
      <c r="C422" s="224"/>
      <c r="D422" s="224"/>
      <c r="E422" s="224"/>
      <c r="F422" s="14"/>
      <c r="G422" s="224"/>
      <c r="H422" s="28"/>
      <c r="I422" s="103"/>
      <c r="J422" s="28"/>
      <c r="K422" s="14"/>
      <c r="L422" s="14"/>
      <c r="M422" s="224"/>
      <c r="N422" s="231"/>
      <c r="O422" s="224"/>
      <c r="P422" s="14"/>
      <c r="Q422" s="14"/>
      <c r="R422" s="14"/>
      <c r="S422" s="14"/>
      <c r="T422" s="18"/>
      <c r="U422" s="18"/>
      <c r="V422" s="97"/>
    </row>
    <row r="423" spans="1:22" s="14" customFormat="1" ht="18" hidden="1" customHeight="1">
      <c r="A423" s="159" t="s">
        <v>640</v>
      </c>
      <c r="B423" s="5"/>
      <c r="C423" s="5"/>
      <c r="D423" s="5"/>
      <c r="E423" s="5"/>
      <c r="F423" s="224"/>
      <c r="G423" s="224"/>
      <c r="H423" s="5"/>
      <c r="I423" s="5"/>
      <c r="J423" s="5"/>
      <c r="K423" s="5"/>
      <c r="L423" s="103"/>
      <c r="M423" s="103"/>
      <c r="N423" s="103"/>
      <c r="O423" s="103"/>
      <c r="P423" s="224"/>
      <c r="Q423" s="225"/>
      <c r="S423" s="232"/>
      <c r="T423" s="18"/>
      <c r="U423" s="18"/>
      <c r="V423" s="97"/>
    </row>
    <row r="424" spans="1:22" s="14" customFormat="1" ht="18" hidden="1" customHeight="1">
      <c r="A424" s="159"/>
      <c r="B424" s="5"/>
      <c r="C424" s="5"/>
      <c r="D424" s="5"/>
      <c r="E424" s="5"/>
      <c r="F424" s="224"/>
      <c r="G424" s="224"/>
      <c r="H424" s="5"/>
      <c r="I424" s="5"/>
      <c r="J424" s="5"/>
      <c r="K424" s="5"/>
      <c r="L424" s="103"/>
      <c r="M424" s="103"/>
      <c r="N424" s="103"/>
      <c r="O424" s="103"/>
      <c r="P424" s="224"/>
      <c r="Q424" s="225"/>
      <c r="S424" s="226"/>
      <c r="T424" s="18"/>
      <c r="U424" s="18"/>
      <c r="V424" s="97"/>
    </row>
    <row r="425" spans="1:22" ht="18" hidden="1" customHeight="1">
      <c r="A425" s="96" t="s">
        <v>623</v>
      </c>
      <c r="B425" s="14"/>
      <c r="C425" s="14"/>
      <c r="D425" s="14"/>
      <c r="E425" s="14"/>
      <c r="M425" s="120" t="s">
        <v>624</v>
      </c>
      <c r="N425" s="28" t="s">
        <v>138</v>
      </c>
      <c r="O425" s="638" t="s">
        <v>620</v>
      </c>
      <c r="P425" s="920"/>
      <c r="Q425" s="233" t="s">
        <v>641</v>
      </c>
      <c r="R425" s="233">
        <v>16</v>
      </c>
      <c r="S425" s="226"/>
      <c r="V425" s="197"/>
    </row>
    <row r="426" spans="1:22" ht="18" hidden="1" customHeight="1">
      <c r="A426" s="96"/>
      <c r="B426" s="5"/>
      <c r="C426" s="5"/>
      <c r="D426" s="5"/>
      <c r="E426" s="5"/>
      <c r="M426" s="262"/>
      <c r="N426" s="28" t="s">
        <v>138</v>
      </c>
      <c r="O426" s="638">
        <f>+J421</f>
        <v>437.38656756789834</v>
      </c>
      <c r="P426" s="920"/>
      <c r="Q426" s="233" t="s">
        <v>641</v>
      </c>
      <c r="R426" s="233">
        <v>16</v>
      </c>
      <c r="S426" s="226"/>
      <c r="V426" s="197"/>
    </row>
    <row r="427" spans="1:22" s="291" customFormat="1" ht="18" hidden="1" customHeight="1">
      <c r="A427" s="96"/>
      <c r="B427" s="5"/>
      <c r="C427" s="5"/>
      <c r="D427" s="5"/>
      <c r="E427" s="5"/>
      <c r="F427" s="30"/>
      <c r="G427" s="30"/>
      <c r="H427" s="30"/>
      <c r="I427" s="30"/>
      <c r="J427" s="30"/>
      <c r="K427" s="30"/>
      <c r="L427" s="30"/>
      <c r="M427" s="120" t="s">
        <v>624</v>
      </c>
      <c r="N427" s="28" t="s">
        <v>138</v>
      </c>
      <c r="O427" s="638">
        <f>O426*R426</f>
        <v>6998.1850810863734</v>
      </c>
      <c r="P427" s="920"/>
      <c r="Q427" s="253" t="s">
        <v>9</v>
      </c>
      <c r="R427" s="14"/>
      <c r="S427" s="226"/>
      <c r="T427" s="30"/>
      <c r="U427" s="30"/>
      <c r="V427" s="197"/>
    </row>
    <row r="428" spans="1:22" s="291" customFormat="1" ht="18" hidden="1" customHeight="1">
      <c r="A428" s="96"/>
      <c r="B428" s="5"/>
      <c r="C428" s="5"/>
      <c r="D428" s="5"/>
      <c r="E428" s="5"/>
      <c r="F428" s="30"/>
      <c r="G428" s="30"/>
      <c r="H428" s="30"/>
      <c r="I428" s="30"/>
      <c r="J428" s="30"/>
      <c r="K428" s="30"/>
      <c r="L428" s="30"/>
      <c r="M428" s="120"/>
      <c r="N428" s="28"/>
      <c r="O428" s="28"/>
      <c r="P428" s="14"/>
      <c r="Q428" s="253"/>
      <c r="R428" s="14"/>
      <c r="S428" s="226"/>
      <c r="T428" s="30"/>
      <c r="U428" s="30"/>
      <c r="V428" s="197"/>
    </row>
    <row r="429" spans="1:22" s="291" customFormat="1" ht="18" hidden="1" customHeight="1">
      <c r="A429" s="96"/>
      <c r="B429" s="5"/>
      <c r="C429" s="5"/>
      <c r="D429" s="5"/>
      <c r="E429" s="5"/>
      <c r="F429" s="30"/>
      <c r="G429" s="30"/>
      <c r="H429" s="30"/>
      <c r="I429" s="30"/>
      <c r="J429" s="30"/>
      <c r="K429" s="30"/>
      <c r="L429" s="30"/>
      <c r="M429" s="120"/>
      <c r="N429" s="28"/>
      <c r="O429" s="28"/>
      <c r="P429" s="14"/>
      <c r="Q429" s="253"/>
      <c r="R429" s="14"/>
      <c r="S429" s="226"/>
      <c r="T429" s="30"/>
      <c r="U429" s="30"/>
      <c r="V429" s="197"/>
    </row>
    <row r="430" spans="1:22" s="291" customFormat="1" ht="18" hidden="1" customHeight="1">
      <c r="A430" s="96"/>
      <c r="B430" s="5"/>
      <c r="C430" s="5"/>
      <c r="D430" s="5"/>
      <c r="E430" s="5"/>
      <c r="F430" s="30"/>
      <c r="G430" s="30"/>
      <c r="H430" s="30"/>
      <c r="I430" s="30"/>
      <c r="J430" s="30"/>
      <c r="K430" s="30"/>
      <c r="L430" s="30"/>
      <c r="M430" s="120"/>
      <c r="N430" s="28"/>
      <c r="O430" s="28"/>
      <c r="P430" s="14"/>
      <c r="Q430" s="253"/>
      <c r="R430" s="14"/>
      <c r="S430" s="226"/>
      <c r="T430" s="30"/>
      <c r="U430" s="30"/>
      <c r="V430" s="197"/>
    </row>
    <row r="431" spans="1:22" s="291" customFormat="1" ht="18" hidden="1" customHeight="1">
      <c r="A431" s="96"/>
      <c r="B431" s="5"/>
      <c r="C431" s="5"/>
      <c r="D431" s="5"/>
      <c r="E431" s="5"/>
      <c r="F431" s="30"/>
      <c r="G431" s="30"/>
      <c r="H431" s="30"/>
      <c r="I431" s="30"/>
      <c r="J431" s="30"/>
      <c r="K431" s="30"/>
      <c r="L431" s="30"/>
      <c r="M431" s="120"/>
      <c r="N431" s="28"/>
      <c r="O431" s="28"/>
      <c r="P431" s="14"/>
      <c r="Q431" s="253"/>
      <c r="R431" s="14"/>
      <c r="S431" s="226"/>
      <c r="T431" s="30"/>
      <c r="U431" s="30"/>
      <c r="V431" s="197"/>
    </row>
    <row r="432" spans="1:22" s="291" customFormat="1" ht="18" hidden="1" customHeight="1">
      <c r="A432" s="96"/>
      <c r="B432" s="5"/>
      <c r="C432" s="5"/>
      <c r="D432" s="5"/>
      <c r="E432" s="5"/>
      <c r="F432" s="30"/>
      <c r="G432" s="30"/>
      <c r="H432" s="30"/>
      <c r="I432" s="30"/>
      <c r="J432" s="30"/>
      <c r="K432" s="30"/>
      <c r="L432" s="30"/>
      <c r="M432" s="120"/>
      <c r="N432" s="28"/>
      <c r="O432" s="28"/>
      <c r="P432" s="14"/>
      <c r="Q432" s="253"/>
      <c r="R432" s="14"/>
      <c r="S432" s="226"/>
      <c r="T432" s="30"/>
      <c r="U432" s="30"/>
      <c r="V432" s="197"/>
    </row>
    <row r="433" spans="1:22" s="291" customFormat="1" ht="18" hidden="1" customHeight="1">
      <c r="A433" s="206"/>
      <c r="B433" s="207"/>
      <c r="C433" s="207"/>
      <c r="D433" s="207"/>
      <c r="E433" s="207"/>
      <c r="F433" s="207"/>
      <c r="G433" s="207"/>
      <c r="H433" s="207"/>
      <c r="I433" s="207"/>
      <c r="J433" s="207"/>
      <c r="K433" s="207"/>
      <c r="L433" s="207"/>
      <c r="M433" s="207"/>
      <c r="N433" s="207"/>
      <c r="O433" s="207"/>
      <c r="P433" s="207"/>
      <c r="Q433" s="236"/>
      <c r="R433" s="194"/>
      <c r="S433" s="237"/>
      <c r="T433" s="207"/>
      <c r="U433" s="207"/>
      <c r="V433" s="140" t="s">
        <v>563</v>
      </c>
    </row>
    <row r="434" spans="1:22" ht="18" hidden="1" customHeight="1">
      <c r="A434" s="141"/>
      <c r="B434" s="285"/>
      <c r="C434" s="285"/>
      <c r="D434" s="285"/>
      <c r="E434" s="285"/>
      <c r="F434" s="285"/>
      <c r="G434" s="285"/>
      <c r="H434" s="285"/>
      <c r="I434" s="285"/>
      <c r="J434" s="285"/>
      <c r="K434" s="285"/>
      <c r="L434" s="285"/>
      <c r="M434" s="285"/>
      <c r="N434" s="285"/>
      <c r="O434" s="285"/>
      <c r="P434" s="285"/>
      <c r="Q434" s="286"/>
      <c r="R434" s="145"/>
      <c r="S434" s="287"/>
      <c r="T434" s="285"/>
      <c r="U434" s="285"/>
      <c r="V434" s="288"/>
    </row>
    <row r="435" spans="1:22" ht="18" hidden="1" customHeight="1">
      <c r="A435" s="96" t="s">
        <v>673</v>
      </c>
      <c r="V435" s="197"/>
    </row>
    <row r="436" spans="1:22" ht="18" hidden="1" customHeight="1">
      <c r="A436" s="196"/>
      <c r="V436" s="197"/>
    </row>
    <row r="437" spans="1:22" ht="18" hidden="1" customHeight="1">
      <c r="A437" s="289"/>
      <c r="B437" s="638" t="s">
        <v>484</v>
      </c>
      <c r="C437" s="1124" t="s">
        <v>663</v>
      </c>
      <c r="D437" s="638">
        <v>2</v>
      </c>
      <c r="E437" s="638" t="s">
        <v>389</v>
      </c>
      <c r="F437" s="638" t="s">
        <v>628</v>
      </c>
      <c r="G437" s="638"/>
      <c r="H437" s="638" t="s">
        <v>389</v>
      </c>
      <c r="I437" s="638" t="s">
        <v>430</v>
      </c>
      <c r="J437" s="638" t="s">
        <v>431</v>
      </c>
      <c r="K437" s="638" t="s">
        <v>358</v>
      </c>
      <c r="L437" s="638" t="s">
        <v>419</v>
      </c>
      <c r="M437" s="638" t="s">
        <v>358</v>
      </c>
      <c r="N437" s="638" t="s">
        <v>660</v>
      </c>
      <c r="O437" s="638" t="s">
        <v>361</v>
      </c>
      <c r="P437" s="14"/>
      <c r="Q437" s="14"/>
      <c r="R437" s="14"/>
      <c r="S437" s="14"/>
      <c r="T437" s="14"/>
      <c r="U437" s="958" t="s">
        <v>664</v>
      </c>
      <c r="V437" s="197"/>
    </row>
    <row r="438" spans="1:22" ht="18" hidden="1" customHeight="1">
      <c r="A438" s="289"/>
      <c r="B438" s="638"/>
      <c r="C438" s="638"/>
      <c r="D438" s="638"/>
      <c r="E438" s="638"/>
      <c r="F438" s="638"/>
      <c r="G438" s="638"/>
      <c r="H438" s="638"/>
      <c r="I438" s="638"/>
      <c r="J438" s="638"/>
      <c r="K438" s="638"/>
      <c r="L438" s="638"/>
      <c r="M438" s="638"/>
      <c r="N438" s="638"/>
      <c r="O438" s="638"/>
      <c r="P438" s="14"/>
      <c r="Q438" s="14"/>
      <c r="R438" s="14"/>
      <c r="S438" s="14"/>
      <c r="T438" s="14"/>
      <c r="U438" s="638"/>
      <c r="V438" s="197"/>
    </row>
    <row r="439" spans="1:22" ht="18" hidden="1" customHeight="1">
      <c r="A439" s="196"/>
      <c r="V439" s="197"/>
    </row>
    <row r="440" spans="1:22" ht="18" hidden="1" customHeight="1">
      <c r="A440" s="196"/>
      <c r="B440" s="47" t="s">
        <v>665</v>
      </c>
      <c r="C440" s="14"/>
      <c r="D440" s="14"/>
      <c r="E440" s="14"/>
      <c r="F440" s="18"/>
      <c r="G440" s="18"/>
      <c r="H440" s="14"/>
      <c r="I440" s="120"/>
      <c r="J440" s="14"/>
      <c r="K440" s="14"/>
      <c r="M440" s="14"/>
      <c r="N440" s="14"/>
      <c r="P440" s="14" t="s">
        <v>434</v>
      </c>
      <c r="R440" s="246" t="s">
        <v>138</v>
      </c>
      <c r="S440" s="639">
        <f>J394</f>
        <v>4000</v>
      </c>
      <c r="T440" s="639"/>
      <c r="U440" s="30" t="s">
        <v>9</v>
      </c>
      <c r="V440" s="197"/>
    </row>
    <row r="441" spans="1:22" ht="18" hidden="1" customHeight="1">
      <c r="A441" s="196"/>
      <c r="B441" s="47" t="s">
        <v>666</v>
      </c>
      <c r="C441" s="14"/>
      <c r="D441" s="14"/>
      <c r="E441" s="14"/>
      <c r="F441" s="18"/>
      <c r="G441" s="18"/>
      <c r="H441" s="14"/>
      <c r="I441" s="120"/>
      <c r="J441" s="14"/>
      <c r="K441" s="14"/>
      <c r="M441" s="14"/>
      <c r="N441" s="14"/>
      <c r="P441" s="14" t="s">
        <v>431</v>
      </c>
      <c r="R441" s="246" t="s">
        <v>138</v>
      </c>
      <c r="S441" s="639">
        <f>J396</f>
        <v>15</v>
      </c>
      <c r="T441" s="639"/>
      <c r="U441" s="204" t="s">
        <v>344</v>
      </c>
      <c r="V441" s="197"/>
    </row>
    <row r="442" spans="1:22" ht="18" hidden="1" customHeight="1">
      <c r="A442" s="196"/>
      <c r="B442" s="47" t="s">
        <v>667</v>
      </c>
      <c r="C442" s="14"/>
      <c r="D442" s="14"/>
      <c r="E442" s="14"/>
      <c r="F442" s="18"/>
      <c r="G442" s="18"/>
      <c r="H442" s="14"/>
      <c r="I442" s="120"/>
      <c r="J442" s="14"/>
      <c r="K442" s="14"/>
      <c r="M442" s="14"/>
      <c r="N442" s="14"/>
      <c r="P442" s="14" t="s">
        <v>419</v>
      </c>
      <c r="R442" s="246" t="s">
        <v>138</v>
      </c>
      <c r="S442" s="637">
        <f>O411</f>
        <v>1.4869257975000001</v>
      </c>
      <c r="T442" s="637"/>
      <c r="U442" s="204" t="s">
        <v>344</v>
      </c>
      <c r="V442" s="197"/>
    </row>
    <row r="443" spans="1:22" ht="18" hidden="1" customHeight="1">
      <c r="A443" s="196"/>
      <c r="B443" s="47" t="s">
        <v>668</v>
      </c>
      <c r="C443" s="14"/>
      <c r="D443" s="14"/>
      <c r="E443" s="14"/>
      <c r="F443" s="14"/>
      <c r="G443" s="14"/>
      <c r="H443" s="14"/>
      <c r="I443" s="120"/>
      <c r="J443" s="14"/>
      <c r="K443" s="14"/>
      <c r="M443" s="14"/>
      <c r="N443" s="14"/>
      <c r="P443" s="14" t="s">
        <v>660</v>
      </c>
      <c r="R443" s="246" t="s">
        <v>138</v>
      </c>
      <c r="S443" s="637">
        <f>D411</f>
        <v>0.1</v>
      </c>
      <c r="T443" s="639"/>
      <c r="U443" s="204" t="s">
        <v>344</v>
      </c>
      <c r="V443" s="197"/>
    </row>
    <row r="444" spans="1:22" ht="18" hidden="1" customHeight="1">
      <c r="A444" s="196"/>
      <c r="B444" s="14" t="s">
        <v>669</v>
      </c>
      <c r="C444" s="14"/>
      <c r="D444" s="14"/>
      <c r="E444" s="14"/>
      <c r="F444" s="14"/>
      <c r="G444" s="14"/>
      <c r="H444" s="14"/>
      <c r="I444" s="120"/>
      <c r="J444" s="14"/>
      <c r="K444" s="14"/>
      <c r="M444" s="14"/>
      <c r="N444" s="14"/>
      <c r="P444" s="47" t="s">
        <v>628</v>
      </c>
      <c r="R444" s="246" t="s">
        <v>138</v>
      </c>
      <c r="S444" s="637">
        <f>O427/S440</f>
        <v>1.7495462702715934</v>
      </c>
      <c r="T444" s="637"/>
      <c r="U444" s="30" t="s">
        <v>9</v>
      </c>
      <c r="V444" s="197"/>
    </row>
    <row r="445" spans="1:22" s="291" customFormat="1" ht="18" hidden="1" customHeight="1">
      <c r="A445" s="196"/>
      <c r="B445" s="47" t="s">
        <v>670</v>
      </c>
      <c r="C445" s="14"/>
      <c r="D445" s="14"/>
      <c r="E445" s="14"/>
      <c r="F445" s="14"/>
      <c r="G445" s="14"/>
      <c r="H445" s="14"/>
      <c r="I445" s="120"/>
      <c r="J445" s="14"/>
      <c r="K445" s="14"/>
      <c r="L445" s="30"/>
      <c r="M445" s="14"/>
      <c r="N445" s="14"/>
      <c r="O445" s="30"/>
      <c r="P445" s="120" t="s">
        <v>671</v>
      </c>
      <c r="Q445" s="30"/>
      <c r="R445" s="246" t="s">
        <v>138</v>
      </c>
      <c r="S445" s="639">
        <f>S357</f>
        <v>1</v>
      </c>
      <c r="T445" s="639"/>
      <c r="U445" s="30" t="s">
        <v>9</v>
      </c>
      <c r="V445" s="197"/>
    </row>
    <row r="446" spans="1:22" s="291" customFormat="1" ht="18" hidden="1" customHeight="1">
      <c r="A446" s="196"/>
      <c r="B446" s="30"/>
      <c r="C446" s="30"/>
      <c r="D446" s="30"/>
      <c r="E446" s="30"/>
      <c r="F446" s="30"/>
      <c r="G446" s="30"/>
      <c r="H446" s="30"/>
      <c r="I446" s="30"/>
      <c r="J446" s="30"/>
      <c r="K446" s="30"/>
      <c r="L446" s="30"/>
      <c r="M446" s="30"/>
      <c r="N446" s="30"/>
      <c r="O446" s="30"/>
      <c r="P446" s="30"/>
      <c r="Q446" s="30"/>
      <c r="R446" s="30"/>
      <c r="S446" s="30"/>
      <c r="T446" s="30"/>
      <c r="U446" s="30"/>
      <c r="V446" s="197"/>
    </row>
    <row r="447" spans="1:22" ht="18" hidden="1" customHeight="1">
      <c r="A447" s="96"/>
      <c r="B447" s="14" t="s">
        <v>672</v>
      </c>
      <c r="C447" s="14"/>
      <c r="D447" s="247"/>
      <c r="E447" s="14"/>
      <c r="F447" s="28"/>
      <c r="G447" s="261"/>
      <c r="H447" s="28"/>
      <c r="I447" s="263"/>
      <c r="J447" s="14"/>
      <c r="K447" s="292"/>
      <c r="M447" s="47"/>
      <c r="N447" s="280"/>
      <c r="P447" s="293"/>
      <c r="R447" s="246"/>
      <c r="S447" s="216"/>
      <c r="V447" s="197"/>
    </row>
    <row r="448" spans="1:22" ht="18" hidden="1" customHeight="1">
      <c r="A448" s="284"/>
      <c r="C448" s="14"/>
      <c r="D448" s="14"/>
      <c r="E448" s="14"/>
      <c r="F448" s="14"/>
      <c r="G448" s="14"/>
      <c r="H448" s="28"/>
      <c r="I448" s="47"/>
      <c r="J448" s="14"/>
      <c r="K448" s="14"/>
      <c r="M448" s="14"/>
      <c r="N448" s="14"/>
      <c r="P448" s="120"/>
      <c r="R448" s="246"/>
      <c r="S448" s="294"/>
      <c r="V448" s="197"/>
    </row>
    <row r="449" spans="1:22" ht="18" hidden="1" customHeight="1">
      <c r="A449" s="284"/>
      <c r="B449" s="638" t="s">
        <v>484</v>
      </c>
      <c r="C449" s="1124" t="s">
        <v>663</v>
      </c>
      <c r="D449" s="638">
        <v>2</v>
      </c>
      <c r="E449" s="638" t="s">
        <v>389</v>
      </c>
      <c r="F449" s="638" t="s">
        <v>628</v>
      </c>
      <c r="G449" s="638"/>
      <c r="H449" s="638" t="s">
        <v>389</v>
      </c>
      <c r="I449" s="638" t="s">
        <v>430</v>
      </c>
      <c r="J449" s="638" t="s">
        <v>431</v>
      </c>
      <c r="K449" s="638" t="s">
        <v>358</v>
      </c>
      <c r="L449" s="638" t="s">
        <v>419</v>
      </c>
      <c r="M449" s="638" t="s">
        <v>358</v>
      </c>
      <c r="N449" s="638" t="s">
        <v>660</v>
      </c>
      <c r="O449" s="638" t="s">
        <v>361</v>
      </c>
      <c r="P449" s="14"/>
      <c r="Q449" s="14"/>
      <c r="R449" s="14"/>
      <c r="S449" s="14"/>
      <c r="T449" s="14"/>
      <c r="U449" s="958" t="s">
        <v>664</v>
      </c>
      <c r="V449" s="197"/>
    </row>
    <row r="450" spans="1:22" ht="18" hidden="1" customHeight="1">
      <c r="A450" s="289"/>
      <c r="B450" s="638"/>
      <c r="C450" s="638"/>
      <c r="D450" s="638"/>
      <c r="E450" s="638"/>
      <c r="F450" s="638"/>
      <c r="G450" s="638"/>
      <c r="H450" s="638"/>
      <c r="I450" s="638"/>
      <c r="J450" s="638"/>
      <c r="K450" s="638"/>
      <c r="L450" s="638"/>
      <c r="M450" s="638"/>
      <c r="N450" s="638"/>
      <c r="O450" s="638"/>
      <c r="P450" s="14"/>
      <c r="Q450" s="14"/>
      <c r="R450" s="14"/>
      <c r="S450" s="14"/>
      <c r="T450" s="14"/>
      <c r="U450" s="638"/>
      <c r="V450" s="197"/>
    </row>
    <row r="451" spans="1:22" ht="18" hidden="1" customHeight="1">
      <c r="A451" s="289"/>
      <c r="B451" s="28"/>
      <c r="C451" s="28"/>
      <c r="D451" s="166"/>
      <c r="E451" s="166"/>
      <c r="F451" s="166"/>
      <c r="G451" s="166"/>
      <c r="H451" s="166"/>
      <c r="I451" s="28"/>
      <c r="J451" s="28"/>
      <c r="K451" s="28"/>
      <c r="L451" s="28"/>
      <c r="M451" s="28"/>
      <c r="N451" s="28"/>
      <c r="O451" s="28"/>
      <c r="P451" s="14"/>
      <c r="Q451" s="14"/>
      <c r="R451" s="14"/>
      <c r="S451" s="14"/>
      <c r="T451" s="14"/>
      <c r="U451" s="28"/>
      <c r="V451" s="197"/>
    </row>
    <row r="452" spans="1:22" ht="18" hidden="1" customHeight="1">
      <c r="A452" s="289"/>
      <c r="B452" s="28"/>
      <c r="C452" s="1124" t="s">
        <v>663</v>
      </c>
      <c r="D452" s="861">
        <v>2</v>
      </c>
      <c r="E452" s="861" t="s">
        <v>389</v>
      </c>
      <c r="F452" s="1113">
        <f>S444</f>
        <v>1.7495462702715934</v>
      </c>
      <c r="G452" s="1113"/>
      <c r="H452" s="861" t="s">
        <v>389</v>
      </c>
      <c r="I452" s="861" t="s">
        <v>430</v>
      </c>
      <c r="J452" s="861">
        <f>S441</f>
        <v>15</v>
      </c>
      <c r="K452" s="861" t="s">
        <v>358</v>
      </c>
      <c r="L452" s="1113">
        <f>S442</f>
        <v>1.4869257975000001</v>
      </c>
      <c r="M452" s="861" t="s">
        <v>358</v>
      </c>
      <c r="N452" s="1113">
        <f>S443</f>
        <v>0.1</v>
      </c>
      <c r="O452" s="861" t="s">
        <v>361</v>
      </c>
      <c r="P452" s="14"/>
      <c r="Q452" s="14"/>
      <c r="R452" s="14"/>
      <c r="S452" s="14"/>
      <c r="T452" s="14"/>
      <c r="U452" s="28"/>
      <c r="V452" s="197"/>
    </row>
    <row r="453" spans="1:22" ht="18" hidden="1" customHeight="1">
      <c r="A453" s="289"/>
      <c r="B453" s="28"/>
      <c r="C453" s="638"/>
      <c r="D453" s="861"/>
      <c r="E453" s="861"/>
      <c r="F453" s="1113"/>
      <c r="G453" s="1113"/>
      <c r="H453" s="861"/>
      <c r="I453" s="861"/>
      <c r="J453" s="861"/>
      <c r="K453" s="861"/>
      <c r="L453" s="861"/>
      <c r="M453" s="861"/>
      <c r="N453" s="861"/>
      <c r="O453" s="861"/>
      <c r="P453" s="14"/>
      <c r="Q453" s="14"/>
      <c r="R453" s="14"/>
      <c r="S453" s="14"/>
      <c r="T453" s="14"/>
      <c r="U453" s="28"/>
      <c r="V453" s="197"/>
    </row>
    <row r="454" spans="1:22" ht="18" hidden="1" customHeight="1">
      <c r="A454" s="289"/>
      <c r="B454" s="14"/>
      <c r="C454" s="14"/>
      <c r="D454" s="291"/>
      <c r="E454" s="291"/>
      <c r="F454" s="291"/>
      <c r="G454" s="14"/>
      <c r="I454" s="14"/>
      <c r="K454" s="28"/>
      <c r="L454" s="14"/>
      <c r="N454" s="14"/>
      <c r="O454" s="14"/>
      <c r="P454" s="14"/>
      <c r="Q454" s="14"/>
      <c r="R454" s="14"/>
      <c r="S454" s="14"/>
      <c r="T454" s="14"/>
      <c r="U454" s="14"/>
      <c r="V454" s="197"/>
    </row>
    <row r="455" spans="1:22" ht="18" hidden="1" customHeight="1">
      <c r="A455" s="96"/>
      <c r="B455" s="14"/>
      <c r="C455" s="27" t="s">
        <v>138</v>
      </c>
      <c r="D455" s="798">
        <f>D452*F452*(J452+L452+N452)</f>
        <v>58.039188328575605</v>
      </c>
      <c r="E455" s="799"/>
      <c r="F455" s="30" t="s">
        <v>316</v>
      </c>
      <c r="G455" s="14"/>
      <c r="H455" s="14"/>
      <c r="I455" s="14"/>
      <c r="J455" s="14"/>
      <c r="K455" s="14"/>
      <c r="L455" s="14"/>
      <c r="M455" s="14"/>
      <c r="N455" s="14"/>
      <c r="R455" s="246"/>
      <c r="S455" s="216"/>
      <c r="V455" s="197"/>
    </row>
    <row r="456" spans="1:22" ht="18" hidden="1" customHeight="1">
      <c r="A456" s="96"/>
      <c r="B456" s="14"/>
      <c r="G456" s="14"/>
      <c r="H456" s="14"/>
      <c r="I456" s="14"/>
      <c r="J456" s="14"/>
      <c r="K456" s="14"/>
      <c r="L456" s="14"/>
      <c r="M456" s="14"/>
      <c r="N456" s="14"/>
      <c r="R456" s="246"/>
      <c r="S456" s="216"/>
      <c r="V456" s="197"/>
    </row>
    <row r="457" spans="1:22" ht="18" hidden="1" customHeight="1">
      <c r="A457" s="96"/>
      <c r="B457" s="14"/>
      <c r="D457" s="30" t="s">
        <v>486</v>
      </c>
      <c r="G457" s="27" t="str">
        <f>IF(E458&gt;H458,"&gt;","&lt;")</f>
        <v>&gt;</v>
      </c>
      <c r="H457" s="30" t="s">
        <v>488</v>
      </c>
      <c r="M457" s="14"/>
      <c r="N457" s="14"/>
      <c r="R457" s="246"/>
      <c r="S457" s="216"/>
      <c r="V457" s="197"/>
    </row>
    <row r="458" spans="1:22" ht="18" hidden="1" customHeight="1">
      <c r="A458" s="96"/>
      <c r="B458" s="14"/>
      <c r="E458" s="639">
        <f>J397</f>
        <v>800</v>
      </c>
      <c r="F458" s="639"/>
      <c r="G458" s="27" t="str">
        <f>G457</f>
        <v>&gt;</v>
      </c>
      <c r="H458" s="637">
        <f>D455</f>
        <v>58.039188328575605</v>
      </c>
      <c r="I458" s="639"/>
      <c r="M458" s="14"/>
      <c r="N458" s="14"/>
      <c r="R458" s="246"/>
      <c r="S458" s="216"/>
      <c r="V458" s="197"/>
    </row>
    <row r="459" spans="1:22" ht="18" hidden="1" customHeight="1">
      <c r="A459" s="96"/>
      <c r="B459" s="14"/>
      <c r="F459" s="256" t="s">
        <v>489</v>
      </c>
      <c r="H459" s="18" t="str">
        <f>IF(G457="&gt;","Suitably Dimentioned","Under Dimentioned")</f>
        <v>Suitably Dimentioned</v>
      </c>
      <c r="M459" s="14"/>
      <c r="N459" s="14"/>
      <c r="R459" s="246"/>
      <c r="S459" s="216"/>
      <c r="V459" s="197"/>
    </row>
    <row r="460" spans="1:22" ht="18" hidden="1" customHeight="1">
      <c r="A460" s="96"/>
      <c r="B460" s="14"/>
      <c r="G460" s="14"/>
      <c r="H460" s="14"/>
      <c r="I460" s="14"/>
      <c r="J460" s="14"/>
      <c r="K460" s="14"/>
      <c r="L460" s="14"/>
      <c r="M460" s="14"/>
      <c r="N460" s="14"/>
      <c r="R460" s="246"/>
      <c r="S460" s="216"/>
      <c r="V460" s="197"/>
    </row>
    <row r="461" spans="1:22" ht="18" hidden="1" customHeight="1">
      <c r="A461" s="205"/>
      <c r="B461" s="14"/>
      <c r="G461" s="14"/>
      <c r="H461" s="14"/>
      <c r="I461" s="14"/>
      <c r="J461" s="14"/>
      <c r="K461" s="14"/>
      <c r="L461" s="14"/>
      <c r="M461" s="14"/>
      <c r="N461" s="14"/>
      <c r="R461" s="246"/>
      <c r="S461" s="216"/>
      <c r="V461" s="197"/>
    </row>
    <row r="462" spans="1:22" ht="18" hidden="1" customHeight="1">
      <c r="A462" s="96"/>
      <c r="B462" s="14"/>
      <c r="D462" s="14"/>
      <c r="E462" s="14"/>
      <c r="F462" s="291"/>
      <c r="G462" s="14"/>
      <c r="H462" s="14"/>
      <c r="I462" s="291"/>
      <c r="J462" s="14"/>
      <c r="K462" s="14"/>
      <c r="L462" s="14"/>
      <c r="M462" s="14"/>
      <c r="N462" s="14"/>
      <c r="R462" s="246"/>
      <c r="S462" s="216"/>
      <c r="V462" s="197"/>
    </row>
    <row r="463" spans="1:22" ht="18" hidden="1" customHeight="1">
      <c r="A463" s="96"/>
      <c r="B463" s="14"/>
      <c r="D463" s="14"/>
      <c r="E463" s="14"/>
      <c r="F463" s="291"/>
      <c r="G463" s="14"/>
      <c r="H463" s="14"/>
      <c r="I463" s="291"/>
      <c r="J463" s="14"/>
      <c r="K463" s="14"/>
      <c r="L463" s="14"/>
      <c r="M463" s="14"/>
      <c r="N463" s="14"/>
      <c r="R463" s="246"/>
      <c r="S463" s="216"/>
      <c r="V463" s="197"/>
    </row>
    <row r="464" spans="1:22" ht="18" hidden="1" customHeight="1">
      <c r="A464" s="96"/>
      <c r="B464" s="14"/>
      <c r="D464" s="14"/>
      <c r="E464" s="14"/>
      <c r="F464" s="291"/>
      <c r="G464" s="14"/>
      <c r="H464" s="14"/>
      <c r="I464" s="291"/>
      <c r="J464" s="14"/>
      <c r="K464" s="14"/>
      <c r="L464" s="14"/>
      <c r="M464" s="14"/>
      <c r="N464" s="14"/>
      <c r="R464" s="246"/>
      <c r="S464" s="216"/>
      <c r="V464" s="197"/>
    </row>
    <row r="465" spans="1:22" ht="18" hidden="1" customHeight="1">
      <c r="A465" s="96"/>
      <c r="B465" s="14"/>
      <c r="G465" s="14"/>
      <c r="H465" s="14"/>
      <c r="I465" s="14"/>
      <c r="J465" s="14"/>
      <c r="K465" s="14"/>
      <c r="L465" s="14"/>
      <c r="M465" s="14"/>
      <c r="N465" s="14"/>
      <c r="R465" s="246"/>
      <c r="S465" s="216"/>
      <c r="V465" s="197"/>
    </row>
    <row r="466" spans="1:22" ht="18" hidden="1" customHeight="1">
      <c r="A466" s="96"/>
      <c r="B466" s="14"/>
      <c r="F466" s="14"/>
      <c r="G466" s="14"/>
      <c r="H466" s="14"/>
      <c r="I466" s="14"/>
      <c r="J466" s="14"/>
      <c r="K466" s="14"/>
      <c r="L466" s="14"/>
      <c r="M466" s="14"/>
      <c r="N466" s="14"/>
      <c r="O466" s="166"/>
      <c r="P466" s="14"/>
      <c r="R466" s="246"/>
      <c r="S466" s="216"/>
      <c r="V466" s="197"/>
    </row>
    <row r="467" spans="1:22" s="14" customFormat="1" ht="18" hidden="1" customHeight="1">
      <c r="A467" s="96"/>
      <c r="C467" s="30"/>
      <c r="D467" s="30"/>
      <c r="E467" s="30"/>
      <c r="G467" s="269"/>
      <c r="O467" s="30"/>
      <c r="P467" s="30"/>
      <c r="Q467" s="30"/>
      <c r="R467" s="246"/>
      <c r="S467" s="216"/>
      <c r="T467" s="30"/>
      <c r="U467" s="30"/>
      <c r="V467" s="197"/>
    </row>
    <row r="468" spans="1:22" ht="18" hidden="1" customHeight="1">
      <c r="A468" s="96"/>
      <c r="B468" s="14"/>
      <c r="G468" s="14"/>
      <c r="H468" s="14"/>
      <c r="I468" s="14"/>
      <c r="J468" s="14"/>
      <c r="K468" s="14"/>
      <c r="L468" s="14"/>
      <c r="M468" s="14"/>
      <c r="N468" s="14"/>
      <c r="R468" s="246"/>
      <c r="S468" s="216"/>
      <c r="V468" s="197"/>
    </row>
    <row r="469" spans="1:22" ht="18" hidden="1" customHeight="1">
      <c r="A469" s="96"/>
      <c r="B469" s="14"/>
      <c r="F469" s="27"/>
      <c r="G469" s="14"/>
      <c r="H469" s="14"/>
      <c r="I469" s="14"/>
      <c r="J469" s="14"/>
      <c r="K469" s="14"/>
      <c r="L469" s="14"/>
      <c r="M469" s="14"/>
      <c r="N469" s="14"/>
      <c r="R469" s="246"/>
      <c r="S469" s="216"/>
      <c r="V469" s="197"/>
    </row>
    <row r="470" spans="1:22" ht="18" hidden="1" customHeight="1">
      <c r="A470" s="96"/>
      <c r="B470" s="14"/>
      <c r="G470" s="14"/>
      <c r="H470" s="14"/>
      <c r="I470" s="14"/>
      <c r="J470" s="14"/>
      <c r="K470" s="14"/>
      <c r="L470" s="14"/>
      <c r="M470" s="14"/>
      <c r="N470" s="14"/>
      <c r="R470" s="246"/>
      <c r="S470" s="216"/>
      <c r="V470" s="197"/>
    </row>
    <row r="471" spans="1:22" ht="18" hidden="1" customHeight="1">
      <c r="A471" s="96"/>
      <c r="B471" s="14"/>
      <c r="D471" s="295"/>
      <c r="E471" s="296"/>
      <c r="F471" s="14"/>
      <c r="G471" s="14"/>
      <c r="H471" s="14"/>
      <c r="I471" s="296"/>
      <c r="J471" s="28"/>
      <c r="L471" s="291"/>
      <c r="M471" s="120"/>
      <c r="N471" s="47"/>
      <c r="O471" s="291"/>
      <c r="P471" s="248"/>
      <c r="Q471" s="248"/>
      <c r="R471" s="246"/>
      <c r="S471" s="216"/>
      <c r="V471" s="197"/>
    </row>
    <row r="472" spans="1:22" ht="18" hidden="1" customHeight="1">
      <c r="A472" s="96"/>
      <c r="B472" s="14"/>
      <c r="D472" s="230"/>
      <c r="E472" s="296"/>
      <c r="F472" s="297"/>
      <c r="G472" s="298"/>
      <c r="H472" s="297"/>
      <c r="I472" s="296"/>
      <c r="J472" s="28"/>
      <c r="L472" s="291"/>
      <c r="M472" s="120"/>
      <c r="N472" s="225"/>
      <c r="O472" s="291"/>
      <c r="P472" s="248"/>
      <c r="Q472" s="248"/>
      <c r="R472" s="246"/>
      <c r="S472" s="216"/>
      <c r="V472" s="197"/>
    </row>
    <row r="473" spans="1:22" ht="18" hidden="1" customHeight="1">
      <c r="A473" s="96"/>
      <c r="B473" s="14"/>
      <c r="G473" s="14"/>
      <c r="H473" s="14"/>
      <c r="I473" s="14"/>
      <c r="J473" s="14"/>
      <c r="K473" s="14"/>
      <c r="L473" s="14"/>
      <c r="M473" s="14"/>
      <c r="N473" s="14"/>
      <c r="R473" s="246"/>
      <c r="S473" s="216"/>
      <c r="V473" s="197"/>
    </row>
    <row r="474" spans="1:22" ht="18" hidden="1" customHeight="1">
      <c r="A474" s="96"/>
      <c r="B474" s="14"/>
      <c r="G474" s="14"/>
      <c r="H474" s="18"/>
      <c r="I474" s="14"/>
      <c r="J474" s="14"/>
      <c r="K474" s="14"/>
      <c r="L474" s="14"/>
      <c r="M474" s="14"/>
      <c r="N474" s="14"/>
      <c r="R474" s="246"/>
      <c r="S474" s="216"/>
      <c r="V474" s="197"/>
    </row>
    <row r="475" spans="1:22" ht="18" hidden="1" customHeight="1">
      <c r="A475" s="96"/>
      <c r="B475" s="14"/>
      <c r="G475" s="14"/>
      <c r="H475" s="18"/>
      <c r="I475" s="14"/>
      <c r="J475" s="14"/>
      <c r="K475" s="14"/>
      <c r="L475" s="14"/>
      <c r="M475" s="14"/>
      <c r="N475" s="14"/>
      <c r="R475" s="246"/>
      <c r="S475" s="216"/>
      <c r="V475" s="197"/>
    </row>
    <row r="476" spans="1:22" ht="18" hidden="1" customHeight="1">
      <c r="A476" s="96"/>
      <c r="B476" s="14"/>
      <c r="G476" s="14"/>
      <c r="H476" s="14"/>
      <c r="I476" s="14"/>
      <c r="J476" s="14"/>
      <c r="K476" s="14"/>
      <c r="L476" s="14"/>
      <c r="M476" s="14"/>
      <c r="N476" s="14"/>
      <c r="R476" s="246"/>
      <c r="S476" s="216"/>
      <c r="V476" s="197"/>
    </row>
    <row r="477" spans="1:22" ht="18" hidden="1" customHeight="1">
      <c r="A477" s="206"/>
      <c r="B477" s="207"/>
      <c r="C477" s="207"/>
      <c r="D477" s="207"/>
      <c r="E477" s="207"/>
      <c r="F477" s="207"/>
      <c r="G477" s="207"/>
      <c r="H477" s="207"/>
      <c r="I477" s="207"/>
      <c r="J477" s="207"/>
      <c r="K477" s="207"/>
      <c r="L477" s="207"/>
      <c r="M477" s="207"/>
      <c r="N477" s="207"/>
      <c r="O477" s="207"/>
      <c r="P477" s="207"/>
      <c r="Q477" s="236"/>
      <c r="R477" s="194"/>
      <c r="S477" s="237"/>
      <c r="T477" s="207"/>
      <c r="U477" s="207"/>
      <c r="V477" s="140" t="s">
        <v>563</v>
      </c>
    </row>
    <row r="478" spans="1:22" ht="18" hidden="1" customHeight="1">
      <c r="A478" s="238"/>
      <c r="B478" s="239"/>
      <c r="C478" s="239"/>
      <c r="D478" s="239"/>
      <c r="E478" s="239"/>
      <c r="F478" s="239"/>
      <c r="G478" s="239"/>
      <c r="H478" s="239"/>
      <c r="I478" s="239"/>
      <c r="J478" s="239"/>
      <c r="K478" s="239"/>
      <c r="L478" s="239"/>
      <c r="M478" s="239"/>
      <c r="N478" s="239"/>
      <c r="O478" s="239"/>
      <c r="P478" s="239"/>
      <c r="Q478" s="239"/>
      <c r="R478" s="239"/>
      <c r="S478" s="239"/>
      <c r="T478" s="239"/>
      <c r="U478" s="239"/>
      <c r="V478" s="240"/>
    </row>
    <row r="479" spans="1:22" ht="18" hidden="1" customHeight="1">
      <c r="A479" s="196"/>
      <c r="B479" s="650" t="str">
        <f>B391</f>
        <v>CT1L1</v>
      </c>
      <c r="C479" s="651"/>
      <c r="D479" s="663" t="str">
        <f>D391</f>
        <v>Core3</v>
      </c>
      <c r="E479" s="664"/>
      <c r="F479" s="198" t="s">
        <v>647</v>
      </c>
      <c r="H479" s="639" t="str">
        <f>H391</f>
        <v>(Transformer Differential)</v>
      </c>
      <c r="I479" s="639"/>
      <c r="J479" s="639"/>
      <c r="K479" s="639"/>
      <c r="L479" s="639"/>
      <c r="M479" s="639"/>
      <c r="P479" s="198"/>
      <c r="S479" s="199" t="s">
        <v>398</v>
      </c>
      <c r="T479" s="1125" t="str">
        <f>T391</f>
        <v>SEL487E</v>
      </c>
      <c r="U479" s="1126"/>
      <c r="V479" s="197"/>
    </row>
    <row r="480" spans="1:22" ht="18" hidden="1" customHeight="1">
      <c r="A480" s="196"/>
      <c r="B480" s="660" t="str">
        <f>B392</f>
        <v>CT1L2</v>
      </c>
      <c r="C480" s="660"/>
      <c r="D480" s="665"/>
      <c r="E480" s="666"/>
      <c r="F480" s="267"/>
      <c r="T480" s="1125">
        <f>T392</f>
        <v>0</v>
      </c>
      <c r="U480" s="1126"/>
      <c r="V480" s="197"/>
    </row>
    <row r="481" spans="1:29" ht="18" hidden="1" customHeight="1">
      <c r="A481" s="196"/>
      <c r="H481" s="661" t="s">
        <v>401</v>
      </c>
      <c r="I481" s="661"/>
      <c r="J481" s="661" t="s">
        <v>402</v>
      </c>
      <c r="K481" s="661"/>
      <c r="L481" s="662" t="s">
        <v>403</v>
      </c>
      <c r="M481" s="662"/>
      <c r="T481" s="1125">
        <f>T393</f>
        <v>0</v>
      </c>
      <c r="U481" s="1126"/>
      <c r="V481" s="197"/>
    </row>
    <row r="482" spans="1:29" ht="18" hidden="1" customHeight="1">
      <c r="A482" s="196"/>
      <c r="B482" s="47" t="s">
        <v>404</v>
      </c>
      <c r="H482" s="650">
        <f>H394</f>
        <v>5000</v>
      </c>
      <c r="I482" s="651"/>
      <c r="J482" s="650">
        <f>J394</f>
        <v>4000</v>
      </c>
      <c r="K482" s="651"/>
      <c r="L482" s="652">
        <f>L394</f>
        <v>3000</v>
      </c>
      <c r="M482" s="653"/>
      <c r="N482" s="102" t="s">
        <v>353</v>
      </c>
      <c r="O482" s="268">
        <f>O394</f>
        <v>1</v>
      </c>
      <c r="P482" s="27" t="s">
        <v>9</v>
      </c>
      <c r="V482" s="197"/>
    </row>
    <row r="483" spans="1:29" ht="18" hidden="1" customHeight="1">
      <c r="A483" s="196"/>
      <c r="B483" s="47" t="s">
        <v>405</v>
      </c>
      <c r="H483" s="14"/>
      <c r="I483" s="14"/>
      <c r="L483" s="650" t="str">
        <f>J395</f>
        <v>PX</v>
      </c>
      <c r="M483" s="707"/>
      <c r="V483" s="197"/>
    </row>
    <row r="484" spans="1:29" ht="18" hidden="1" customHeight="1">
      <c r="A484" s="196"/>
      <c r="B484" s="47" t="s">
        <v>407</v>
      </c>
      <c r="K484" s="120" t="s">
        <v>508</v>
      </c>
      <c r="L484" s="656">
        <v>10</v>
      </c>
      <c r="M484" s="657"/>
      <c r="N484" s="204" t="s">
        <v>344</v>
      </c>
      <c r="V484" s="197"/>
    </row>
    <row r="485" spans="1:29" ht="18" hidden="1" customHeight="1">
      <c r="A485" s="196"/>
      <c r="B485" s="47" t="s">
        <v>409</v>
      </c>
      <c r="K485" s="120" t="s">
        <v>509</v>
      </c>
      <c r="L485" s="656">
        <v>800</v>
      </c>
      <c r="M485" s="657"/>
      <c r="N485" s="14" t="s">
        <v>316</v>
      </c>
      <c r="V485" s="197"/>
      <c r="W485" s="30" t="s">
        <v>411</v>
      </c>
      <c r="AB485" s="996">
        <f>D543</f>
        <v>54.058300834479553</v>
      </c>
      <c r="AC485" s="997"/>
    </row>
    <row r="486" spans="1:29" ht="18" hidden="1" customHeight="1">
      <c r="A486" s="196"/>
      <c r="B486" s="14" t="s">
        <v>412</v>
      </c>
      <c r="K486" s="120" t="s">
        <v>413</v>
      </c>
      <c r="L486" s="656">
        <v>50</v>
      </c>
      <c r="M486" s="657"/>
      <c r="N486" s="30" t="s">
        <v>414</v>
      </c>
      <c r="V486" s="197"/>
    </row>
    <row r="487" spans="1:29" ht="18" hidden="1" customHeight="1">
      <c r="A487" s="96"/>
      <c r="V487" s="197"/>
    </row>
    <row r="488" spans="1:29" ht="18" hidden="1" customHeight="1">
      <c r="A488" s="205" t="s">
        <v>415</v>
      </c>
      <c r="V488" s="197"/>
    </row>
    <row r="489" spans="1:29" ht="18" hidden="1" customHeight="1">
      <c r="A489" s="196"/>
      <c r="V489" s="197"/>
    </row>
    <row r="490" spans="1:29" ht="18" hidden="1" customHeight="1">
      <c r="A490" s="196"/>
      <c r="B490" s="206" t="s">
        <v>416</v>
      </c>
      <c r="C490" s="207"/>
      <c r="D490" s="207" t="str">
        <f>T479</f>
        <v>SEL487E</v>
      </c>
      <c r="E490" s="208"/>
      <c r="F490" s="208"/>
      <c r="G490" s="208"/>
      <c r="H490" s="194" t="s">
        <v>417</v>
      </c>
      <c r="I490" s="195" t="s">
        <v>138</v>
      </c>
      <c r="J490" s="897">
        <f>J402</f>
        <v>0.1</v>
      </c>
      <c r="K490" s="649"/>
      <c r="L490" s="3" t="s">
        <v>168</v>
      </c>
      <c r="V490" s="197"/>
    </row>
    <row r="491" spans="1:29" ht="18" hidden="1" customHeight="1">
      <c r="A491" s="196"/>
      <c r="B491" s="196" t="s">
        <v>416</v>
      </c>
      <c r="D491" s="30">
        <f>T480</f>
        <v>0</v>
      </c>
      <c r="H491" s="27"/>
      <c r="I491" s="189" t="s">
        <v>138</v>
      </c>
      <c r="J491" s="897">
        <f>J403</f>
        <v>0</v>
      </c>
      <c r="K491" s="649"/>
      <c r="L491" s="210" t="s">
        <v>168</v>
      </c>
      <c r="V491" s="197"/>
    </row>
    <row r="492" spans="1:29" ht="18" hidden="1" customHeight="1">
      <c r="A492" s="196"/>
      <c r="B492" s="196" t="s">
        <v>416</v>
      </c>
      <c r="D492" s="30">
        <f>T481</f>
        <v>0</v>
      </c>
      <c r="E492" s="14"/>
      <c r="G492" s="211"/>
      <c r="H492" s="27"/>
      <c r="I492" s="189" t="s">
        <v>138</v>
      </c>
      <c r="J492" s="897">
        <f>J404</f>
        <v>0</v>
      </c>
      <c r="K492" s="649"/>
      <c r="L492" s="214" t="s">
        <v>168</v>
      </c>
      <c r="V492" s="197"/>
    </row>
    <row r="493" spans="1:29" ht="18" hidden="1" customHeight="1">
      <c r="A493" s="196"/>
      <c r="B493" s="196" t="s">
        <v>423</v>
      </c>
      <c r="H493" s="27" t="s">
        <v>610</v>
      </c>
      <c r="I493" s="189" t="s">
        <v>138</v>
      </c>
      <c r="J493" s="897">
        <f>J405</f>
        <v>1.4869257975000001</v>
      </c>
      <c r="K493" s="649"/>
      <c r="L493" s="215" t="s">
        <v>168</v>
      </c>
      <c r="V493" s="197"/>
    </row>
    <row r="494" spans="1:29" ht="18" hidden="1" customHeight="1">
      <c r="A494" s="196"/>
      <c r="B494" s="217" t="s">
        <v>424</v>
      </c>
      <c r="C494" s="218"/>
      <c r="D494" s="218"/>
      <c r="E494" s="218"/>
      <c r="F494" s="219"/>
      <c r="G494" s="219"/>
      <c r="H494" s="202" t="s">
        <v>420</v>
      </c>
      <c r="I494" s="220" t="s">
        <v>138</v>
      </c>
      <c r="J494" s="897">
        <f>J491+J493</f>
        <v>1.4869257975000001</v>
      </c>
      <c r="K494" s="649"/>
      <c r="L494" s="222" t="s">
        <v>168</v>
      </c>
      <c r="V494" s="197"/>
    </row>
    <row r="495" spans="1:29" ht="18" hidden="1" customHeight="1">
      <c r="A495" s="196"/>
      <c r="B495" s="47"/>
      <c r="C495" s="47"/>
      <c r="D495" s="47"/>
      <c r="E495" s="47"/>
      <c r="H495" s="27"/>
      <c r="I495" s="28"/>
      <c r="J495" s="211"/>
      <c r="L495" s="47"/>
      <c r="O495" s="27"/>
      <c r="P495" s="223"/>
      <c r="Q495" s="223"/>
      <c r="R495" s="204"/>
      <c r="V495" s="197"/>
    </row>
    <row r="496" spans="1:29" ht="18" hidden="1" customHeight="1">
      <c r="A496" s="196"/>
      <c r="B496" s="209" t="s">
        <v>659</v>
      </c>
      <c r="L496" s="47"/>
      <c r="M496" s="209" t="s">
        <v>418</v>
      </c>
      <c r="V496" s="197"/>
    </row>
    <row r="497" spans="1:22" s="14" customFormat="1" ht="18" hidden="1" customHeight="1">
      <c r="A497" s="196"/>
      <c r="B497" s="27" t="s">
        <v>660</v>
      </c>
      <c r="C497" s="27" t="s">
        <v>138</v>
      </c>
      <c r="D497" s="30" t="s">
        <v>417</v>
      </c>
      <c r="E497" s="283" t="s">
        <v>421</v>
      </c>
      <c r="F497" s="27" t="s">
        <v>157</v>
      </c>
      <c r="G497" s="28" t="s">
        <v>326</v>
      </c>
      <c r="H497" s="230" t="s">
        <v>157</v>
      </c>
      <c r="I497" s="30" t="s">
        <v>361</v>
      </c>
      <c r="J497" s="211"/>
      <c r="K497" s="30"/>
      <c r="L497" s="47"/>
      <c r="M497" s="30" t="s">
        <v>419</v>
      </c>
      <c r="N497" s="27" t="s">
        <v>138</v>
      </c>
      <c r="O497" s="30" t="s">
        <v>420</v>
      </c>
      <c r="P497" s="203" t="s">
        <v>421</v>
      </c>
      <c r="Q497" s="256" t="s">
        <v>422</v>
      </c>
      <c r="R497" s="27" t="s">
        <v>326</v>
      </c>
      <c r="S497" s="30" t="s">
        <v>422</v>
      </c>
      <c r="T497" s="30" t="s">
        <v>361</v>
      </c>
      <c r="U497" s="30"/>
      <c r="V497" s="197"/>
    </row>
    <row r="498" spans="1:22" s="14" customFormat="1" ht="18" hidden="1" customHeight="1">
      <c r="A498" s="196"/>
      <c r="B498" s="47"/>
      <c r="C498" s="27" t="s">
        <v>138</v>
      </c>
      <c r="D498" s="216">
        <f>J490</f>
        <v>0.1</v>
      </c>
      <c r="E498" s="203" t="s">
        <v>421</v>
      </c>
      <c r="F498" s="27">
        <f>F410</f>
        <v>1</v>
      </c>
      <c r="G498" s="27" t="s">
        <v>326</v>
      </c>
      <c r="H498" s="27">
        <f>H410</f>
        <v>1</v>
      </c>
      <c r="I498" s="30" t="s">
        <v>361</v>
      </c>
      <c r="J498" s="211"/>
      <c r="K498" s="30"/>
      <c r="L498" s="47"/>
      <c r="M498" s="30"/>
      <c r="N498" s="27" t="s">
        <v>138</v>
      </c>
      <c r="O498" s="216">
        <f>J494</f>
        <v>1.4869257975000001</v>
      </c>
      <c r="P498" s="203" t="s">
        <v>421</v>
      </c>
      <c r="Q498" s="27">
        <f>O482</f>
        <v>1</v>
      </c>
      <c r="R498" s="27" t="s">
        <v>326</v>
      </c>
      <c r="S498" s="27">
        <f>O482</f>
        <v>1</v>
      </c>
      <c r="T498" s="30" t="s">
        <v>361</v>
      </c>
      <c r="U498" s="30"/>
      <c r="V498" s="197"/>
    </row>
    <row r="499" spans="1:22" s="14" customFormat="1" ht="18" hidden="1" customHeight="1">
      <c r="A499" s="196"/>
      <c r="B499" s="47"/>
      <c r="C499" s="27" t="s">
        <v>138</v>
      </c>
      <c r="D499" s="637">
        <f>D498/(F498*H498)</f>
        <v>0.1</v>
      </c>
      <c r="E499" s="637"/>
      <c r="F499" s="204" t="s">
        <v>344</v>
      </c>
      <c r="G499" s="30"/>
      <c r="H499" s="30"/>
      <c r="I499" s="30"/>
      <c r="J499" s="211"/>
      <c r="K499" s="30"/>
      <c r="L499" s="47"/>
      <c r="M499" s="30"/>
      <c r="N499" s="27" t="s">
        <v>138</v>
      </c>
      <c r="O499" s="637">
        <f>O498/(Q498*S498)</f>
        <v>1.4869257975000001</v>
      </c>
      <c r="P499" s="637"/>
      <c r="Q499" s="204" t="s">
        <v>344</v>
      </c>
      <c r="R499" s="30"/>
      <c r="S499" s="30"/>
      <c r="T499" s="30"/>
      <c r="U499" s="30"/>
      <c r="V499" s="197"/>
    </row>
    <row r="500" spans="1:22" s="14" customFormat="1" ht="18" hidden="1" customHeight="1">
      <c r="A500" s="196"/>
      <c r="B500" s="47"/>
      <c r="C500" s="47"/>
      <c r="D500" s="47"/>
      <c r="E500" s="47"/>
      <c r="F500" s="30"/>
      <c r="G500" s="30"/>
      <c r="H500" s="27"/>
      <c r="I500" s="28"/>
      <c r="J500" s="211"/>
      <c r="K500" s="30"/>
      <c r="L500" s="47"/>
      <c r="M500" s="30"/>
      <c r="N500" s="30"/>
      <c r="O500" s="27"/>
      <c r="P500" s="223"/>
      <c r="Q500" s="223"/>
      <c r="R500" s="204"/>
      <c r="S500" s="30"/>
      <c r="T500" s="30"/>
      <c r="U500" s="30"/>
      <c r="V500" s="197"/>
    </row>
    <row r="501" spans="1:22" s="14" customFormat="1" ht="18" hidden="1" customHeight="1">
      <c r="A501" s="196"/>
      <c r="B501" s="47"/>
      <c r="C501" s="47"/>
      <c r="D501" s="47"/>
      <c r="E501" s="47"/>
      <c r="F501" s="30"/>
      <c r="G501" s="30"/>
      <c r="H501" s="27"/>
      <c r="I501" s="28"/>
      <c r="J501" s="211"/>
      <c r="K501" s="30"/>
      <c r="L501" s="47"/>
      <c r="M501" s="216"/>
      <c r="N501" s="27"/>
      <c r="O501" s="223"/>
      <c r="P501" s="223"/>
      <c r="Q501" s="223"/>
      <c r="R501" s="204"/>
      <c r="S501" s="30"/>
      <c r="T501" s="30"/>
      <c r="U501" s="30"/>
      <c r="V501" s="197"/>
    </row>
    <row r="502" spans="1:22" s="14" customFormat="1" ht="18" hidden="1" customHeight="1">
      <c r="A502" s="205" t="s">
        <v>611</v>
      </c>
      <c r="B502" s="5"/>
      <c r="C502" s="5"/>
      <c r="D502" s="5"/>
      <c r="E502" s="5"/>
      <c r="F502" s="5"/>
      <c r="G502" s="5"/>
      <c r="H502" s="224"/>
      <c r="I502" s="224"/>
      <c r="J502" s="5"/>
      <c r="K502" s="5"/>
      <c r="L502" s="5"/>
      <c r="M502" s="5"/>
      <c r="N502" s="5"/>
      <c r="O502" s="5"/>
      <c r="P502" s="103"/>
      <c r="Q502" s="224"/>
      <c r="R502" s="225"/>
      <c r="S502" s="226"/>
      <c r="T502" s="18"/>
      <c r="U502" s="18"/>
      <c r="V502" s="97"/>
    </row>
    <row r="503" spans="1:22" s="14" customFormat="1" ht="18" hidden="1" customHeight="1">
      <c r="A503" s="96"/>
      <c r="B503" s="47" t="s">
        <v>612</v>
      </c>
      <c r="C503" s="5"/>
      <c r="D503" s="5"/>
      <c r="E503" s="5"/>
      <c r="I503" s="227"/>
      <c r="M503" s="5"/>
      <c r="N503" s="103" t="s">
        <v>138</v>
      </c>
      <c r="O503" s="1125">
        <f>O415</f>
        <v>100</v>
      </c>
      <c r="P503" s="651"/>
      <c r="Q503" s="14" t="s">
        <v>613</v>
      </c>
      <c r="S503" s="226"/>
      <c r="T503" s="18"/>
      <c r="U503" s="18"/>
      <c r="V503" s="97"/>
    </row>
    <row r="504" spans="1:22" s="14" customFormat="1" ht="18" hidden="1" customHeight="1">
      <c r="A504" s="96"/>
      <c r="B504" s="47" t="s">
        <v>614</v>
      </c>
      <c r="C504" s="5"/>
      <c r="D504" s="5"/>
      <c r="E504" s="5"/>
      <c r="I504" s="227"/>
      <c r="M504" s="5"/>
      <c r="N504" s="103" t="s">
        <v>138</v>
      </c>
      <c r="O504" s="1125">
        <f>O416</f>
        <v>25</v>
      </c>
      <c r="P504" s="651"/>
      <c r="Q504" s="14" t="s">
        <v>615</v>
      </c>
      <c r="S504" s="226"/>
      <c r="T504" s="18"/>
      <c r="U504" s="18"/>
      <c r="V504" s="97"/>
    </row>
    <row r="505" spans="1:22" s="14" customFormat="1" ht="18" hidden="1" customHeight="1">
      <c r="A505" s="96"/>
      <c r="B505" s="47" t="s">
        <v>616</v>
      </c>
      <c r="C505" s="5"/>
      <c r="D505" s="5"/>
      <c r="E505" s="5"/>
      <c r="M505" s="120" t="s">
        <v>617</v>
      </c>
      <c r="N505" s="103" t="s">
        <v>618</v>
      </c>
      <c r="O505" s="1125">
        <f>O417</f>
        <v>132</v>
      </c>
      <c r="P505" s="651"/>
      <c r="Q505" s="14" t="s">
        <v>174</v>
      </c>
      <c r="S505" s="226"/>
      <c r="T505" s="18"/>
      <c r="U505" s="18"/>
      <c r="V505" s="97"/>
    </row>
    <row r="506" spans="1:22" s="14" customFormat="1" ht="18" hidden="1" customHeight="1">
      <c r="A506" s="228"/>
      <c r="B506" s="224"/>
      <c r="C506" s="224"/>
      <c r="D506" s="224"/>
      <c r="E506" s="224"/>
      <c r="T506" s="18"/>
      <c r="U506" s="18"/>
      <c r="V506" s="97"/>
    </row>
    <row r="507" spans="1:22" s="14" customFormat="1" ht="18" hidden="1" customHeight="1">
      <c r="A507" s="284" t="s">
        <v>619</v>
      </c>
      <c r="B507" s="225"/>
      <c r="C507" s="225"/>
      <c r="D507" s="225"/>
      <c r="E507" s="225"/>
      <c r="H507" s="120" t="s">
        <v>620</v>
      </c>
      <c r="I507" s="28" t="s">
        <v>138</v>
      </c>
      <c r="J507" s="638" t="s">
        <v>621</v>
      </c>
      <c r="K507" s="638"/>
      <c r="L507" s="28" t="s">
        <v>326</v>
      </c>
      <c r="M507" s="229">
        <v>1000</v>
      </c>
      <c r="N507" s="102" t="s">
        <v>353</v>
      </c>
      <c r="O507" s="28" t="s">
        <v>622</v>
      </c>
      <c r="P507" s="28" t="s">
        <v>326</v>
      </c>
      <c r="Q507" s="28" t="s">
        <v>617</v>
      </c>
      <c r="R507" s="47" t="s">
        <v>361</v>
      </c>
      <c r="T507" s="18"/>
      <c r="U507" s="18"/>
      <c r="V507" s="97"/>
    </row>
    <row r="508" spans="1:22" ht="18" hidden="1" customHeight="1">
      <c r="A508" s="228"/>
      <c r="B508" s="225"/>
      <c r="C508" s="225"/>
      <c r="D508" s="225"/>
      <c r="E508" s="225"/>
      <c r="F508" s="224"/>
      <c r="G508" s="224"/>
      <c r="H508" s="28"/>
      <c r="I508" s="28" t="s">
        <v>138</v>
      </c>
      <c r="J508" s="638">
        <f>O503</f>
        <v>100</v>
      </c>
      <c r="K508" s="638"/>
      <c r="L508" s="28" t="s">
        <v>326</v>
      </c>
      <c r="M508" s="229">
        <v>1000</v>
      </c>
      <c r="N508" s="102" t="s">
        <v>353</v>
      </c>
      <c r="O508" s="28" t="s">
        <v>622</v>
      </c>
      <c r="P508" s="28" t="s">
        <v>326</v>
      </c>
      <c r="Q508" s="28">
        <f>O505</f>
        <v>132</v>
      </c>
      <c r="R508" s="47" t="s">
        <v>361</v>
      </c>
      <c r="S508" s="14"/>
      <c r="T508" s="18"/>
      <c r="U508" s="18"/>
      <c r="V508" s="97"/>
    </row>
    <row r="509" spans="1:22" ht="18" hidden="1" customHeight="1">
      <c r="A509" s="228"/>
      <c r="B509" s="224"/>
      <c r="C509" s="224"/>
      <c r="D509" s="224"/>
      <c r="E509" s="224"/>
      <c r="F509" s="224"/>
      <c r="G509" s="224"/>
      <c r="H509" s="14"/>
      <c r="I509" s="28" t="s">
        <v>138</v>
      </c>
      <c r="J509" s="641">
        <f>(O503*1000)/(SQRT(3)*O505)</f>
        <v>437.38656756789834</v>
      </c>
      <c r="K509" s="641"/>
      <c r="L509" s="14" t="s">
        <v>9</v>
      </c>
      <c r="M509" s="120"/>
      <c r="N509" s="120"/>
      <c r="O509" s="120"/>
      <c r="P509" s="14"/>
      <c r="Q509" s="14"/>
      <c r="R509" s="14"/>
      <c r="S509" s="14"/>
      <c r="T509" s="18"/>
      <c r="U509" s="18"/>
      <c r="V509" s="97"/>
    </row>
    <row r="510" spans="1:22" ht="18" hidden="1" customHeight="1">
      <c r="A510" s="228"/>
      <c r="B510" s="224"/>
      <c r="C510" s="224"/>
      <c r="D510" s="224"/>
      <c r="E510" s="224"/>
      <c r="F510" s="14"/>
      <c r="G510" s="224"/>
      <c r="H510" s="28"/>
      <c r="I510" s="103"/>
      <c r="J510" s="28"/>
      <c r="K510" s="14"/>
      <c r="L510" s="14"/>
      <c r="M510" s="224"/>
      <c r="N510" s="231"/>
      <c r="O510" s="224"/>
      <c r="P510" s="14"/>
      <c r="Q510" s="14"/>
      <c r="R510" s="14"/>
      <c r="S510" s="14"/>
      <c r="T510" s="18"/>
      <c r="U510" s="18"/>
      <c r="V510" s="97"/>
    </row>
    <row r="511" spans="1:22" s="14" customFormat="1" ht="18" hidden="1" customHeight="1">
      <c r="A511" s="159" t="s">
        <v>640</v>
      </c>
      <c r="B511" s="5"/>
      <c r="C511" s="5"/>
      <c r="D511" s="5"/>
      <c r="E511" s="5"/>
      <c r="F511" s="224"/>
      <c r="G511" s="224"/>
      <c r="H511" s="5"/>
      <c r="I511" s="5"/>
      <c r="J511" s="5"/>
      <c r="K511" s="5"/>
      <c r="L511" s="103"/>
      <c r="M511" s="103"/>
      <c r="N511" s="103"/>
      <c r="O511" s="103"/>
      <c r="P511" s="224"/>
      <c r="Q511" s="225"/>
      <c r="S511" s="232"/>
      <c r="T511" s="18"/>
      <c r="U511" s="18"/>
      <c r="V511" s="97"/>
    </row>
    <row r="512" spans="1:22" s="14" customFormat="1" ht="18" hidden="1" customHeight="1">
      <c r="A512" s="159"/>
      <c r="B512" s="5"/>
      <c r="C512" s="5"/>
      <c r="D512" s="5"/>
      <c r="E512" s="5"/>
      <c r="F512" s="224"/>
      <c r="G512" s="224"/>
      <c r="H512" s="5"/>
      <c r="I512" s="5"/>
      <c r="J512" s="5"/>
      <c r="K512" s="5"/>
      <c r="L512" s="103"/>
      <c r="M512" s="103"/>
      <c r="N512" s="103"/>
      <c r="O512" s="103"/>
      <c r="P512" s="224"/>
      <c r="Q512" s="225"/>
      <c r="S512" s="226"/>
      <c r="T512" s="18"/>
      <c r="U512" s="18"/>
      <c r="V512" s="97"/>
    </row>
    <row r="513" spans="1:22" ht="18" hidden="1" customHeight="1">
      <c r="A513" s="96" t="s">
        <v>623</v>
      </c>
      <c r="B513" s="14"/>
      <c r="C513" s="14"/>
      <c r="D513" s="14"/>
      <c r="E513" s="14"/>
      <c r="M513" s="120" t="s">
        <v>624</v>
      </c>
      <c r="N513" s="28" t="s">
        <v>138</v>
      </c>
      <c r="O513" s="638" t="s">
        <v>620</v>
      </c>
      <c r="P513" s="920"/>
      <c r="Q513" s="233" t="s">
        <v>641</v>
      </c>
      <c r="R513" s="233">
        <v>16</v>
      </c>
      <c r="S513" s="198"/>
      <c r="V513" s="197"/>
    </row>
    <row r="514" spans="1:22" ht="18" hidden="1" customHeight="1">
      <c r="A514" s="96"/>
      <c r="B514" s="5"/>
      <c r="C514" s="5"/>
      <c r="D514" s="5"/>
      <c r="E514" s="5"/>
      <c r="M514" s="262"/>
      <c r="N514" s="28" t="s">
        <v>138</v>
      </c>
      <c r="O514" s="638">
        <f>+J509</f>
        <v>437.38656756789834</v>
      </c>
      <c r="P514" s="920"/>
      <c r="Q514" s="233" t="s">
        <v>641</v>
      </c>
      <c r="R514" s="233">
        <v>16</v>
      </c>
      <c r="S514" s="198"/>
      <c r="V514" s="197"/>
    </row>
    <row r="515" spans="1:22" s="291" customFormat="1" ht="18" hidden="1" customHeight="1">
      <c r="A515" s="96"/>
      <c r="B515" s="5"/>
      <c r="C515" s="5"/>
      <c r="D515" s="5"/>
      <c r="E515" s="5"/>
      <c r="F515" s="30"/>
      <c r="G515" s="30"/>
      <c r="H515" s="30"/>
      <c r="I515" s="30"/>
      <c r="J515" s="30"/>
      <c r="K515" s="30"/>
      <c r="L515" s="30"/>
      <c r="M515" s="120" t="s">
        <v>624</v>
      </c>
      <c r="N515" s="28" t="s">
        <v>138</v>
      </c>
      <c r="O515" s="638">
        <f>O514*R514</f>
        <v>6998.1850810863734</v>
      </c>
      <c r="P515" s="920"/>
      <c r="Q515" s="253" t="s">
        <v>9</v>
      </c>
      <c r="R515" s="14"/>
      <c r="S515" s="198"/>
      <c r="T515" s="30"/>
      <c r="U515" s="30"/>
      <c r="V515" s="197"/>
    </row>
    <row r="516" spans="1:22" s="291" customFormat="1" ht="18" hidden="1" customHeight="1">
      <c r="A516" s="96"/>
      <c r="B516" s="5"/>
      <c r="C516" s="5"/>
      <c r="D516" s="5"/>
      <c r="E516" s="5"/>
      <c r="F516" s="30"/>
      <c r="G516" s="30"/>
      <c r="H516" s="30"/>
      <c r="I516" s="30"/>
      <c r="J516" s="30"/>
      <c r="K516" s="30"/>
      <c r="L516" s="30"/>
      <c r="M516" s="120"/>
      <c r="N516" s="28"/>
      <c r="O516" s="28"/>
      <c r="P516" s="14"/>
      <c r="Q516" s="253"/>
      <c r="R516" s="14"/>
      <c r="S516" s="198"/>
      <c r="T516" s="30"/>
      <c r="U516" s="30"/>
      <c r="V516" s="197"/>
    </row>
    <row r="517" spans="1:22" s="291" customFormat="1" ht="18" hidden="1" customHeight="1">
      <c r="A517" s="96"/>
      <c r="B517" s="5"/>
      <c r="C517" s="5"/>
      <c r="D517" s="5"/>
      <c r="E517" s="5"/>
      <c r="F517" s="30"/>
      <c r="G517" s="30"/>
      <c r="H517" s="30"/>
      <c r="I517" s="30"/>
      <c r="J517" s="30"/>
      <c r="K517" s="30"/>
      <c r="L517" s="30"/>
      <c r="M517" s="120"/>
      <c r="N517" s="28"/>
      <c r="O517" s="28"/>
      <c r="P517" s="14"/>
      <c r="Q517" s="253"/>
      <c r="R517" s="14"/>
      <c r="S517" s="198"/>
      <c r="T517" s="30"/>
      <c r="U517" s="30"/>
      <c r="V517" s="197"/>
    </row>
    <row r="518" spans="1:22" s="291" customFormat="1" ht="18" hidden="1" customHeight="1">
      <c r="A518" s="96"/>
      <c r="B518" s="5"/>
      <c r="C518" s="5"/>
      <c r="D518" s="5"/>
      <c r="E518" s="5"/>
      <c r="F518" s="30"/>
      <c r="G518" s="30"/>
      <c r="H518" s="30"/>
      <c r="I518" s="30"/>
      <c r="J518" s="30"/>
      <c r="K518" s="30"/>
      <c r="L518" s="30"/>
      <c r="M518" s="120"/>
      <c r="N518" s="28"/>
      <c r="O518" s="28"/>
      <c r="P518" s="14"/>
      <c r="Q518" s="253"/>
      <c r="R518" s="14"/>
      <c r="S518" s="198"/>
      <c r="T518" s="30"/>
      <c r="U518" s="30"/>
      <c r="V518" s="197"/>
    </row>
    <row r="519" spans="1:22" s="291" customFormat="1" ht="18" hidden="1" customHeight="1">
      <c r="A519" s="96"/>
      <c r="B519" s="5"/>
      <c r="C519" s="5"/>
      <c r="D519" s="5"/>
      <c r="E519" s="5"/>
      <c r="F519" s="30"/>
      <c r="G519" s="30"/>
      <c r="H519" s="30"/>
      <c r="I519" s="30"/>
      <c r="J519" s="30"/>
      <c r="K519" s="30"/>
      <c r="L519" s="30"/>
      <c r="M519" s="120"/>
      <c r="N519" s="28"/>
      <c r="O519" s="28"/>
      <c r="P519" s="14"/>
      <c r="Q519" s="253"/>
      <c r="R519" s="14"/>
      <c r="S519" s="198"/>
      <c r="T519" s="30"/>
      <c r="U519" s="30"/>
      <c r="V519" s="197"/>
    </row>
    <row r="520" spans="1:22" s="291" customFormat="1" ht="18" hidden="1" customHeight="1">
      <c r="A520" s="96"/>
      <c r="B520" s="5"/>
      <c r="C520" s="5"/>
      <c r="D520" s="5"/>
      <c r="E520" s="5"/>
      <c r="F520" s="30"/>
      <c r="G520" s="30"/>
      <c r="H520" s="30"/>
      <c r="I520" s="30"/>
      <c r="J520" s="30"/>
      <c r="K520" s="30"/>
      <c r="L520" s="30"/>
      <c r="M520" s="120"/>
      <c r="N520" s="28"/>
      <c r="O520" s="28"/>
      <c r="P520" s="14"/>
      <c r="Q520" s="253"/>
      <c r="R520" s="14"/>
      <c r="S520" s="198"/>
      <c r="T520" s="30"/>
      <c r="U520" s="30"/>
      <c r="V520" s="197"/>
    </row>
    <row r="521" spans="1:22" s="291" customFormat="1" ht="18" hidden="1" customHeight="1">
      <c r="A521" s="206"/>
      <c r="B521" s="207"/>
      <c r="C521" s="207"/>
      <c r="D521" s="207"/>
      <c r="E521" s="207"/>
      <c r="F521" s="207"/>
      <c r="G521" s="207"/>
      <c r="H521" s="207"/>
      <c r="I521" s="207"/>
      <c r="J521" s="207"/>
      <c r="K521" s="207"/>
      <c r="L521" s="207"/>
      <c r="M521" s="207"/>
      <c r="N521" s="207"/>
      <c r="O521" s="207"/>
      <c r="P521" s="207"/>
      <c r="Q521" s="236"/>
      <c r="R521" s="194"/>
      <c r="S521" s="237"/>
      <c r="T521" s="207"/>
      <c r="U521" s="207"/>
      <c r="V521" s="140" t="s">
        <v>563</v>
      </c>
    </row>
    <row r="522" spans="1:22" ht="18" hidden="1" customHeight="1">
      <c r="A522" s="141"/>
      <c r="B522" s="285"/>
      <c r="C522" s="285"/>
      <c r="D522" s="285"/>
      <c r="E522" s="285"/>
      <c r="F522" s="285"/>
      <c r="G522" s="285"/>
      <c r="H522" s="285"/>
      <c r="I522" s="285"/>
      <c r="J522" s="285"/>
      <c r="K522" s="285"/>
      <c r="L522" s="285"/>
      <c r="M522" s="285"/>
      <c r="N522" s="285"/>
      <c r="O522" s="285"/>
      <c r="P522" s="285"/>
      <c r="Q522" s="286"/>
      <c r="R522" s="145"/>
      <c r="S522" s="287"/>
      <c r="T522" s="285"/>
      <c r="U522" s="285"/>
      <c r="V522" s="288"/>
    </row>
    <row r="523" spans="1:22" ht="18" hidden="1" customHeight="1">
      <c r="A523" s="96" t="s">
        <v>673</v>
      </c>
      <c r="V523" s="197"/>
    </row>
    <row r="524" spans="1:22" ht="18" hidden="1" customHeight="1">
      <c r="A524" s="196"/>
      <c r="V524" s="197"/>
    </row>
    <row r="525" spans="1:22" ht="18" hidden="1" customHeight="1">
      <c r="A525" s="289"/>
      <c r="B525" s="638" t="s">
        <v>484</v>
      </c>
      <c r="C525" s="1124" t="s">
        <v>663</v>
      </c>
      <c r="D525" s="638">
        <v>2</v>
      </c>
      <c r="E525" s="638" t="s">
        <v>389</v>
      </c>
      <c r="F525" s="638" t="s">
        <v>628</v>
      </c>
      <c r="G525" s="638"/>
      <c r="H525" s="638" t="s">
        <v>389</v>
      </c>
      <c r="I525" s="638" t="s">
        <v>430</v>
      </c>
      <c r="J525" s="638" t="s">
        <v>431</v>
      </c>
      <c r="K525" s="638" t="s">
        <v>358</v>
      </c>
      <c r="L525" s="638" t="s">
        <v>419</v>
      </c>
      <c r="M525" s="638" t="s">
        <v>358</v>
      </c>
      <c r="N525" s="638" t="s">
        <v>660</v>
      </c>
      <c r="O525" s="638" t="s">
        <v>361</v>
      </c>
      <c r="P525" s="14"/>
      <c r="Q525" s="14"/>
      <c r="R525" s="14"/>
      <c r="S525" s="14"/>
      <c r="T525" s="14"/>
      <c r="U525" s="958" t="s">
        <v>664</v>
      </c>
      <c r="V525" s="197"/>
    </row>
    <row r="526" spans="1:22" ht="18" hidden="1" customHeight="1">
      <c r="A526" s="289"/>
      <c r="B526" s="638"/>
      <c r="C526" s="638"/>
      <c r="D526" s="638"/>
      <c r="E526" s="638"/>
      <c r="F526" s="638"/>
      <c r="G526" s="638"/>
      <c r="H526" s="638"/>
      <c r="I526" s="638"/>
      <c r="J526" s="638"/>
      <c r="K526" s="638"/>
      <c r="L526" s="638"/>
      <c r="M526" s="638"/>
      <c r="N526" s="638"/>
      <c r="O526" s="638"/>
      <c r="P526" s="14"/>
      <c r="Q526" s="14"/>
      <c r="R526" s="14"/>
      <c r="S526" s="14"/>
      <c r="T526" s="14"/>
      <c r="U526" s="638"/>
      <c r="V526" s="197"/>
    </row>
    <row r="527" spans="1:22" ht="18" hidden="1" customHeight="1">
      <c r="A527" s="196"/>
      <c r="V527" s="197"/>
    </row>
    <row r="528" spans="1:22" ht="18" hidden="1" customHeight="1">
      <c r="A528" s="196"/>
      <c r="B528" s="47" t="s">
        <v>665</v>
      </c>
      <c r="C528" s="14"/>
      <c r="D528" s="14"/>
      <c r="E528" s="14"/>
      <c r="F528" s="18"/>
      <c r="G528" s="18"/>
      <c r="H528" s="14"/>
      <c r="I528" s="120"/>
      <c r="J528" s="14"/>
      <c r="K528" s="14"/>
      <c r="M528" s="14"/>
      <c r="N528" s="14"/>
      <c r="P528" s="14" t="s">
        <v>434</v>
      </c>
      <c r="R528" s="246" t="s">
        <v>138</v>
      </c>
      <c r="S528" s="639">
        <f>L482</f>
        <v>3000</v>
      </c>
      <c r="T528" s="639"/>
      <c r="U528" s="30" t="s">
        <v>9</v>
      </c>
      <c r="V528" s="197"/>
    </row>
    <row r="529" spans="1:22" ht="18" hidden="1" customHeight="1">
      <c r="A529" s="196"/>
      <c r="B529" s="47" t="s">
        <v>666</v>
      </c>
      <c r="C529" s="14"/>
      <c r="D529" s="14"/>
      <c r="E529" s="14"/>
      <c r="F529" s="18"/>
      <c r="G529" s="18"/>
      <c r="H529" s="14"/>
      <c r="I529" s="120"/>
      <c r="J529" s="14"/>
      <c r="K529" s="14"/>
      <c r="M529" s="14"/>
      <c r="N529" s="14"/>
      <c r="P529" s="14" t="s">
        <v>431</v>
      </c>
      <c r="R529" s="246" t="s">
        <v>138</v>
      </c>
      <c r="S529" s="639">
        <f>L484</f>
        <v>10</v>
      </c>
      <c r="T529" s="639"/>
      <c r="U529" s="204" t="s">
        <v>344</v>
      </c>
      <c r="V529" s="197"/>
    </row>
    <row r="530" spans="1:22" ht="18" hidden="1" customHeight="1">
      <c r="A530" s="196"/>
      <c r="B530" s="47" t="s">
        <v>667</v>
      </c>
      <c r="C530" s="14"/>
      <c r="D530" s="14"/>
      <c r="E530" s="14"/>
      <c r="F530" s="18"/>
      <c r="G530" s="18"/>
      <c r="H530" s="14"/>
      <c r="I530" s="120"/>
      <c r="J530" s="14"/>
      <c r="K530" s="14"/>
      <c r="M530" s="14"/>
      <c r="N530" s="14"/>
      <c r="P530" s="14" t="s">
        <v>419</v>
      </c>
      <c r="R530" s="246" t="s">
        <v>138</v>
      </c>
      <c r="S530" s="637">
        <f>O499</f>
        <v>1.4869257975000001</v>
      </c>
      <c r="T530" s="637"/>
      <c r="U530" s="204" t="s">
        <v>344</v>
      </c>
      <c r="V530" s="197"/>
    </row>
    <row r="531" spans="1:22" ht="18" hidden="1" customHeight="1">
      <c r="A531" s="196"/>
      <c r="B531" s="47" t="s">
        <v>668</v>
      </c>
      <c r="C531" s="14"/>
      <c r="D531" s="14"/>
      <c r="E531" s="14"/>
      <c r="F531" s="14"/>
      <c r="G531" s="14"/>
      <c r="H531" s="14"/>
      <c r="I531" s="120"/>
      <c r="J531" s="14"/>
      <c r="K531" s="14"/>
      <c r="M531" s="14"/>
      <c r="N531" s="14"/>
      <c r="P531" s="14" t="s">
        <v>660</v>
      </c>
      <c r="R531" s="246" t="s">
        <v>138</v>
      </c>
      <c r="S531" s="637">
        <f>D499</f>
        <v>0.1</v>
      </c>
      <c r="T531" s="639"/>
      <c r="U531" s="204" t="s">
        <v>344</v>
      </c>
      <c r="V531" s="197"/>
    </row>
    <row r="532" spans="1:22" ht="18" hidden="1" customHeight="1">
      <c r="A532" s="196"/>
      <c r="B532" s="14" t="s">
        <v>669</v>
      </c>
      <c r="C532" s="14"/>
      <c r="D532" s="14"/>
      <c r="E532" s="14"/>
      <c r="F532" s="14"/>
      <c r="G532" s="14"/>
      <c r="H532" s="14"/>
      <c r="I532" s="120"/>
      <c r="J532" s="14"/>
      <c r="K532" s="14"/>
      <c r="M532" s="14"/>
      <c r="N532" s="14"/>
      <c r="P532" s="47" t="s">
        <v>628</v>
      </c>
      <c r="R532" s="246" t="s">
        <v>138</v>
      </c>
      <c r="S532" s="637">
        <f>O515/S528</f>
        <v>2.3327283603621245</v>
      </c>
      <c r="T532" s="637"/>
      <c r="U532" s="30" t="s">
        <v>9</v>
      </c>
      <c r="V532" s="197"/>
    </row>
    <row r="533" spans="1:22" s="291" customFormat="1" ht="18" hidden="1" customHeight="1">
      <c r="A533" s="196"/>
      <c r="B533" s="47" t="s">
        <v>670</v>
      </c>
      <c r="C533" s="14"/>
      <c r="D533" s="14"/>
      <c r="E533" s="14"/>
      <c r="F533" s="14"/>
      <c r="G533" s="14"/>
      <c r="H533" s="14"/>
      <c r="I533" s="120"/>
      <c r="J533" s="14"/>
      <c r="K533" s="14"/>
      <c r="L533" s="30"/>
      <c r="M533" s="14"/>
      <c r="N533" s="14"/>
      <c r="O533" s="30"/>
      <c r="P533" s="120" t="s">
        <v>671</v>
      </c>
      <c r="Q533" s="30"/>
      <c r="R533" s="246" t="s">
        <v>138</v>
      </c>
      <c r="S533" s="639">
        <f>S445</f>
        <v>1</v>
      </c>
      <c r="T533" s="639"/>
      <c r="U533" s="30" t="s">
        <v>9</v>
      </c>
      <c r="V533" s="197"/>
    </row>
    <row r="534" spans="1:22" s="291" customFormat="1" ht="18" hidden="1" customHeight="1">
      <c r="A534" s="196"/>
      <c r="B534" s="30"/>
      <c r="C534" s="30"/>
      <c r="D534" s="30"/>
      <c r="E534" s="30"/>
      <c r="F534" s="30"/>
      <c r="G534" s="30"/>
      <c r="H534" s="30"/>
      <c r="I534" s="30"/>
      <c r="J534" s="30"/>
      <c r="K534" s="30"/>
      <c r="L534" s="30"/>
      <c r="M534" s="30"/>
      <c r="N534" s="30"/>
      <c r="O534" s="30"/>
      <c r="P534" s="30"/>
      <c r="Q534" s="30"/>
      <c r="R534" s="30"/>
      <c r="S534" s="30"/>
      <c r="T534" s="30"/>
      <c r="U534" s="30"/>
      <c r="V534" s="197"/>
    </row>
    <row r="535" spans="1:22" ht="18" hidden="1" customHeight="1">
      <c r="A535" s="96"/>
      <c r="B535" s="14" t="s">
        <v>672</v>
      </c>
      <c r="C535" s="14"/>
      <c r="D535" s="247"/>
      <c r="E535" s="14"/>
      <c r="F535" s="28"/>
      <c r="G535" s="261"/>
      <c r="H535" s="28"/>
      <c r="I535" s="263"/>
      <c r="J535" s="14"/>
      <c r="K535" s="292"/>
      <c r="M535" s="47"/>
      <c r="N535" s="280"/>
      <c r="P535" s="293"/>
      <c r="R535" s="246"/>
      <c r="S535" s="216"/>
      <c r="V535" s="197"/>
    </row>
    <row r="536" spans="1:22" ht="18" hidden="1" customHeight="1">
      <c r="A536" s="284"/>
      <c r="C536" s="14"/>
      <c r="D536" s="14"/>
      <c r="E536" s="14"/>
      <c r="F536" s="14"/>
      <c r="G536" s="14"/>
      <c r="H536" s="28"/>
      <c r="I536" s="47"/>
      <c r="J536" s="14"/>
      <c r="K536" s="14"/>
      <c r="M536" s="14"/>
      <c r="N536" s="14"/>
      <c r="P536" s="120"/>
      <c r="R536" s="246"/>
      <c r="S536" s="294"/>
      <c r="V536" s="197"/>
    </row>
    <row r="537" spans="1:22" ht="18" hidden="1" customHeight="1">
      <c r="A537" s="284"/>
      <c r="B537" s="638" t="s">
        <v>484</v>
      </c>
      <c r="C537" s="1124" t="s">
        <v>663</v>
      </c>
      <c r="D537" s="638">
        <v>2</v>
      </c>
      <c r="E537" s="638" t="s">
        <v>389</v>
      </c>
      <c r="F537" s="638" t="s">
        <v>628</v>
      </c>
      <c r="G537" s="638"/>
      <c r="H537" s="638" t="s">
        <v>389</v>
      </c>
      <c r="I537" s="638" t="s">
        <v>430</v>
      </c>
      <c r="J537" s="638" t="s">
        <v>431</v>
      </c>
      <c r="K537" s="638" t="s">
        <v>358</v>
      </c>
      <c r="L537" s="638" t="s">
        <v>419</v>
      </c>
      <c r="M537" s="638" t="s">
        <v>358</v>
      </c>
      <c r="N537" s="638" t="s">
        <v>660</v>
      </c>
      <c r="O537" s="638" t="s">
        <v>361</v>
      </c>
      <c r="P537" s="14"/>
      <c r="Q537" s="14"/>
      <c r="R537" s="14"/>
      <c r="S537" s="14"/>
      <c r="T537" s="14"/>
      <c r="U537" s="958" t="s">
        <v>664</v>
      </c>
      <c r="V537" s="197"/>
    </row>
    <row r="538" spans="1:22" ht="18" hidden="1" customHeight="1">
      <c r="A538" s="289"/>
      <c r="B538" s="638"/>
      <c r="C538" s="638"/>
      <c r="D538" s="638"/>
      <c r="E538" s="638"/>
      <c r="F538" s="638"/>
      <c r="G538" s="638"/>
      <c r="H538" s="638"/>
      <c r="I538" s="638"/>
      <c r="J538" s="638"/>
      <c r="K538" s="638"/>
      <c r="L538" s="638"/>
      <c r="M538" s="638"/>
      <c r="N538" s="638"/>
      <c r="O538" s="638"/>
      <c r="P538" s="14"/>
      <c r="Q538" s="14"/>
      <c r="R538" s="14"/>
      <c r="S538" s="14"/>
      <c r="T538" s="14"/>
      <c r="U538" s="638"/>
      <c r="V538" s="197"/>
    </row>
    <row r="539" spans="1:22" ht="18" hidden="1" customHeight="1">
      <c r="A539" s="289"/>
      <c r="B539" s="28"/>
      <c r="C539" s="28"/>
      <c r="D539" s="166"/>
      <c r="E539" s="166"/>
      <c r="F539" s="166"/>
      <c r="G539" s="166"/>
      <c r="H539" s="166"/>
      <c r="I539" s="28"/>
      <c r="J539" s="28"/>
      <c r="K539" s="28"/>
      <c r="L539" s="28"/>
      <c r="M539" s="28"/>
      <c r="N539" s="28"/>
      <c r="O539" s="28"/>
      <c r="P539" s="14"/>
      <c r="Q539" s="14"/>
      <c r="R539" s="14"/>
      <c r="S539" s="14"/>
      <c r="T539" s="14"/>
      <c r="U539" s="28"/>
      <c r="V539" s="197"/>
    </row>
    <row r="540" spans="1:22" ht="18" hidden="1" customHeight="1">
      <c r="A540" s="289"/>
      <c r="B540" s="28"/>
      <c r="C540" s="1124" t="s">
        <v>663</v>
      </c>
      <c r="D540" s="861">
        <v>2</v>
      </c>
      <c r="E540" s="861" t="s">
        <v>389</v>
      </c>
      <c r="F540" s="1113">
        <f>S532</f>
        <v>2.3327283603621245</v>
      </c>
      <c r="G540" s="1113"/>
      <c r="H540" s="861" t="s">
        <v>389</v>
      </c>
      <c r="I540" s="861" t="s">
        <v>430</v>
      </c>
      <c r="J540" s="861">
        <f>S529</f>
        <v>10</v>
      </c>
      <c r="K540" s="861" t="s">
        <v>358</v>
      </c>
      <c r="L540" s="1113">
        <f>S530</f>
        <v>1.4869257975000001</v>
      </c>
      <c r="M540" s="861" t="s">
        <v>358</v>
      </c>
      <c r="N540" s="1113">
        <f>S531</f>
        <v>0.1</v>
      </c>
      <c r="O540" s="861" t="s">
        <v>361</v>
      </c>
      <c r="P540" s="14"/>
      <c r="Q540" s="14"/>
      <c r="R540" s="14"/>
      <c r="S540" s="14"/>
      <c r="T540" s="14"/>
      <c r="U540" s="28"/>
      <c r="V540" s="197"/>
    </row>
    <row r="541" spans="1:22" ht="18" hidden="1" customHeight="1">
      <c r="A541" s="289"/>
      <c r="B541" s="28"/>
      <c r="C541" s="638"/>
      <c r="D541" s="861"/>
      <c r="E541" s="861"/>
      <c r="F541" s="1113"/>
      <c r="G541" s="1113"/>
      <c r="H541" s="861"/>
      <c r="I541" s="861"/>
      <c r="J541" s="861"/>
      <c r="K541" s="861"/>
      <c r="L541" s="861"/>
      <c r="M541" s="861"/>
      <c r="N541" s="861"/>
      <c r="O541" s="861"/>
      <c r="P541" s="14"/>
      <c r="Q541" s="14"/>
      <c r="R541" s="14"/>
      <c r="S541" s="14"/>
      <c r="T541" s="14"/>
      <c r="U541" s="28"/>
      <c r="V541" s="197"/>
    </row>
    <row r="542" spans="1:22" ht="18" hidden="1" customHeight="1">
      <c r="A542" s="289"/>
      <c r="B542" s="14"/>
      <c r="C542" s="14"/>
      <c r="D542" s="291"/>
      <c r="E542" s="291"/>
      <c r="F542" s="291"/>
      <c r="G542" s="14"/>
      <c r="I542" s="14"/>
      <c r="K542" s="28"/>
      <c r="L542" s="14"/>
      <c r="N542" s="14"/>
      <c r="O542" s="14"/>
      <c r="P542" s="14"/>
      <c r="Q542" s="14"/>
      <c r="R542" s="14"/>
      <c r="S542" s="14"/>
      <c r="T542" s="14"/>
      <c r="U542" s="14"/>
      <c r="V542" s="197"/>
    </row>
    <row r="543" spans="1:22" ht="18" hidden="1" customHeight="1">
      <c r="A543" s="96"/>
      <c r="B543" s="14"/>
      <c r="C543" s="27" t="s">
        <v>138</v>
      </c>
      <c r="D543" s="798">
        <f>D540*F540*(J540+L540+N540)</f>
        <v>54.058300834479553</v>
      </c>
      <c r="E543" s="799"/>
      <c r="F543" s="30" t="s">
        <v>316</v>
      </c>
      <c r="G543" s="14"/>
      <c r="H543" s="14"/>
      <c r="I543" s="14"/>
      <c r="J543" s="14"/>
      <c r="K543" s="14"/>
      <c r="L543" s="14"/>
      <c r="M543" s="14"/>
      <c r="N543" s="14"/>
      <c r="R543" s="246"/>
      <c r="S543" s="216"/>
      <c r="V543" s="197"/>
    </row>
    <row r="544" spans="1:22" ht="18" hidden="1" customHeight="1">
      <c r="A544" s="96"/>
      <c r="B544" s="14"/>
      <c r="G544" s="14"/>
      <c r="H544" s="14"/>
      <c r="I544" s="14"/>
      <c r="J544" s="14"/>
      <c r="K544" s="14"/>
      <c r="L544" s="14"/>
      <c r="M544" s="14"/>
      <c r="N544" s="14"/>
      <c r="R544" s="246"/>
      <c r="S544" s="216"/>
      <c r="V544" s="197"/>
    </row>
    <row r="545" spans="1:22" ht="18" hidden="1" customHeight="1">
      <c r="A545" s="96"/>
      <c r="B545" s="14"/>
      <c r="D545" s="30" t="s">
        <v>486</v>
      </c>
      <c r="G545" s="27" t="str">
        <f>IF(E546&gt;H546,"&gt;","&lt;")</f>
        <v>&gt;</v>
      </c>
      <c r="H545" s="30" t="s">
        <v>488</v>
      </c>
      <c r="M545" s="14"/>
      <c r="N545" s="14"/>
      <c r="R545" s="246"/>
      <c r="S545" s="216"/>
      <c r="V545" s="197"/>
    </row>
    <row r="546" spans="1:22" ht="18" hidden="1" customHeight="1">
      <c r="A546" s="96"/>
      <c r="B546" s="14"/>
      <c r="E546" s="639" t="str">
        <f>H490</f>
        <v>Sr'</v>
      </c>
      <c r="F546" s="639"/>
      <c r="G546" s="27" t="str">
        <f>G545</f>
        <v>&gt;</v>
      </c>
      <c r="H546" s="637">
        <f>D543</f>
        <v>54.058300834479553</v>
      </c>
      <c r="I546" s="639"/>
      <c r="M546" s="14"/>
      <c r="N546" s="14"/>
      <c r="R546" s="246"/>
      <c r="S546" s="216"/>
      <c r="V546" s="197"/>
    </row>
    <row r="547" spans="1:22" ht="18" hidden="1" customHeight="1">
      <c r="A547" s="96"/>
      <c r="B547" s="14"/>
      <c r="F547" s="256" t="s">
        <v>489</v>
      </c>
      <c r="H547" s="18" t="str">
        <f>IF(G545="&gt;","Suitably Dimentioned","Under Dimentioned")</f>
        <v>Suitably Dimentioned</v>
      </c>
      <c r="M547" s="14"/>
      <c r="N547" s="14"/>
      <c r="R547" s="246"/>
      <c r="S547" s="216"/>
      <c r="V547" s="197"/>
    </row>
    <row r="548" spans="1:22" ht="18" hidden="1" customHeight="1">
      <c r="A548" s="96"/>
      <c r="B548" s="14"/>
      <c r="G548" s="14"/>
      <c r="H548" s="14"/>
      <c r="I548" s="14"/>
      <c r="J548" s="14"/>
      <c r="K548" s="14"/>
      <c r="L548" s="14"/>
      <c r="M548" s="14"/>
      <c r="N548" s="14"/>
      <c r="R548" s="246"/>
      <c r="S548" s="216"/>
      <c r="V548" s="197"/>
    </row>
    <row r="549" spans="1:22" ht="18" hidden="1" customHeight="1">
      <c r="A549" s="205"/>
      <c r="B549" s="14"/>
      <c r="G549" s="14"/>
      <c r="H549" s="14"/>
      <c r="I549" s="14"/>
      <c r="J549" s="14"/>
      <c r="K549" s="14"/>
      <c r="L549" s="14"/>
      <c r="M549" s="14"/>
      <c r="N549" s="14"/>
      <c r="R549" s="246"/>
      <c r="S549" s="216"/>
      <c r="V549" s="197"/>
    </row>
    <row r="550" spans="1:22" ht="18" hidden="1" customHeight="1">
      <c r="A550" s="96"/>
      <c r="B550" s="14"/>
      <c r="D550" s="14"/>
      <c r="E550" s="14"/>
      <c r="F550" s="291"/>
      <c r="G550" s="14"/>
      <c r="H550" s="14"/>
      <c r="I550" s="291"/>
      <c r="J550" s="14"/>
      <c r="K550" s="14"/>
      <c r="L550" s="14"/>
      <c r="M550" s="14"/>
      <c r="N550" s="14"/>
      <c r="R550" s="246"/>
      <c r="S550" s="216"/>
      <c r="V550" s="197"/>
    </row>
    <row r="551" spans="1:22" ht="18" hidden="1" customHeight="1">
      <c r="A551" s="96"/>
      <c r="B551" s="14"/>
      <c r="D551" s="14"/>
      <c r="E551" s="14"/>
      <c r="F551" s="291"/>
      <c r="G551" s="14"/>
      <c r="H551" s="14"/>
      <c r="I551" s="291"/>
      <c r="J551" s="14"/>
      <c r="K551" s="14"/>
      <c r="L551" s="14"/>
      <c r="M551" s="14"/>
      <c r="N551" s="14"/>
      <c r="R551" s="246"/>
      <c r="S551" s="216"/>
      <c r="V551" s="197"/>
    </row>
    <row r="552" spans="1:22" ht="18" hidden="1" customHeight="1">
      <c r="A552" s="96"/>
      <c r="B552" s="14"/>
      <c r="D552" s="14"/>
      <c r="E552" s="14"/>
      <c r="F552" s="291"/>
      <c r="G552" s="14"/>
      <c r="H552" s="14"/>
      <c r="I552" s="291"/>
      <c r="J552" s="14"/>
      <c r="K552" s="14"/>
      <c r="L552" s="14"/>
      <c r="M552" s="14"/>
      <c r="N552" s="14"/>
      <c r="R552" s="246"/>
      <c r="S552" s="216"/>
      <c r="V552" s="197"/>
    </row>
    <row r="553" spans="1:22" ht="18" hidden="1" customHeight="1">
      <c r="A553" s="96"/>
      <c r="B553" s="14"/>
      <c r="G553" s="14"/>
      <c r="H553" s="14"/>
      <c r="I553" s="14"/>
      <c r="J553" s="14"/>
      <c r="K553" s="14"/>
      <c r="L553" s="14"/>
      <c r="M553" s="14"/>
      <c r="N553" s="14"/>
      <c r="R553" s="246"/>
      <c r="S553" s="216"/>
      <c r="V553" s="197"/>
    </row>
    <row r="554" spans="1:22" ht="18" hidden="1" customHeight="1">
      <c r="A554" s="96"/>
      <c r="B554" s="14"/>
      <c r="F554" s="14"/>
      <c r="G554" s="14"/>
      <c r="H554" s="14"/>
      <c r="I554" s="14"/>
      <c r="J554" s="14"/>
      <c r="K554" s="14"/>
      <c r="L554" s="14"/>
      <c r="M554" s="14"/>
      <c r="N554" s="14"/>
      <c r="O554" s="166"/>
      <c r="P554" s="14"/>
      <c r="R554" s="246"/>
      <c r="S554" s="216"/>
      <c r="V554" s="197"/>
    </row>
    <row r="555" spans="1:22" s="14" customFormat="1" ht="18" hidden="1" customHeight="1">
      <c r="A555" s="96"/>
      <c r="C555" s="30"/>
      <c r="D555" s="30"/>
      <c r="E555" s="30"/>
      <c r="G555" s="269"/>
      <c r="O555" s="30"/>
      <c r="P555" s="30"/>
      <c r="Q555" s="30"/>
      <c r="R555" s="246"/>
      <c r="S555" s="216"/>
      <c r="T555" s="30"/>
      <c r="U555" s="30"/>
      <c r="V555" s="197"/>
    </row>
    <row r="556" spans="1:22" ht="18" hidden="1" customHeight="1">
      <c r="A556" s="96"/>
      <c r="B556" s="14"/>
      <c r="G556" s="14"/>
      <c r="H556" s="14"/>
      <c r="I556" s="14"/>
      <c r="J556" s="14"/>
      <c r="K556" s="14"/>
      <c r="L556" s="14"/>
      <c r="M556" s="14"/>
      <c r="N556" s="14"/>
      <c r="R556" s="246"/>
      <c r="S556" s="216"/>
      <c r="V556" s="197"/>
    </row>
    <row r="557" spans="1:22" ht="18" hidden="1" customHeight="1">
      <c r="A557" s="96"/>
      <c r="B557" s="14"/>
      <c r="F557" s="27"/>
      <c r="G557" s="14"/>
      <c r="H557" s="14"/>
      <c r="I557" s="14"/>
      <c r="J557" s="14"/>
      <c r="K557" s="14"/>
      <c r="L557" s="14"/>
      <c r="M557" s="14"/>
      <c r="N557" s="14"/>
      <c r="R557" s="246"/>
      <c r="S557" s="216"/>
      <c r="V557" s="197"/>
    </row>
    <row r="558" spans="1:22" ht="18" hidden="1" customHeight="1">
      <c r="A558" s="96"/>
      <c r="B558" s="14"/>
      <c r="G558" s="14"/>
      <c r="H558" s="14"/>
      <c r="I558" s="14"/>
      <c r="J558" s="14"/>
      <c r="K558" s="14"/>
      <c r="L558" s="14"/>
      <c r="M558" s="14"/>
      <c r="N558" s="14"/>
      <c r="R558" s="246"/>
      <c r="S558" s="216"/>
      <c r="V558" s="197"/>
    </row>
    <row r="559" spans="1:22" ht="18" hidden="1" customHeight="1">
      <c r="A559" s="96"/>
      <c r="B559" s="14"/>
      <c r="D559" s="295"/>
      <c r="E559" s="296"/>
      <c r="F559" s="14"/>
      <c r="G559" s="14"/>
      <c r="H559" s="14"/>
      <c r="I559" s="296"/>
      <c r="J559" s="28"/>
      <c r="L559" s="291"/>
      <c r="M559" s="120"/>
      <c r="N559" s="47"/>
      <c r="O559" s="291"/>
      <c r="P559" s="248"/>
      <c r="Q559" s="248"/>
      <c r="R559" s="246"/>
      <c r="S559" s="216"/>
      <c r="V559" s="197"/>
    </row>
    <row r="560" spans="1:22" ht="18" hidden="1" customHeight="1">
      <c r="A560" s="96"/>
      <c r="B560" s="14"/>
      <c r="D560" s="230"/>
      <c r="E560" s="296"/>
      <c r="F560" s="297"/>
      <c r="G560" s="298"/>
      <c r="H560" s="297"/>
      <c r="I560" s="296"/>
      <c r="J560" s="28"/>
      <c r="L560" s="291"/>
      <c r="M560" s="120"/>
      <c r="N560" s="225"/>
      <c r="O560" s="291"/>
      <c r="P560" s="248"/>
      <c r="Q560" s="248"/>
      <c r="R560" s="246"/>
      <c r="S560" s="216"/>
      <c r="V560" s="197"/>
    </row>
    <row r="561" spans="1:22" ht="18" hidden="1" customHeight="1">
      <c r="A561" s="96"/>
      <c r="B561" s="14"/>
      <c r="G561" s="14"/>
      <c r="H561" s="14"/>
      <c r="I561" s="14"/>
      <c r="J561" s="14"/>
      <c r="K561" s="14"/>
      <c r="L561" s="14"/>
      <c r="M561" s="14"/>
      <c r="N561" s="14"/>
      <c r="R561" s="246"/>
      <c r="S561" s="216"/>
      <c r="V561" s="197"/>
    </row>
    <row r="562" spans="1:22" ht="18" hidden="1" customHeight="1">
      <c r="A562" s="96"/>
      <c r="B562" s="14"/>
      <c r="G562" s="14"/>
      <c r="H562" s="18"/>
      <c r="I562" s="14"/>
      <c r="J562" s="14"/>
      <c r="K562" s="14"/>
      <c r="L562" s="14"/>
      <c r="M562" s="14"/>
      <c r="N562" s="14"/>
      <c r="R562" s="246"/>
      <c r="S562" s="216"/>
      <c r="V562" s="197"/>
    </row>
    <row r="563" spans="1:22" ht="18" hidden="1" customHeight="1">
      <c r="A563" s="96"/>
      <c r="B563" s="14"/>
      <c r="G563" s="14"/>
      <c r="H563" s="18"/>
      <c r="I563" s="14"/>
      <c r="J563" s="14"/>
      <c r="K563" s="14"/>
      <c r="L563" s="14"/>
      <c r="M563" s="14"/>
      <c r="N563" s="14"/>
      <c r="R563" s="246"/>
      <c r="S563" s="216"/>
      <c r="V563" s="197"/>
    </row>
    <row r="564" spans="1:22" ht="18" hidden="1" customHeight="1">
      <c r="A564" s="96"/>
      <c r="B564" s="14"/>
      <c r="G564" s="14"/>
      <c r="H564" s="14"/>
      <c r="I564" s="14"/>
      <c r="J564" s="14"/>
      <c r="K564" s="14"/>
      <c r="L564" s="14"/>
      <c r="M564" s="14"/>
      <c r="N564" s="14"/>
      <c r="R564" s="246"/>
      <c r="S564" s="216"/>
      <c r="V564" s="197"/>
    </row>
    <row r="565" spans="1:22" ht="18" hidden="1" customHeight="1">
      <c r="A565" s="206"/>
      <c r="B565" s="207"/>
      <c r="C565" s="207"/>
      <c r="D565" s="207"/>
      <c r="E565" s="207"/>
      <c r="F565" s="207"/>
      <c r="G565" s="207"/>
      <c r="H565" s="207"/>
      <c r="I565" s="207"/>
      <c r="J565" s="207"/>
      <c r="K565" s="207"/>
      <c r="L565" s="207"/>
      <c r="M565" s="207"/>
      <c r="N565" s="207"/>
      <c r="O565" s="207"/>
      <c r="P565" s="207"/>
      <c r="Q565" s="236"/>
      <c r="R565" s="194"/>
      <c r="S565" s="237"/>
      <c r="T565" s="207"/>
      <c r="U565" s="207"/>
      <c r="V565" s="140" t="s">
        <v>563</v>
      </c>
    </row>
    <row r="566" spans="1:22" ht="18" hidden="1" customHeight="1">
      <c r="A566" s="238"/>
      <c r="B566" s="239"/>
      <c r="C566" s="239"/>
      <c r="D566" s="239"/>
      <c r="E566" s="239"/>
      <c r="F566" s="239"/>
      <c r="G566" s="239"/>
      <c r="H566" s="239"/>
      <c r="I566" s="239"/>
      <c r="J566" s="239"/>
      <c r="K566" s="239"/>
      <c r="L566" s="239"/>
      <c r="M566" s="239"/>
      <c r="N566" s="239"/>
      <c r="O566" s="239"/>
      <c r="P566" s="239"/>
      <c r="Q566" s="239"/>
      <c r="R566" s="239"/>
      <c r="S566" s="239"/>
      <c r="T566" s="239"/>
      <c r="U566" s="239"/>
      <c r="V566" s="240"/>
    </row>
    <row r="567" spans="1:22" ht="18" hidden="1" customHeight="1">
      <c r="A567" s="274" t="s">
        <v>543</v>
      </c>
      <c r="B567" s="14"/>
      <c r="C567" s="14"/>
      <c r="D567" s="120"/>
      <c r="E567" s="120"/>
      <c r="F567" s="18"/>
      <c r="G567" s="18"/>
      <c r="H567" s="14"/>
      <c r="I567" s="14"/>
      <c r="J567" s="14"/>
      <c r="K567" s="14"/>
      <c r="L567" s="14"/>
      <c r="M567" s="14"/>
      <c r="N567" s="14"/>
      <c r="O567" s="14"/>
      <c r="P567" s="28"/>
      <c r="Q567" s="120"/>
      <c r="R567" s="47"/>
      <c r="S567" s="218"/>
      <c r="T567" s="271"/>
      <c r="U567" s="14"/>
      <c r="V567" s="97"/>
    </row>
    <row r="568" spans="1:22" ht="18" hidden="1" customHeight="1">
      <c r="A568" s="614" t="s">
        <v>97</v>
      </c>
      <c r="B568" s="620"/>
      <c r="C568" s="1081"/>
      <c r="D568" s="614" t="s">
        <v>98</v>
      </c>
      <c r="E568" s="1084"/>
      <c r="F568" s="1084"/>
      <c r="G568" s="1081"/>
      <c r="H568" s="614" t="s">
        <v>99</v>
      </c>
      <c r="I568" s="615"/>
      <c r="J568" s="614" t="s">
        <v>100</v>
      </c>
      <c r="K568" s="1081"/>
      <c r="L568" s="614" t="s">
        <v>513</v>
      </c>
      <c r="M568" s="620"/>
      <c r="N568" s="615" t="s">
        <v>567</v>
      </c>
      <c r="O568" s="614" t="s">
        <v>568</v>
      </c>
      <c r="P568" s="620"/>
      <c r="Q568" s="1081"/>
      <c r="R568" s="614" t="s">
        <v>569</v>
      </c>
      <c r="S568" s="1086"/>
      <c r="T568" s="1082"/>
      <c r="U568" s="614" t="s">
        <v>516</v>
      </c>
      <c r="V568" s="1069"/>
    </row>
    <row r="569" spans="1:22" ht="18" hidden="1" customHeight="1">
      <c r="A569" s="616"/>
      <c r="B569" s="621"/>
      <c r="C569" s="1082"/>
      <c r="D569" s="1085"/>
      <c r="E569" s="1086"/>
      <c r="F569" s="1086"/>
      <c r="G569" s="1082"/>
      <c r="H569" s="616"/>
      <c r="I569" s="617"/>
      <c r="J569" s="1085"/>
      <c r="K569" s="1082"/>
      <c r="L569" s="616"/>
      <c r="M569" s="621"/>
      <c r="N569" s="617"/>
      <c r="O569" s="616"/>
      <c r="P569" s="621"/>
      <c r="Q569" s="1082"/>
      <c r="R569" s="1085"/>
      <c r="S569" s="1086"/>
      <c r="T569" s="1082"/>
      <c r="U569" s="1070"/>
      <c r="V569" s="1071"/>
    </row>
    <row r="570" spans="1:22" ht="18" hidden="1" customHeight="1">
      <c r="A570" s="618"/>
      <c r="B570" s="622"/>
      <c r="C570" s="1083"/>
      <c r="D570" s="1087"/>
      <c r="E570" s="1088"/>
      <c r="F570" s="1088"/>
      <c r="G570" s="1083"/>
      <c r="H570" s="618"/>
      <c r="I570" s="619"/>
      <c r="J570" s="1087"/>
      <c r="K570" s="1083"/>
      <c r="L570" s="618"/>
      <c r="M570" s="622"/>
      <c r="N570" s="619"/>
      <c r="O570" s="618"/>
      <c r="P570" s="622"/>
      <c r="Q570" s="1083"/>
      <c r="R570" s="1087"/>
      <c r="S570" s="1088"/>
      <c r="T570" s="1083"/>
      <c r="U570" s="1072"/>
      <c r="V570" s="1073"/>
    </row>
    <row r="571" spans="1:22" ht="18" hidden="1" customHeight="1">
      <c r="A571" s="623" t="str">
        <f>B479</f>
        <v>CT1L1</v>
      </c>
      <c r="B571" s="1079" t="str">
        <f>B480</f>
        <v>CT1L2</v>
      </c>
      <c r="C571" s="624" t="str">
        <f>D479</f>
        <v>Core3</v>
      </c>
      <c r="D571" s="624">
        <f>H394</f>
        <v>5000</v>
      </c>
      <c r="E571" s="624">
        <f>J394</f>
        <v>4000</v>
      </c>
      <c r="F571" s="624">
        <f>L482</f>
        <v>3000</v>
      </c>
      <c r="G571" s="624">
        <f>O394</f>
        <v>1</v>
      </c>
      <c r="H571" s="624">
        <f>'CT-VT Burdens'!S19</f>
        <v>80</v>
      </c>
      <c r="I571" s="631">
        <f>'CT-VT Burdens'!S10</f>
        <v>2.5</v>
      </c>
      <c r="J571" s="612" t="str">
        <f>J395</f>
        <v>PX</v>
      </c>
      <c r="K571" s="612"/>
      <c r="L571" s="624">
        <f>H313</f>
        <v>20</v>
      </c>
      <c r="M571" s="624">
        <f>J396</f>
        <v>15</v>
      </c>
      <c r="N571" s="624">
        <f>L484</f>
        <v>10</v>
      </c>
      <c r="O571" s="624">
        <f>H314</f>
        <v>1000</v>
      </c>
      <c r="P571" s="624">
        <f>J397</f>
        <v>800</v>
      </c>
      <c r="Q571" s="624">
        <f>L485</f>
        <v>800</v>
      </c>
      <c r="R571" s="624">
        <f>H315</f>
        <v>20</v>
      </c>
      <c r="S571" s="624">
        <f>J398</f>
        <v>40</v>
      </c>
      <c r="T571" s="624">
        <f>L486</f>
        <v>50</v>
      </c>
      <c r="U571" s="705" t="str">
        <f>D402</f>
        <v>SEL487E</v>
      </c>
      <c r="V571" s="707"/>
    </row>
    <row r="572" spans="1:22" ht="18" hidden="1" customHeight="1">
      <c r="A572" s="623" t="str">
        <f>B480</f>
        <v>CT1L2</v>
      </c>
      <c r="B572" s="1079">
        <f>A481</f>
        <v>0</v>
      </c>
      <c r="C572" s="1076"/>
      <c r="D572" s="1076"/>
      <c r="E572" s="1076"/>
      <c r="F572" s="1076"/>
      <c r="G572" s="1076"/>
      <c r="H572" s="1076"/>
      <c r="I572" s="1076"/>
      <c r="J572" s="1078"/>
      <c r="K572" s="1078"/>
      <c r="L572" s="1076"/>
      <c r="M572" s="1076"/>
      <c r="N572" s="1076"/>
      <c r="O572" s="1076"/>
      <c r="P572" s="1076"/>
      <c r="Q572" s="1076"/>
      <c r="R572" s="1076"/>
      <c r="S572" s="1076"/>
      <c r="T572" s="1076"/>
      <c r="U572" s="705"/>
      <c r="V572" s="707"/>
    </row>
    <row r="573" spans="1:22" ht="18" hidden="1" customHeight="1">
      <c r="A573" s="623">
        <f>A481</f>
        <v>0</v>
      </c>
      <c r="B573" s="1079" t="str">
        <f>B482</f>
        <v>CT Ratio:</v>
      </c>
      <c r="C573" s="1077"/>
      <c r="D573" s="1077"/>
      <c r="E573" s="1077"/>
      <c r="F573" s="1077"/>
      <c r="G573" s="1077"/>
      <c r="H573" s="1077"/>
      <c r="I573" s="1077"/>
      <c r="J573" s="1078"/>
      <c r="K573" s="1078"/>
      <c r="L573" s="1077"/>
      <c r="M573" s="1077"/>
      <c r="N573" s="1077"/>
      <c r="O573" s="1077"/>
      <c r="P573" s="1077"/>
      <c r="Q573" s="1077"/>
      <c r="R573" s="1077"/>
      <c r="S573" s="1077"/>
      <c r="T573" s="1077"/>
      <c r="U573" s="705"/>
      <c r="V573" s="707"/>
    </row>
    <row r="574" spans="1:22" ht="18" hidden="1" customHeight="1">
      <c r="A574" s="196"/>
      <c r="V574" s="197"/>
    </row>
    <row r="575" spans="1:22" ht="18" hidden="1" customHeight="1">
      <c r="A575" s="196"/>
      <c r="V575" s="197"/>
    </row>
    <row r="576" spans="1:22" ht="18" hidden="1" customHeight="1">
      <c r="A576" s="196"/>
      <c r="V576" s="197"/>
    </row>
    <row r="577" spans="1:22" ht="18" hidden="1" customHeight="1">
      <c r="A577" s="196"/>
      <c r="V577" s="197"/>
    </row>
    <row r="578" spans="1:22" ht="18" hidden="1" customHeight="1">
      <c r="A578" s="196"/>
      <c r="V578" s="197"/>
    </row>
    <row r="579" spans="1:22" ht="18" hidden="1" customHeight="1">
      <c r="A579" s="196"/>
      <c r="V579" s="197"/>
    </row>
    <row r="580" spans="1:22" ht="18" hidden="1" customHeight="1">
      <c r="A580" s="196"/>
      <c r="V580" s="197"/>
    </row>
    <row r="581" spans="1:22" ht="18" hidden="1" customHeight="1">
      <c r="A581" s="196"/>
      <c r="V581" s="197"/>
    </row>
    <row r="582" spans="1:22" ht="18" hidden="1" customHeight="1">
      <c r="A582" s="196"/>
      <c r="V582" s="197"/>
    </row>
    <row r="583" spans="1:22" ht="18" hidden="1" customHeight="1">
      <c r="A583" s="196"/>
      <c r="V583" s="197"/>
    </row>
    <row r="584" spans="1:22" ht="18" hidden="1" customHeight="1">
      <c r="A584" s="196"/>
      <c r="V584" s="197"/>
    </row>
    <row r="585" spans="1:22" ht="18" hidden="1" customHeight="1">
      <c r="A585" s="196"/>
      <c r="V585" s="197"/>
    </row>
    <row r="586" spans="1:22" ht="18" hidden="1" customHeight="1">
      <c r="A586" s="196"/>
      <c r="V586" s="197"/>
    </row>
    <row r="587" spans="1:22" ht="18" hidden="1" customHeight="1">
      <c r="A587" s="196"/>
      <c r="V587" s="197"/>
    </row>
    <row r="588" spans="1:22" ht="18" hidden="1" customHeight="1">
      <c r="A588" s="196"/>
      <c r="V588" s="197"/>
    </row>
    <row r="589" spans="1:22" ht="18" hidden="1" customHeight="1">
      <c r="A589" s="196"/>
      <c r="V589" s="197"/>
    </row>
    <row r="590" spans="1:22" ht="18" hidden="1" customHeight="1">
      <c r="A590" s="196"/>
      <c r="V590" s="197"/>
    </row>
    <row r="591" spans="1:22" ht="18" hidden="1" customHeight="1">
      <c r="A591" s="196"/>
      <c r="V591" s="197"/>
    </row>
    <row r="592" spans="1:22" ht="18" hidden="1" customHeight="1">
      <c r="A592" s="196"/>
      <c r="V592" s="197"/>
    </row>
    <row r="593" spans="1:22" ht="18" hidden="1" customHeight="1">
      <c r="A593" s="196"/>
      <c r="V593" s="197"/>
    </row>
    <row r="594" spans="1:22" ht="18" hidden="1" customHeight="1">
      <c r="A594" s="196"/>
      <c r="V594" s="197"/>
    </row>
    <row r="595" spans="1:22" ht="18" hidden="1" customHeight="1">
      <c r="A595" s="196"/>
      <c r="V595" s="197"/>
    </row>
    <row r="596" spans="1:22" ht="18" hidden="1" customHeight="1">
      <c r="A596" s="196"/>
      <c r="V596" s="197"/>
    </row>
    <row r="597" spans="1:22" ht="18" hidden="1" customHeight="1">
      <c r="A597" s="196"/>
      <c r="V597" s="197"/>
    </row>
    <row r="598" spans="1:22" ht="18" hidden="1" customHeight="1">
      <c r="A598" s="196"/>
      <c r="V598" s="197"/>
    </row>
    <row r="599" spans="1:22" ht="18" hidden="1" customHeight="1">
      <c r="A599" s="196"/>
      <c r="V599" s="197"/>
    </row>
    <row r="600" spans="1:22" ht="18" hidden="1" customHeight="1">
      <c r="A600" s="196"/>
      <c r="V600" s="197"/>
    </row>
    <row r="601" spans="1:22" ht="18" hidden="1" customHeight="1">
      <c r="A601" s="196"/>
      <c r="V601" s="197"/>
    </row>
    <row r="602" spans="1:22" ht="18" hidden="1" customHeight="1">
      <c r="A602" s="196"/>
      <c r="V602" s="197"/>
    </row>
    <row r="603" spans="1:22" ht="18" hidden="1" customHeight="1">
      <c r="A603" s="196"/>
      <c r="V603" s="197"/>
    </row>
    <row r="604" spans="1:22" s="14" customFormat="1" ht="18" hidden="1" customHeight="1">
      <c r="A604" s="196"/>
      <c r="B604" s="30"/>
      <c r="C604" s="30"/>
      <c r="D604" s="30"/>
      <c r="E604" s="30"/>
      <c r="F604" s="30"/>
      <c r="G604" s="30"/>
      <c r="H604" s="30"/>
      <c r="I604" s="30"/>
      <c r="J604" s="30"/>
      <c r="K604" s="30"/>
      <c r="L604" s="30"/>
      <c r="M604" s="30"/>
      <c r="N604" s="30"/>
      <c r="O604" s="30"/>
      <c r="P604" s="30"/>
      <c r="Q604" s="30"/>
      <c r="R604" s="30"/>
      <c r="S604" s="30"/>
      <c r="T604" s="30"/>
      <c r="U604" s="30"/>
      <c r="V604" s="197"/>
    </row>
    <row r="605" spans="1:22" ht="18" hidden="1" customHeight="1">
      <c r="A605" s="196"/>
      <c r="V605" s="197"/>
    </row>
    <row r="606" spans="1:22" ht="18" hidden="1" customHeight="1">
      <c r="A606" s="196"/>
      <c r="V606" s="197"/>
    </row>
    <row r="607" spans="1:22" ht="18" hidden="1" customHeight="1">
      <c r="A607" s="196"/>
      <c r="V607" s="197"/>
    </row>
    <row r="608" spans="1:22" ht="18" hidden="1" customHeight="1">
      <c r="A608" s="196"/>
      <c r="V608" s="197"/>
    </row>
    <row r="609" spans="1:22" ht="18" hidden="1" customHeight="1">
      <c r="A609" s="206"/>
      <c r="B609" s="207"/>
      <c r="C609" s="207"/>
      <c r="D609" s="207"/>
      <c r="E609" s="207"/>
      <c r="F609" s="207"/>
      <c r="G609" s="207"/>
      <c r="H609" s="207"/>
      <c r="I609" s="207"/>
      <c r="J609" s="207"/>
      <c r="K609" s="207"/>
      <c r="L609" s="207"/>
      <c r="M609" s="207"/>
      <c r="N609" s="207"/>
      <c r="O609" s="207"/>
      <c r="P609" s="207"/>
      <c r="Q609" s="236"/>
      <c r="R609" s="194"/>
      <c r="S609" s="237"/>
      <c r="T609" s="207"/>
      <c r="U609" s="207"/>
      <c r="V609" s="140" t="s">
        <v>563</v>
      </c>
    </row>
  </sheetData>
  <mergeCells count="59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A9:B9"/>
    <mergeCell ref="C9:D9"/>
    <mergeCell ref="H9:I9"/>
    <mergeCell ref="J9:K9"/>
    <mergeCell ref="L9:M9"/>
    <mergeCell ref="T9:U9"/>
    <mergeCell ref="B7:C7"/>
    <mergeCell ref="D7:E8"/>
    <mergeCell ref="H7:M7"/>
    <mergeCell ref="T7:U7"/>
    <mergeCell ref="B8:C8"/>
    <mergeCell ref="T8:U8"/>
    <mergeCell ref="AB13:AC13"/>
    <mergeCell ref="H14:I14"/>
    <mergeCell ref="J18:K18"/>
    <mergeCell ref="J19:K19"/>
    <mergeCell ref="J20:K20"/>
    <mergeCell ref="J21:K21"/>
    <mergeCell ref="H10:I10"/>
    <mergeCell ref="J10:K10"/>
    <mergeCell ref="L10:M10"/>
    <mergeCell ref="H11:I11"/>
    <mergeCell ref="H12:I12"/>
    <mergeCell ref="H13:I13"/>
    <mergeCell ref="O41:P41"/>
    <mergeCell ref="O42:P42"/>
    <mergeCell ref="O43:P43"/>
    <mergeCell ref="J22:K22"/>
    <mergeCell ref="D27:E27"/>
    <mergeCell ref="O27:P27"/>
    <mergeCell ref="O31:P31"/>
    <mergeCell ref="O32:P32"/>
    <mergeCell ref="O33:P33"/>
    <mergeCell ref="B50:B51"/>
    <mergeCell ref="C50:C51"/>
    <mergeCell ref="D50:D51"/>
    <mergeCell ref="E50:E51"/>
    <mergeCell ref="F50:G51"/>
    <mergeCell ref="H50:H51"/>
    <mergeCell ref="J35:K35"/>
    <mergeCell ref="J36:K36"/>
    <mergeCell ref="J37:K37"/>
    <mergeCell ref="O50:O51"/>
    <mergeCell ref="U50:U51"/>
    <mergeCell ref="S53:T53"/>
    <mergeCell ref="S54:T54"/>
    <mergeCell ref="S55:T55"/>
    <mergeCell ref="S56:T56"/>
    <mergeCell ref="I50:I51"/>
    <mergeCell ref="J50:J51"/>
    <mergeCell ref="K50:K51"/>
    <mergeCell ref="L50:L51"/>
    <mergeCell ref="M50:M51"/>
    <mergeCell ref="N50:N51"/>
    <mergeCell ref="K62:K63"/>
    <mergeCell ref="L62:L63"/>
    <mergeCell ref="M62:M63"/>
    <mergeCell ref="N62:N63"/>
    <mergeCell ref="O62:O63"/>
    <mergeCell ref="U62:U63"/>
    <mergeCell ref="S57:T57"/>
    <mergeCell ref="S58:T58"/>
    <mergeCell ref="B62:B63"/>
    <mergeCell ref="C62:C63"/>
    <mergeCell ref="D62:D63"/>
    <mergeCell ref="E62:E63"/>
    <mergeCell ref="F62:G63"/>
    <mergeCell ref="H62:H63"/>
    <mergeCell ref="I62:I63"/>
    <mergeCell ref="J62:J63"/>
    <mergeCell ref="J65:J66"/>
    <mergeCell ref="K65:K66"/>
    <mergeCell ref="L65:L66"/>
    <mergeCell ref="M65:M66"/>
    <mergeCell ref="N65:N66"/>
    <mergeCell ref="O65:O66"/>
    <mergeCell ref="C65:C66"/>
    <mergeCell ref="D65:D66"/>
    <mergeCell ref="E65:E66"/>
    <mergeCell ref="F65:G66"/>
    <mergeCell ref="H65:H66"/>
    <mergeCell ref="I65:I66"/>
    <mergeCell ref="T89:U89"/>
    <mergeCell ref="B90:C90"/>
    <mergeCell ref="T90:U90"/>
    <mergeCell ref="H91:I91"/>
    <mergeCell ref="J91:K91"/>
    <mergeCell ref="L91:M91"/>
    <mergeCell ref="T91:U91"/>
    <mergeCell ref="D68:E68"/>
    <mergeCell ref="E71:F71"/>
    <mergeCell ref="H71:I71"/>
    <mergeCell ref="B89:C89"/>
    <mergeCell ref="D89:E90"/>
    <mergeCell ref="H89:M89"/>
    <mergeCell ref="AB95:AC95"/>
    <mergeCell ref="J96:K96"/>
    <mergeCell ref="J100:K100"/>
    <mergeCell ref="J101:K101"/>
    <mergeCell ref="J102:K102"/>
    <mergeCell ref="J103:K103"/>
    <mergeCell ref="H92:I92"/>
    <mergeCell ref="J92:K92"/>
    <mergeCell ref="L92:M92"/>
    <mergeCell ref="J93:K93"/>
    <mergeCell ref="J94:K94"/>
    <mergeCell ref="J95:K95"/>
    <mergeCell ref="O123:P123"/>
    <mergeCell ref="O124:P124"/>
    <mergeCell ref="O125:P125"/>
    <mergeCell ref="J104:K104"/>
    <mergeCell ref="D109:E109"/>
    <mergeCell ref="O109:P109"/>
    <mergeCell ref="O113:P113"/>
    <mergeCell ref="O114:P114"/>
    <mergeCell ref="O115:P115"/>
    <mergeCell ref="B132:B133"/>
    <mergeCell ref="C132:C133"/>
    <mergeCell ref="D132:D133"/>
    <mergeCell ref="E132:E133"/>
    <mergeCell ref="F132:G133"/>
    <mergeCell ref="H132:H133"/>
    <mergeCell ref="J117:K117"/>
    <mergeCell ref="J118:K118"/>
    <mergeCell ref="J119:K119"/>
    <mergeCell ref="O132:O133"/>
    <mergeCell ref="U132:U133"/>
    <mergeCell ref="S135:T135"/>
    <mergeCell ref="S136:T136"/>
    <mergeCell ref="S137:T137"/>
    <mergeCell ref="S138:T138"/>
    <mergeCell ref="I132:I133"/>
    <mergeCell ref="J132:J133"/>
    <mergeCell ref="K132:K133"/>
    <mergeCell ref="L132:L133"/>
    <mergeCell ref="M132:M133"/>
    <mergeCell ref="N132:N133"/>
    <mergeCell ref="K144:K145"/>
    <mergeCell ref="L144:L145"/>
    <mergeCell ref="M144:M145"/>
    <mergeCell ref="N144:N145"/>
    <mergeCell ref="O144:O145"/>
    <mergeCell ref="U144:U145"/>
    <mergeCell ref="S139:T139"/>
    <mergeCell ref="S140:T140"/>
    <mergeCell ref="B144:B145"/>
    <mergeCell ref="C144:C145"/>
    <mergeCell ref="D144:D145"/>
    <mergeCell ref="E144:E145"/>
    <mergeCell ref="F144:G145"/>
    <mergeCell ref="H144:H145"/>
    <mergeCell ref="I144:I145"/>
    <mergeCell ref="J144:J145"/>
    <mergeCell ref="J147:J148"/>
    <mergeCell ref="K147:K148"/>
    <mergeCell ref="L147:L148"/>
    <mergeCell ref="M147:M148"/>
    <mergeCell ref="N147:N148"/>
    <mergeCell ref="O147:O148"/>
    <mergeCell ref="C147:C148"/>
    <mergeCell ref="D147:D148"/>
    <mergeCell ref="E147:E148"/>
    <mergeCell ref="F147:G148"/>
    <mergeCell ref="H147:H148"/>
    <mergeCell ref="I147:I148"/>
    <mergeCell ref="T171:U171"/>
    <mergeCell ref="B172:C172"/>
    <mergeCell ref="T172:U172"/>
    <mergeCell ref="H173:I173"/>
    <mergeCell ref="J173:K173"/>
    <mergeCell ref="L173:M173"/>
    <mergeCell ref="T173:U173"/>
    <mergeCell ref="D150:E150"/>
    <mergeCell ref="E153:F153"/>
    <mergeCell ref="H153:I153"/>
    <mergeCell ref="B171:C171"/>
    <mergeCell ref="D171:E172"/>
    <mergeCell ref="H171:M171"/>
    <mergeCell ref="AB177:AC177"/>
    <mergeCell ref="L178:M178"/>
    <mergeCell ref="J182:K182"/>
    <mergeCell ref="J183:K183"/>
    <mergeCell ref="J184:K184"/>
    <mergeCell ref="J185:K185"/>
    <mergeCell ref="H174:I174"/>
    <mergeCell ref="J174:K174"/>
    <mergeCell ref="L174:M174"/>
    <mergeCell ref="L175:M175"/>
    <mergeCell ref="L176:M176"/>
    <mergeCell ref="L177:M177"/>
    <mergeCell ref="O205:P205"/>
    <mergeCell ref="O206:P206"/>
    <mergeCell ref="O207:P207"/>
    <mergeCell ref="J186:K186"/>
    <mergeCell ref="D191:E191"/>
    <mergeCell ref="O191:P191"/>
    <mergeCell ref="O195:P195"/>
    <mergeCell ref="O196:P196"/>
    <mergeCell ref="O197:P197"/>
    <mergeCell ref="B217:B218"/>
    <mergeCell ref="C217:C218"/>
    <mergeCell ref="D217:D218"/>
    <mergeCell ref="E217:E218"/>
    <mergeCell ref="F217:G218"/>
    <mergeCell ref="H217:H218"/>
    <mergeCell ref="J199:K199"/>
    <mergeCell ref="J200:K200"/>
    <mergeCell ref="J201:K201"/>
    <mergeCell ref="O217:O218"/>
    <mergeCell ref="U217:U218"/>
    <mergeCell ref="S220:T220"/>
    <mergeCell ref="S221:T221"/>
    <mergeCell ref="S222:T222"/>
    <mergeCell ref="S223:T223"/>
    <mergeCell ref="I217:I218"/>
    <mergeCell ref="J217:J218"/>
    <mergeCell ref="K217:K218"/>
    <mergeCell ref="L217:L218"/>
    <mergeCell ref="M217:M218"/>
    <mergeCell ref="N217:N218"/>
    <mergeCell ref="K229:K230"/>
    <mergeCell ref="L229:L230"/>
    <mergeCell ref="M229:M230"/>
    <mergeCell ref="N229:N230"/>
    <mergeCell ref="O229:O230"/>
    <mergeCell ref="U229:U230"/>
    <mergeCell ref="S224:T224"/>
    <mergeCell ref="S225:T225"/>
    <mergeCell ref="B229:B230"/>
    <mergeCell ref="C229:C230"/>
    <mergeCell ref="D229:D230"/>
    <mergeCell ref="E229:E230"/>
    <mergeCell ref="F229:G230"/>
    <mergeCell ref="H229:H230"/>
    <mergeCell ref="I229:I230"/>
    <mergeCell ref="J229:J230"/>
    <mergeCell ref="M232:M233"/>
    <mergeCell ref="N232:N233"/>
    <mergeCell ref="O232:O233"/>
    <mergeCell ref="C232:C233"/>
    <mergeCell ref="D232:D233"/>
    <mergeCell ref="E232:E233"/>
    <mergeCell ref="F232:G233"/>
    <mergeCell ref="H232:H233"/>
    <mergeCell ref="I232:I233"/>
    <mergeCell ref="D235:E235"/>
    <mergeCell ref="E238:F238"/>
    <mergeCell ref="H238:I238"/>
    <mergeCell ref="A260:C263"/>
    <mergeCell ref="D260:F263"/>
    <mergeCell ref="G260:H263"/>
    <mergeCell ref="I260:J263"/>
    <mergeCell ref="J232:J233"/>
    <mergeCell ref="K232:K233"/>
    <mergeCell ref="K260:L263"/>
    <mergeCell ref="L232:L233"/>
    <mergeCell ref="M260:N263"/>
    <mergeCell ref="O260:P263"/>
    <mergeCell ref="Q260:R263"/>
    <mergeCell ref="S260:V263"/>
    <mergeCell ref="A264:A266"/>
    <mergeCell ref="B264:C266"/>
    <mergeCell ref="D264:E264"/>
    <mergeCell ref="F264:F266"/>
    <mergeCell ref="G264:G266"/>
    <mergeCell ref="S264:V264"/>
    <mergeCell ref="D265:E265"/>
    <mergeCell ref="K265:L265"/>
    <mergeCell ref="M265:N265"/>
    <mergeCell ref="O265:P265"/>
    <mergeCell ref="S265:V265"/>
    <mergeCell ref="H264:H266"/>
    <mergeCell ref="I264:J266"/>
    <mergeCell ref="K264:L264"/>
    <mergeCell ref="M264:N264"/>
    <mergeCell ref="O264:P264"/>
    <mergeCell ref="Q264:R266"/>
    <mergeCell ref="O303:Q303"/>
    <mergeCell ref="R303:V303"/>
    <mergeCell ref="A304:G305"/>
    <mergeCell ref="H304:N305"/>
    <mergeCell ref="O304:Q304"/>
    <mergeCell ref="R304:V304"/>
    <mergeCell ref="O305:Q305"/>
    <mergeCell ref="R305:V305"/>
    <mergeCell ref="D266:E266"/>
    <mergeCell ref="K266:L266"/>
    <mergeCell ref="M266:N266"/>
    <mergeCell ref="O266:P266"/>
    <mergeCell ref="S266:V266"/>
    <mergeCell ref="A302:G303"/>
    <mergeCell ref="H302:N302"/>
    <mergeCell ref="O302:Q302"/>
    <mergeCell ref="R302:V302"/>
    <mergeCell ref="H303:N303"/>
    <mergeCell ref="A306:B306"/>
    <mergeCell ref="D306:F306"/>
    <mergeCell ref="H306:N306"/>
    <mergeCell ref="O306:Q306"/>
    <mergeCell ref="R306:V306"/>
    <mergeCell ref="B308:C308"/>
    <mergeCell ref="D308:E309"/>
    <mergeCell ref="H308:M308"/>
    <mergeCell ref="T308:U308"/>
    <mergeCell ref="B309:C309"/>
    <mergeCell ref="D328:E328"/>
    <mergeCell ref="O328:P328"/>
    <mergeCell ref="H312:I312"/>
    <mergeCell ref="H313:I313"/>
    <mergeCell ref="H314:I314"/>
    <mergeCell ref="AB314:AC314"/>
    <mergeCell ref="H315:I315"/>
    <mergeCell ref="J319:K319"/>
    <mergeCell ref="T309:U309"/>
    <mergeCell ref="H310:I310"/>
    <mergeCell ref="J310:K310"/>
    <mergeCell ref="L310:M310"/>
    <mergeCell ref="T310:U310"/>
    <mergeCell ref="H311:I311"/>
    <mergeCell ref="J311:K311"/>
    <mergeCell ref="L311:M311"/>
    <mergeCell ref="O332:P332"/>
    <mergeCell ref="O333:P333"/>
    <mergeCell ref="O334:P334"/>
    <mergeCell ref="J336:K336"/>
    <mergeCell ref="J337:K337"/>
    <mergeCell ref="J338:K338"/>
    <mergeCell ref="J320:K320"/>
    <mergeCell ref="J321:K321"/>
    <mergeCell ref="J322:K322"/>
    <mergeCell ref="J323:K323"/>
    <mergeCell ref="O342:P342"/>
    <mergeCell ref="O343:P343"/>
    <mergeCell ref="O344:P344"/>
    <mergeCell ref="B349:B350"/>
    <mergeCell ref="C349:C350"/>
    <mergeCell ref="D349:D350"/>
    <mergeCell ref="E349:E350"/>
    <mergeCell ref="F349:G350"/>
    <mergeCell ref="H349:H350"/>
    <mergeCell ref="I349:I350"/>
    <mergeCell ref="U349:U350"/>
    <mergeCell ref="S352:T352"/>
    <mergeCell ref="S353:T353"/>
    <mergeCell ref="S354:T354"/>
    <mergeCell ref="S355:T355"/>
    <mergeCell ref="S356:T356"/>
    <mergeCell ref="J349:J350"/>
    <mergeCell ref="K349:K350"/>
    <mergeCell ref="L349:L350"/>
    <mergeCell ref="M349:M350"/>
    <mergeCell ref="N349:N350"/>
    <mergeCell ref="O349:O350"/>
    <mergeCell ref="S357:T357"/>
    <mergeCell ref="B361:B362"/>
    <mergeCell ref="C361:C362"/>
    <mergeCell ref="D361:D362"/>
    <mergeCell ref="E361:E362"/>
    <mergeCell ref="F361:G362"/>
    <mergeCell ref="H361:H362"/>
    <mergeCell ref="I361:I362"/>
    <mergeCell ref="J361:J362"/>
    <mergeCell ref="K361:K362"/>
    <mergeCell ref="L361:L362"/>
    <mergeCell ref="M361:M362"/>
    <mergeCell ref="N361:N362"/>
    <mergeCell ref="O361:O362"/>
    <mergeCell ref="U361:U362"/>
    <mergeCell ref="C364:C365"/>
    <mergeCell ref="D364:D365"/>
    <mergeCell ref="E364:E365"/>
    <mergeCell ref="F364:G365"/>
    <mergeCell ref="H364:H365"/>
    <mergeCell ref="T391:U391"/>
    <mergeCell ref="B392:C392"/>
    <mergeCell ref="T392:U392"/>
    <mergeCell ref="H393:I393"/>
    <mergeCell ref="J393:K393"/>
    <mergeCell ref="L393:M393"/>
    <mergeCell ref="T393:U393"/>
    <mergeCell ref="O364:O365"/>
    <mergeCell ref="D367:E367"/>
    <mergeCell ref="E370:F370"/>
    <mergeCell ref="H370:I370"/>
    <mergeCell ref="B391:C391"/>
    <mergeCell ref="D391:E392"/>
    <mergeCell ref="H391:M391"/>
    <mergeCell ref="I364:I365"/>
    <mergeCell ref="J364:J365"/>
    <mergeCell ref="K364:K365"/>
    <mergeCell ref="L364:L365"/>
    <mergeCell ref="M364:M365"/>
    <mergeCell ref="N364:N365"/>
    <mergeCell ref="AB397:AC397"/>
    <mergeCell ref="J398:K398"/>
    <mergeCell ref="J402:K402"/>
    <mergeCell ref="J403:K403"/>
    <mergeCell ref="J404:K404"/>
    <mergeCell ref="J405:K405"/>
    <mergeCell ref="H394:I394"/>
    <mergeCell ref="J394:K394"/>
    <mergeCell ref="L394:M394"/>
    <mergeCell ref="J395:K395"/>
    <mergeCell ref="J396:K396"/>
    <mergeCell ref="J397:K397"/>
    <mergeCell ref="O425:P425"/>
    <mergeCell ref="O426:P426"/>
    <mergeCell ref="O427:P427"/>
    <mergeCell ref="J406:K406"/>
    <mergeCell ref="D411:E411"/>
    <mergeCell ref="O411:P411"/>
    <mergeCell ref="O415:P415"/>
    <mergeCell ref="O416:P416"/>
    <mergeCell ref="O417:P417"/>
    <mergeCell ref="B437:B438"/>
    <mergeCell ref="C437:C438"/>
    <mergeCell ref="D437:D438"/>
    <mergeCell ref="E437:E438"/>
    <mergeCell ref="F437:G438"/>
    <mergeCell ref="H437:H438"/>
    <mergeCell ref="J419:K419"/>
    <mergeCell ref="J420:K420"/>
    <mergeCell ref="J421:K421"/>
    <mergeCell ref="O437:O438"/>
    <mergeCell ref="U437:U438"/>
    <mergeCell ref="S440:T440"/>
    <mergeCell ref="S441:T441"/>
    <mergeCell ref="S442:T442"/>
    <mergeCell ref="S443:T443"/>
    <mergeCell ref="I437:I438"/>
    <mergeCell ref="J437:J438"/>
    <mergeCell ref="K437:K438"/>
    <mergeCell ref="L437:L438"/>
    <mergeCell ref="M437:M438"/>
    <mergeCell ref="N437:N438"/>
    <mergeCell ref="K449:K450"/>
    <mergeCell ref="L449:L450"/>
    <mergeCell ref="M449:M450"/>
    <mergeCell ref="N449:N450"/>
    <mergeCell ref="O449:O450"/>
    <mergeCell ref="U449:U450"/>
    <mergeCell ref="S444:T444"/>
    <mergeCell ref="S445:T445"/>
    <mergeCell ref="B449:B450"/>
    <mergeCell ref="C449:C450"/>
    <mergeCell ref="D449:D450"/>
    <mergeCell ref="E449:E450"/>
    <mergeCell ref="F449:G450"/>
    <mergeCell ref="H449:H450"/>
    <mergeCell ref="I449:I450"/>
    <mergeCell ref="J449:J450"/>
    <mergeCell ref="J452:J453"/>
    <mergeCell ref="K452:K453"/>
    <mergeCell ref="L452:L453"/>
    <mergeCell ref="M452:M453"/>
    <mergeCell ref="N452:N453"/>
    <mergeCell ref="O452:O453"/>
    <mergeCell ref="C452:C453"/>
    <mergeCell ref="D452:D453"/>
    <mergeCell ref="E452:E453"/>
    <mergeCell ref="F452:G453"/>
    <mergeCell ref="H452:H453"/>
    <mergeCell ref="I452:I453"/>
    <mergeCell ref="T479:U479"/>
    <mergeCell ref="B480:C480"/>
    <mergeCell ref="T480:U480"/>
    <mergeCell ref="H481:I481"/>
    <mergeCell ref="J481:K481"/>
    <mergeCell ref="L481:M481"/>
    <mergeCell ref="T481:U481"/>
    <mergeCell ref="D455:E455"/>
    <mergeCell ref="E458:F458"/>
    <mergeCell ref="H458:I458"/>
    <mergeCell ref="B479:C479"/>
    <mergeCell ref="D479:E480"/>
    <mergeCell ref="H479:M479"/>
    <mergeCell ref="AB485:AC485"/>
    <mergeCell ref="L486:M486"/>
    <mergeCell ref="J490:K490"/>
    <mergeCell ref="J491:K491"/>
    <mergeCell ref="J492:K492"/>
    <mergeCell ref="J493:K493"/>
    <mergeCell ref="H482:I482"/>
    <mergeCell ref="J482:K482"/>
    <mergeCell ref="L482:M482"/>
    <mergeCell ref="L483:M483"/>
    <mergeCell ref="L484:M484"/>
    <mergeCell ref="L485:M485"/>
    <mergeCell ref="O513:P513"/>
    <mergeCell ref="O514:P514"/>
    <mergeCell ref="O515:P515"/>
    <mergeCell ref="J494:K494"/>
    <mergeCell ref="D499:E499"/>
    <mergeCell ref="O499:P499"/>
    <mergeCell ref="O503:P503"/>
    <mergeCell ref="O504:P504"/>
    <mergeCell ref="O505:P505"/>
    <mergeCell ref="B525:B526"/>
    <mergeCell ref="C525:C526"/>
    <mergeCell ref="D525:D526"/>
    <mergeCell ref="E525:E526"/>
    <mergeCell ref="F525:G526"/>
    <mergeCell ref="H525:H526"/>
    <mergeCell ref="J507:K507"/>
    <mergeCell ref="J508:K508"/>
    <mergeCell ref="J509:K509"/>
    <mergeCell ref="O525:O526"/>
    <mergeCell ref="U525:U526"/>
    <mergeCell ref="S528:T528"/>
    <mergeCell ref="S529:T529"/>
    <mergeCell ref="S530:T530"/>
    <mergeCell ref="S531:T531"/>
    <mergeCell ref="I525:I526"/>
    <mergeCell ref="J525:J526"/>
    <mergeCell ref="K525:K526"/>
    <mergeCell ref="L525:L526"/>
    <mergeCell ref="M525:M526"/>
    <mergeCell ref="N525:N526"/>
    <mergeCell ref="K537:K538"/>
    <mergeCell ref="L537:L538"/>
    <mergeCell ref="M537:M538"/>
    <mergeCell ref="N537:N538"/>
    <mergeCell ref="O537:O538"/>
    <mergeCell ref="U537:U538"/>
    <mergeCell ref="S532:T532"/>
    <mergeCell ref="S533:T533"/>
    <mergeCell ref="B537:B538"/>
    <mergeCell ref="C537:C538"/>
    <mergeCell ref="D537:D538"/>
    <mergeCell ref="E537:E538"/>
    <mergeCell ref="F537:G538"/>
    <mergeCell ref="H537:H538"/>
    <mergeCell ref="I537:I538"/>
    <mergeCell ref="J537:J538"/>
    <mergeCell ref="L540:L541"/>
    <mergeCell ref="J568:K570"/>
    <mergeCell ref="L568:N570"/>
    <mergeCell ref="M540:M541"/>
    <mergeCell ref="N540:N541"/>
    <mergeCell ref="O540:O541"/>
    <mergeCell ref="C540:C541"/>
    <mergeCell ref="D540:D541"/>
    <mergeCell ref="E540:E541"/>
    <mergeCell ref="F540:G541"/>
    <mergeCell ref="H540:H541"/>
    <mergeCell ref="I540:I541"/>
    <mergeCell ref="I571:I573"/>
    <mergeCell ref="J571:K573"/>
    <mergeCell ref="D543:E543"/>
    <mergeCell ref="E546:F546"/>
    <mergeCell ref="H546:I546"/>
    <mergeCell ref="A568:C570"/>
    <mergeCell ref="D568:G570"/>
    <mergeCell ref="H568:I570"/>
    <mergeCell ref="J540:J541"/>
    <mergeCell ref="K540:K541"/>
    <mergeCell ref="L571:L573"/>
    <mergeCell ref="M571:M573"/>
    <mergeCell ref="O568:Q570"/>
    <mergeCell ref="R568:T570"/>
    <mergeCell ref="U568:V570"/>
    <mergeCell ref="A571:B571"/>
    <mergeCell ref="C571:C573"/>
    <mergeCell ref="D571:D573"/>
    <mergeCell ref="E571:E573"/>
    <mergeCell ref="F571:F573"/>
    <mergeCell ref="T571:T573"/>
    <mergeCell ref="U571:V571"/>
    <mergeCell ref="A572:B572"/>
    <mergeCell ref="U572:V572"/>
    <mergeCell ref="A573:B573"/>
    <mergeCell ref="U573:V573"/>
    <mergeCell ref="N571:N573"/>
    <mergeCell ref="O571:O573"/>
    <mergeCell ref="P571:P573"/>
    <mergeCell ref="Q571:Q573"/>
    <mergeCell ref="R571:R573"/>
    <mergeCell ref="S571:S573"/>
    <mergeCell ref="G571:G573"/>
    <mergeCell ref="H571:H573"/>
  </mergeCells>
  <conditionalFormatting sqref="H72">
    <cfRule type="cellIs" dxfId="75" priority="10" stopIfTrue="1" operator="equal">
      <formula>"Under Dimentioned"</formula>
    </cfRule>
  </conditionalFormatting>
  <conditionalFormatting sqref="H154">
    <cfRule type="cellIs" dxfId="74" priority="9" stopIfTrue="1" operator="equal">
      <formula>"Under Dimentioned"</formula>
    </cfRule>
  </conditionalFormatting>
  <conditionalFormatting sqref="H239">
    <cfRule type="cellIs" dxfId="73" priority="7" stopIfTrue="1" operator="equal">
      <formula>"Under Dimentioned"</formula>
    </cfRule>
  </conditionalFormatting>
  <conditionalFormatting sqref="H254:H255">
    <cfRule type="cellIs" dxfId="72" priority="8" stopIfTrue="1" operator="equal">
      <formula>"Not OK"</formula>
    </cfRule>
  </conditionalFormatting>
  <conditionalFormatting sqref="H371">
    <cfRule type="cellIs" dxfId="71" priority="5" stopIfTrue="1" operator="equal">
      <formula>"Under Dimentioned"</formula>
    </cfRule>
  </conditionalFormatting>
  <conditionalFormatting sqref="H386:H387">
    <cfRule type="cellIs" dxfId="70" priority="6" stopIfTrue="1" operator="equal">
      <formula>"Not OK"</formula>
    </cfRule>
  </conditionalFormatting>
  <conditionalFormatting sqref="H459">
    <cfRule type="cellIs" dxfId="69" priority="3" stopIfTrue="1" operator="equal">
      <formula>"Under Dimentioned"</formula>
    </cfRule>
  </conditionalFormatting>
  <conditionalFormatting sqref="H474:H475">
    <cfRule type="cellIs" dxfId="68" priority="4" stopIfTrue="1" operator="equal">
      <formula>"Not OK"</formula>
    </cfRule>
  </conditionalFormatting>
  <conditionalFormatting sqref="H547">
    <cfRule type="cellIs" dxfId="67" priority="1" stopIfTrue="1" operator="equal">
      <formula>"Under Dimentioned"</formula>
    </cfRule>
  </conditionalFormatting>
  <conditionalFormatting sqref="H562:H563">
    <cfRule type="cellIs" dxfId="66" priority="2" stopIfTrue="1" operator="equal">
      <formula>"Not OK"</formula>
    </cfRule>
  </conditionalFormatting>
  <dataValidations count="1">
    <dataValidation type="list" allowBlank="1" showInputMessage="1" showErrorMessage="1" sqref="D479 IZ479 SV479 ACR479 AMN479 AWJ479 BGF479 BQB479 BZX479 CJT479 CTP479 DDL479 DNH479 DXD479 EGZ479 EQV479 FAR479 FKN479 FUJ479 GEF479 GOB479 GXX479 HHT479 HRP479 IBL479 ILH479 IVD479 JEZ479 JOV479 JYR479 KIN479 KSJ479 LCF479 LMB479 LVX479 MFT479 MPP479 MZL479 NJH479 NTD479 OCZ479 OMV479 OWR479 PGN479 PQJ479 QAF479 QKB479 QTX479 RDT479 RNP479 RXL479 SHH479 SRD479 TAZ479 TKV479 TUR479 UEN479 UOJ479 UYF479 VIB479 VRX479 WBT479 WLP479 WVL479 D66015 IZ66015 SV66015 ACR66015 AMN66015 AWJ66015 BGF66015 BQB66015 BZX66015 CJT66015 CTP66015 DDL66015 DNH66015 DXD66015 EGZ66015 EQV66015 FAR66015 FKN66015 FUJ66015 GEF66015 GOB66015 GXX66015 HHT66015 HRP66015 IBL66015 ILH66015 IVD66015 JEZ66015 JOV66015 JYR66015 KIN66015 KSJ66015 LCF66015 LMB66015 LVX66015 MFT66015 MPP66015 MZL66015 NJH66015 NTD66015 OCZ66015 OMV66015 OWR66015 PGN66015 PQJ66015 QAF66015 QKB66015 QTX66015 RDT66015 RNP66015 RXL66015 SHH66015 SRD66015 TAZ66015 TKV66015 TUR66015 UEN66015 UOJ66015 UYF66015 VIB66015 VRX66015 WBT66015 WLP66015 WVL66015 D131551 IZ131551 SV131551 ACR131551 AMN131551 AWJ131551 BGF131551 BQB131551 BZX131551 CJT131551 CTP131551 DDL131551 DNH131551 DXD131551 EGZ131551 EQV131551 FAR131551 FKN131551 FUJ131551 GEF131551 GOB131551 GXX131551 HHT131551 HRP131551 IBL131551 ILH131551 IVD131551 JEZ131551 JOV131551 JYR131551 KIN131551 KSJ131551 LCF131551 LMB131551 LVX131551 MFT131551 MPP131551 MZL131551 NJH131551 NTD131551 OCZ131551 OMV131551 OWR131551 PGN131551 PQJ131551 QAF131551 QKB131551 QTX131551 RDT131551 RNP131551 RXL131551 SHH131551 SRD131551 TAZ131551 TKV131551 TUR131551 UEN131551 UOJ131551 UYF131551 VIB131551 VRX131551 WBT131551 WLP131551 WVL131551 D197087 IZ197087 SV197087 ACR197087 AMN197087 AWJ197087 BGF197087 BQB197087 BZX197087 CJT197087 CTP197087 DDL197087 DNH197087 DXD197087 EGZ197087 EQV197087 FAR197087 FKN197087 FUJ197087 GEF197087 GOB197087 GXX197087 HHT197087 HRP197087 IBL197087 ILH197087 IVD197087 JEZ197087 JOV197087 JYR197087 KIN197087 KSJ197087 LCF197087 LMB197087 LVX197087 MFT197087 MPP197087 MZL197087 NJH197087 NTD197087 OCZ197087 OMV197087 OWR197087 PGN197087 PQJ197087 QAF197087 QKB197087 QTX197087 RDT197087 RNP197087 RXL197087 SHH197087 SRD197087 TAZ197087 TKV197087 TUR197087 UEN197087 UOJ197087 UYF197087 VIB197087 VRX197087 WBT197087 WLP197087 WVL197087 D262623 IZ262623 SV262623 ACR262623 AMN262623 AWJ262623 BGF262623 BQB262623 BZX262623 CJT262623 CTP262623 DDL262623 DNH262623 DXD262623 EGZ262623 EQV262623 FAR262623 FKN262623 FUJ262623 GEF262623 GOB262623 GXX262623 HHT262623 HRP262623 IBL262623 ILH262623 IVD262623 JEZ262623 JOV262623 JYR262623 KIN262623 KSJ262623 LCF262623 LMB262623 LVX262623 MFT262623 MPP262623 MZL262623 NJH262623 NTD262623 OCZ262623 OMV262623 OWR262623 PGN262623 PQJ262623 QAF262623 QKB262623 QTX262623 RDT262623 RNP262623 RXL262623 SHH262623 SRD262623 TAZ262623 TKV262623 TUR262623 UEN262623 UOJ262623 UYF262623 VIB262623 VRX262623 WBT262623 WLP262623 WVL262623 D328159 IZ328159 SV328159 ACR328159 AMN328159 AWJ328159 BGF328159 BQB328159 BZX328159 CJT328159 CTP328159 DDL328159 DNH328159 DXD328159 EGZ328159 EQV328159 FAR328159 FKN328159 FUJ328159 GEF328159 GOB328159 GXX328159 HHT328159 HRP328159 IBL328159 ILH328159 IVD328159 JEZ328159 JOV328159 JYR328159 KIN328159 KSJ328159 LCF328159 LMB328159 LVX328159 MFT328159 MPP328159 MZL328159 NJH328159 NTD328159 OCZ328159 OMV328159 OWR328159 PGN328159 PQJ328159 QAF328159 QKB328159 QTX328159 RDT328159 RNP328159 RXL328159 SHH328159 SRD328159 TAZ328159 TKV328159 TUR328159 UEN328159 UOJ328159 UYF328159 VIB328159 VRX328159 WBT328159 WLP328159 WVL328159 D393695 IZ393695 SV393695 ACR393695 AMN393695 AWJ393695 BGF393695 BQB393695 BZX393695 CJT393695 CTP393695 DDL393695 DNH393695 DXD393695 EGZ393695 EQV393695 FAR393695 FKN393695 FUJ393695 GEF393695 GOB393695 GXX393695 HHT393695 HRP393695 IBL393695 ILH393695 IVD393695 JEZ393695 JOV393695 JYR393695 KIN393695 KSJ393695 LCF393695 LMB393695 LVX393695 MFT393695 MPP393695 MZL393695 NJH393695 NTD393695 OCZ393695 OMV393695 OWR393695 PGN393695 PQJ393695 QAF393695 QKB393695 QTX393695 RDT393695 RNP393695 RXL393695 SHH393695 SRD393695 TAZ393695 TKV393695 TUR393695 UEN393695 UOJ393695 UYF393695 VIB393695 VRX393695 WBT393695 WLP393695 WVL393695 D459231 IZ459231 SV459231 ACR459231 AMN459231 AWJ459231 BGF459231 BQB459231 BZX459231 CJT459231 CTP459231 DDL459231 DNH459231 DXD459231 EGZ459231 EQV459231 FAR459231 FKN459231 FUJ459231 GEF459231 GOB459231 GXX459231 HHT459231 HRP459231 IBL459231 ILH459231 IVD459231 JEZ459231 JOV459231 JYR459231 KIN459231 KSJ459231 LCF459231 LMB459231 LVX459231 MFT459231 MPP459231 MZL459231 NJH459231 NTD459231 OCZ459231 OMV459231 OWR459231 PGN459231 PQJ459231 QAF459231 QKB459231 QTX459231 RDT459231 RNP459231 RXL459231 SHH459231 SRD459231 TAZ459231 TKV459231 TUR459231 UEN459231 UOJ459231 UYF459231 VIB459231 VRX459231 WBT459231 WLP459231 WVL459231 D524767 IZ524767 SV524767 ACR524767 AMN524767 AWJ524767 BGF524767 BQB524767 BZX524767 CJT524767 CTP524767 DDL524767 DNH524767 DXD524767 EGZ524767 EQV524767 FAR524767 FKN524767 FUJ524767 GEF524767 GOB524767 GXX524767 HHT524767 HRP524767 IBL524767 ILH524767 IVD524767 JEZ524767 JOV524767 JYR524767 KIN524767 KSJ524767 LCF524767 LMB524767 LVX524767 MFT524767 MPP524767 MZL524767 NJH524767 NTD524767 OCZ524767 OMV524767 OWR524767 PGN524767 PQJ524767 QAF524767 QKB524767 QTX524767 RDT524767 RNP524767 RXL524767 SHH524767 SRD524767 TAZ524767 TKV524767 TUR524767 UEN524767 UOJ524767 UYF524767 VIB524767 VRX524767 WBT524767 WLP524767 WVL524767 D590303 IZ590303 SV590303 ACR590303 AMN590303 AWJ590303 BGF590303 BQB590303 BZX590303 CJT590303 CTP590303 DDL590303 DNH590303 DXD590303 EGZ590303 EQV590303 FAR590303 FKN590303 FUJ590303 GEF590303 GOB590303 GXX590303 HHT590303 HRP590303 IBL590303 ILH590303 IVD590303 JEZ590303 JOV590303 JYR590303 KIN590303 KSJ590303 LCF590303 LMB590303 LVX590303 MFT590303 MPP590303 MZL590303 NJH590303 NTD590303 OCZ590303 OMV590303 OWR590303 PGN590303 PQJ590303 QAF590303 QKB590303 QTX590303 RDT590303 RNP590303 RXL590303 SHH590303 SRD590303 TAZ590303 TKV590303 TUR590303 UEN590303 UOJ590303 UYF590303 VIB590303 VRX590303 WBT590303 WLP590303 WVL590303 D655839 IZ655839 SV655839 ACR655839 AMN655839 AWJ655839 BGF655839 BQB655839 BZX655839 CJT655839 CTP655839 DDL655839 DNH655839 DXD655839 EGZ655839 EQV655839 FAR655839 FKN655839 FUJ655839 GEF655839 GOB655839 GXX655839 HHT655839 HRP655839 IBL655839 ILH655839 IVD655839 JEZ655839 JOV655839 JYR655839 KIN655839 KSJ655839 LCF655839 LMB655839 LVX655839 MFT655839 MPP655839 MZL655839 NJH655839 NTD655839 OCZ655839 OMV655839 OWR655839 PGN655839 PQJ655839 QAF655839 QKB655839 QTX655839 RDT655839 RNP655839 RXL655839 SHH655839 SRD655839 TAZ655839 TKV655839 TUR655839 UEN655839 UOJ655839 UYF655839 VIB655839 VRX655839 WBT655839 WLP655839 WVL655839 D721375 IZ721375 SV721375 ACR721375 AMN721375 AWJ721375 BGF721375 BQB721375 BZX721375 CJT721375 CTP721375 DDL721375 DNH721375 DXD721375 EGZ721375 EQV721375 FAR721375 FKN721375 FUJ721375 GEF721375 GOB721375 GXX721375 HHT721375 HRP721375 IBL721375 ILH721375 IVD721375 JEZ721375 JOV721375 JYR721375 KIN721375 KSJ721375 LCF721375 LMB721375 LVX721375 MFT721375 MPP721375 MZL721375 NJH721375 NTD721375 OCZ721375 OMV721375 OWR721375 PGN721375 PQJ721375 QAF721375 QKB721375 QTX721375 RDT721375 RNP721375 RXL721375 SHH721375 SRD721375 TAZ721375 TKV721375 TUR721375 UEN721375 UOJ721375 UYF721375 VIB721375 VRX721375 WBT721375 WLP721375 WVL721375 D786911 IZ786911 SV786911 ACR786911 AMN786911 AWJ786911 BGF786911 BQB786911 BZX786911 CJT786911 CTP786911 DDL786911 DNH786911 DXD786911 EGZ786911 EQV786911 FAR786911 FKN786911 FUJ786911 GEF786911 GOB786911 GXX786911 HHT786911 HRP786911 IBL786911 ILH786911 IVD786911 JEZ786911 JOV786911 JYR786911 KIN786911 KSJ786911 LCF786911 LMB786911 LVX786911 MFT786911 MPP786911 MZL786911 NJH786911 NTD786911 OCZ786911 OMV786911 OWR786911 PGN786911 PQJ786911 QAF786911 QKB786911 QTX786911 RDT786911 RNP786911 RXL786911 SHH786911 SRD786911 TAZ786911 TKV786911 TUR786911 UEN786911 UOJ786911 UYF786911 VIB786911 VRX786911 WBT786911 WLP786911 WVL786911 D852447 IZ852447 SV852447 ACR852447 AMN852447 AWJ852447 BGF852447 BQB852447 BZX852447 CJT852447 CTP852447 DDL852447 DNH852447 DXD852447 EGZ852447 EQV852447 FAR852447 FKN852447 FUJ852447 GEF852447 GOB852447 GXX852447 HHT852447 HRP852447 IBL852447 ILH852447 IVD852447 JEZ852447 JOV852447 JYR852447 KIN852447 KSJ852447 LCF852447 LMB852447 LVX852447 MFT852447 MPP852447 MZL852447 NJH852447 NTD852447 OCZ852447 OMV852447 OWR852447 PGN852447 PQJ852447 QAF852447 QKB852447 QTX852447 RDT852447 RNP852447 RXL852447 SHH852447 SRD852447 TAZ852447 TKV852447 TUR852447 UEN852447 UOJ852447 UYF852447 VIB852447 VRX852447 WBT852447 WLP852447 WVL852447 D917983 IZ917983 SV917983 ACR917983 AMN917983 AWJ917983 BGF917983 BQB917983 BZX917983 CJT917983 CTP917983 DDL917983 DNH917983 DXD917983 EGZ917983 EQV917983 FAR917983 FKN917983 FUJ917983 GEF917983 GOB917983 GXX917983 HHT917983 HRP917983 IBL917983 ILH917983 IVD917983 JEZ917983 JOV917983 JYR917983 KIN917983 KSJ917983 LCF917983 LMB917983 LVX917983 MFT917983 MPP917983 MZL917983 NJH917983 NTD917983 OCZ917983 OMV917983 OWR917983 PGN917983 PQJ917983 QAF917983 QKB917983 QTX917983 RDT917983 RNP917983 RXL917983 SHH917983 SRD917983 TAZ917983 TKV917983 TUR917983 UEN917983 UOJ917983 UYF917983 VIB917983 VRX917983 WBT917983 WLP917983 WVL917983 D983519 IZ983519 SV983519 ACR983519 AMN983519 AWJ983519 BGF983519 BQB983519 BZX983519 CJT983519 CTP983519 DDL983519 DNH983519 DXD983519 EGZ983519 EQV983519 FAR983519 FKN983519 FUJ983519 GEF983519 GOB983519 GXX983519 HHT983519 HRP983519 IBL983519 ILH983519 IVD983519 JEZ983519 JOV983519 JYR983519 KIN983519 KSJ983519 LCF983519 LMB983519 LVX983519 MFT983519 MPP983519 MZL983519 NJH983519 NTD983519 OCZ983519 OMV983519 OWR983519 PGN983519 PQJ983519 QAF983519 QKB983519 QTX983519 RDT983519 RNP983519 RXL983519 SHH983519 SRD983519 TAZ983519 TKV983519 TUR983519 UEN983519 UOJ983519 UYF983519 VIB983519 VRX983519 WBT983519 WLP983519 WVL983519 D391 IZ391 SV391 ACR391 AMN391 AWJ391 BGF391 BQB391 BZX391 CJT391 CTP391 DDL391 DNH391 DXD391 EGZ391 EQV391 FAR391 FKN391 FUJ391 GEF391 GOB391 GXX391 HHT391 HRP391 IBL391 ILH391 IVD391 JEZ391 JOV391 JYR391 KIN391 KSJ391 LCF391 LMB391 LVX391 MFT391 MPP391 MZL391 NJH391 NTD391 OCZ391 OMV391 OWR391 PGN391 PQJ391 QAF391 QKB391 QTX391 RDT391 RNP391 RXL391 SHH391 SRD391 TAZ391 TKV391 TUR391 UEN391 UOJ391 UYF391 VIB391 VRX391 WBT391 WLP391 WVL391 D65927 IZ65927 SV65927 ACR65927 AMN65927 AWJ65927 BGF65927 BQB65927 BZX65927 CJT65927 CTP65927 DDL65927 DNH65927 DXD65927 EGZ65927 EQV65927 FAR65927 FKN65927 FUJ65927 GEF65927 GOB65927 GXX65927 HHT65927 HRP65927 IBL65927 ILH65927 IVD65927 JEZ65927 JOV65927 JYR65927 KIN65927 KSJ65927 LCF65927 LMB65927 LVX65927 MFT65927 MPP65927 MZL65927 NJH65927 NTD65927 OCZ65927 OMV65927 OWR65927 PGN65927 PQJ65927 QAF65927 QKB65927 QTX65927 RDT65927 RNP65927 RXL65927 SHH65927 SRD65927 TAZ65927 TKV65927 TUR65927 UEN65927 UOJ65927 UYF65927 VIB65927 VRX65927 WBT65927 WLP65927 WVL65927 D131463 IZ131463 SV131463 ACR131463 AMN131463 AWJ131463 BGF131463 BQB131463 BZX131463 CJT131463 CTP131463 DDL131463 DNH131463 DXD131463 EGZ131463 EQV131463 FAR131463 FKN131463 FUJ131463 GEF131463 GOB131463 GXX131463 HHT131463 HRP131463 IBL131463 ILH131463 IVD131463 JEZ131463 JOV131463 JYR131463 KIN131463 KSJ131463 LCF131463 LMB131463 LVX131463 MFT131463 MPP131463 MZL131463 NJH131463 NTD131463 OCZ131463 OMV131463 OWR131463 PGN131463 PQJ131463 QAF131463 QKB131463 QTX131463 RDT131463 RNP131463 RXL131463 SHH131463 SRD131463 TAZ131463 TKV131463 TUR131463 UEN131463 UOJ131463 UYF131463 VIB131463 VRX131463 WBT131463 WLP131463 WVL131463 D196999 IZ196999 SV196999 ACR196999 AMN196999 AWJ196999 BGF196999 BQB196999 BZX196999 CJT196999 CTP196999 DDL196999 DNH196999 DXD196999 EGZ196999 EQV196999 FAR196999 FKN196999 FUJ196999 GEF196999 GOB196999 GXX196999 HHT196999 HRP196999 IBL196999 ILH196999 IVD196999 JEZ196999 JOV196999 JYR196999 KIN196999 KSJ196999 LCF196999 LMB196999 LVX196999 MFT196999 MPP196999 MZL196999 NJH196999 NTD196999 OCZ196999 OMV196999 OWR196999 PGN196999 PQJ196999 QAF196999 QKB196999 QTX196999 RDT196999 RNP196999 RXL196999 SHH196999 SRD196999 TAZ196999 TKV196999 TUR196999 UEN196999 UOJ196999 UYF196999 VIB196999 VRX196999 WBT196999 WLP196999 WVL196999 D262535 IZ262535 SV262535 ACR262535 AMN262535 AWJ262535 BGF262535 BQB262535 BZX262535 CJT262535 CTP262535 DDL262535 DNH262535 DXD262535 EGZ262535 EQV262535 FAR262535 FKN262535 FUJ262535 GEF262535 GOB262535 GXX262535 HHT262535 HRP262535 IBL262535 ILH262535 IVD262535 JEZ262535 JOV262535 JYR262535 KIN262535 KSJ262535 LCF262535 LMB262535 LVX262535 MFT262535 MPP262535 MZL262535 NJH262535 NTD262535 OCZ262535 OMV262535 OWR262535 PGN262535 PQJ262535 QAF262535 QKB262535 QTX262535 RDT262535 RNP262535 RXL262535 SHH262535 SRD262535 TAZ262535 TKV262535 TUR262535 UEN262535 UOJ262535 UYF262535 VIB262535 VRX262535 WBT262535 WLP262535 WVL262535 D328071 IZ328071 SV328071 ACR328071 AMN328071 AWJ328071 BGF328071 BQB328071 BZX328071 CJT328071 CTP328071 DDL328071 DNH328071 DXD328071 EGZ328071 EQV328071 FAR328071 FKN328071 FUJ328071 GEF328071 GOB328071 GXX328071 HHT328071 HRP328071 IBL328071 ILH328071 IVD328071 JEZ328071 JOV328071 JYR328071 KIN328071 KSJ328071 LCF328071 LMB328071 LVX328071 MFT328071 MPP328071 MZL328071 NJH328071 NTD328071 OCZ328071 OMV328071 OWR328071 PGN328071 PQJ328071 QAF328071 QKB328071 QTX328071 RDT328071 RNP328071 RXL328071 SHH328071 SRD328071 TAZ328071 TKV328071 TUR328071 UEN328071 UOJ328071 UYF328071 VIB328071 VRX328071 WBT328071 WLP328071 WVL328071 D393607 IZ393607 SV393607 ACR393607 AMN393607 AWJ393607 BGF393607 BQB393607 BZX393607 CJT393607 CTP393607 DDL393607 DNH393607 DXD393607 EGZ393607 EQV393607 FAR393607 FKN393607 FUJ393607 GEF393607 GOB393607 GXX393607 HHT393607 HRP393607 IBL393607 ILH393607 IVD393607 JEZ393607 JOV393607 JYR393607 KIN393607 KSJ393607 LCF393607 LMB393607 LVX393607 MFT393607 MPP393607 MZL393607 NJH393607 NTD393607 OCZ393607 OMV393607 OWR393607 PGN393607 PQJ393607 QAF393607 QKB393607 QTX393607 RDT393607 RNP393607 RXL393607 SHH393607 SRD393607 TAZ393607 TKV393607 TUR393607 UEN393607 UOJ393607 UYF393607 VIB393607 VRX393607 WBT393607 WLP393607 WVL393607 D459143 IZ459143 SV459143 ACR459143 AMN459143 AWJ459143 BGF459143 BQB459143 BZX459143 CJT459143 CTP459143 DDL459143 DNH459143 DXD459143 EGZ459143 EQV459143 FAR459143 FKN459143 FUJ459143 GEF459143 GOB459143 GXX459143 HHT459143 HRP459143 IBL459143 ILH459143 IVD459143 JEZ459143 JOV459143 JYR459143 KIN459143 KSJ459143 LCF459143 LMB459143 LVX459143 MFT459143 MPP459143 MZL459143 NJH459143 NTD459143 OCZ459143 OMV459143 OWR459143 PGN459143 PQJ459143 QAF459143 QKB459143 QTX459143 RDT459143 RNP459143 RXL459143 SHH459143 SRD459143 TAZ459143 TKV459143 TUR459143 UEN459143 UOJ459143 UYF459143 VIB459143 VRX459143 WBT459143 WLP459143 WVL459143 D524679 IZ524679 SV524679 ACR524679 AMN524679 AWJ524679 BGF524679 BQB524679 BZX524679 CJT524679 CTP524679 DDL524679 DNH524679 DXD524679 EGZ524679 EQV524679 FAR524679 FKN524679 FUJ524679 GEF524679 GOB524679 GXX524679 HHT524679 HRP524679 IBL524679 ILH524679 IVD524679 JEZ524679 JOV524679 JYR524679 KIN524679 KSJ524679 LCF524679 LMB524679 LVX524679 MFT524679 MPP524679 MZL524679 NJH524679 NTD524679 OCZ524679 OMV524679 OWR524679 PGN524679 PQJ524679 QAF524679 QKB524679 QTX524679 RDT524679 RNP524679 RXL524679 SHH524679 SRD524679 TAZ524679 TKV524679 TUR524679 UEN524679 UOJ524679 UYF524679 VIB524679 VRX524679 WBT524679 WLP524679 WVL524679 D590215 IZ590215 SV590215 ACR590215 AMN590215 AWJ590215 BGF590215 BQB590215 BZX590215 CJT590215 CTP590215 DDL590215 DNH590215 DXD590215 EGZ590215 EQV590215 FAR590215 FKN590215 FUJ590215 GEF590215 GOB590215 GXX590215 HHT590215 HRP590215 IBL590215 ILH590215 IVD590215 JEZ590215 JOV590215 JYR590215 KIN590215 KSJ590215 LCF590215 LMB590215 LVX590215 MFT590215 MPP590215 MZL590215 NJH590215 NTD590215 OCZ590215 OMV590215 OWR590215 PGN590215 PQJ590215 QAF590215 QKB590215 QTX590215 RDT590215 RNP590215 RXL590215 SHH590215 SRD590215 TAZ590215 TKV590215 TUR590215 UEN590215 UOJ590215 UYF590215 VIB590215 VRX590215 WBT590215 WLP590215 WVL590215 D655751 IZ655751 SV655751 ACR655751 AMN655751 AWJ655751 BGF655751 BQB655751 BZX655751 CJT655751 CTP655751 DDL655751 DNH655751 DXD655751 EGZ655751 EQV655751 FAR655751 FKN655751 FUJ655751 GEF655751 GOB655751 GXX655751 HHT655751 HRP655751 IBL655751 ILH655751 IVD655751 JEZ655751 JOV655751 JYR655751 KIN655751 KSJ655751 LCF655751 LMB655751 LVX655751 MFT655751 MPP655751 MZL655751 NJH655751 NTD655751 OCZ655751 OMV655751 OWR655751 PGN655751 PQJ655751 QAF655751 QKB655751 QTX655751 RDT655751 RNP655751 RXL655751 SHH655751 SRD655751 TAZ655751 TKV655751 TUR655751 UEN655751 UOJ655751 UYF655751 VIB655751 VRX655751 WBT655751 WLP655751 WVL655751 D721287 IZ721287 SV721287 ACR721287 AMN721287 AWJ721287 BGF721287 BQB721287 BZX721287 CJT721287 CTP721287 DDL721287 DNH721287 DXD721287 EGZ721287 EQV721287 FAR721287 FKN721287 FUJ721287 GEF721287 GOB721287 GXX721287 HHT721287 HRP721287 IBL721287 ILH721287 IVD721287 JEZ721287 JOV721287 JYR721287 KIN721287 KSJ721287 LCF721287 LMB721287 LVX721287 MFT721287 MPP721287 MZL721287 NJH721287 NTD721287 OCZ721287 OMV721287 OWR721287 PGN721287 PQJ721287 QAF721287 QKB721287 QTX721287 RDT721287 RNP721287 RXL721287 SHH721287 SRD721287 TAZ721287 TKV721287 TUR721287 UEN721287 UOJ721287 UYF721287 VIB721287 VRX721287 WBT721287 WLP721287 WVL721287 D786823 IZ786823 SV786823 ACR786823 AMN786823 AWJ786823 BGF786823 BQB786823 BZX786823 CJT786823 CTP786823 DDL786823 DNH786823 DXD786823 EGZ786823 EQV786823 FAR786823 FKN786823 FUJ786823 GEF786823 GOB786823 GXX786823 HHT786823 HRP786823 IBL786823 ILH786823 IVD786823 JEZ786823 JOV786823 JYR786823 KIN786823 KSJ786823 LCF786823 LMB786823 LVX786823 MFT786823 MPP786823 MZL786823 NJH786823 NTD786823 OCZ786823 OMV786823 OWR786823 PGN786823 PQJ786823 QAF786823 QKB786823 QTX786823 RDT786823 RNP786823 RXL786823 SHH786823 SRD786823 TAZ786823 TKV786823 TUR786823 UEN786823 UOJ786823 UYF786823 VIB786823 VRX786823 WBT786823 WLP786823 WVL786823 D852359 IZ852359 SV852359 ACR852359 AMN852359 AWJ852359 BGF852359 BQB852359 BZX852359 CJT852359 CTP852359 DDL852359 DNH852359 DXD852359 EGZ852359 EQV852359 FAR852359 FKN852359 FUJ852359 GEF852359 GOB852359 GXX852359 HHT852359 HRP852359 IBL852359 ILH852359 IVD852359 JEZ852359 JOV852359 JYR852359 KIN852359 KSJ852359 LCF852359 LMB852359 LVX852359 MFT852359 MPP852359 MZL852359 NJH852359 NTD852359 OCZ852359 OMV852359 OWR852359 PGN852359 PQJ852359 QAF852359 QKB852359 QTX852359 RDT852359 RNP852359 RXL852359 SHH852359 SRD852359 TAZ852359 TKV852359 TUR852359 UEN852359 UOJ852359 UYF852359 VIB852359 VRX852359 WBT852359 WLP852359 WVL852359 D917895 IZ917895 SV917895 ACR917895 AMN917895 AWJ917895 BGF917895 BQB917895 BZX917895 CJT917895 CTP917895 DDL917895 DNH917895 DXD917895 EGZ917895 EQV917895 FAR917895 FKN917895 FUJ917895 GEF917895 GOB917895 GXX917895 HHT917895 HRP917895 IBL917895 ILH917895 IVD917895 JEZ917895 JOV917895 JYR917895 KIN917895 KSJ917895 LCF917895 LMB917895 LVX917895 MFT917895 MPP917895 MZL917895 NJH917895 NTD917895 OCZ917895 OMV917895 OWR917895 PGN917895 PQJ917895 QAF917895 QKB917895 QTX917895 RDT917895 RNP917895 RXL917895 SHH917895 SRD917895 TAZ917895 TKV917895 TUR917895 UEN917895 UOJ917895 UYF917895 VIB917895 VRX917895 WBT917895 WLP917895 WVL917895 D983431 IZ983431 SV983431 ACR983431 AMN983431 AWJ983431 BGF983431 BQB983431 BZX983431 CJT983431 CTP983431 DDL983431 DNH983431 DXD983431 EGZ983431 EQV983431 FAR983431 FKN983431 FUJ983431 GEF983431 GOB983431 GXX983431 HHT983431 HRP983431 IBL983431 ILH983431 IVD983431 JEZ983431 JOV983431 JYR983431 KIN983431 KSJ983431 LCF983431 LMB983431 LVX983431 MFT983431 MPP983431 MZL983431 NJH983431 NTD983431 OCZ983431 OMV983431 OWR983431 PGN983431 PQJ983431 QAF983431 QKB983431 QTX983431 RDT983431 RNP983431 RXL983431 SHH983431 SRD983431 TAZ983431 TKV983431 TUR983431 UEN983431 UOJ983431 UYF983431 VIB983431 VRX983431 WBT983431 WLP983431 WVL983431 D308 IZ308 SV308 ACR308 AMN308 AWJ308 BGF308 BQB308 BZX308 CJT308 CTP308 DDL308 DNH308 DXD308 EGZ308 EQV308 FAR308 FKN308 FUJ308 GEF308 GOB308 GXX308 HHT308 HRP308 IBL308 ILH308 IVD308 JEZ308 JOV308 JYR308 KIN308 KSJ308 LCF308 LMB308 LVX308 MFT308 MPP308 MZL308 NJH308 NTD308 OCZ308 OMV308 OWR308 PGN308 PQJ308 QAF308 QKB308 QTX308 RDT308 RNP308 RXL308 SHH308 SRD308 TAZ308 TKV308 TUR308 UEN308 UOJ308 UYF308 VIB308 VRX308 WBT308 WLP308 WVL308 D65844 IZ65844 SV65844 ACR65844 AMN65844 AWJ65844 BGF65844 BQB65844 BZX65844 CJT65844 CTP65844 DDL65844 DNH65844 DXD65844 EGZ65844 EQV65844 FAR65844 FKN65844 FUJ65844 GEF65844 GOB65844 GXX65844 HHT65844 HRP65844 IBL65844 ILH65844 IVD65844 JEZ65844 JOV65844 JYR65844 KIN65844 KSJ65844 LCF65844 LMB65844 LVX65844 MFT65844 MPP65844 MZL65844 NJH65844 NTD65844 OCZ65844 OMV65844 OWR65844 PGN65844 PQJ65844 QAF65844 QKB65844 QTX65844 RDT65844 RNP65844 RXL65844 SHH65844 SRD65844 TAZ65844 TKV65844 TUR65844 UEN65844 UOJ65844 UYF65844 VIB65844 VRX65844 WBT65844 WLP65844 WVL65844 D131380 IZ131380 SV131380 ACR131380 AMN131380 AWJ131380 BGF131380 BQB131380 BZX131380 CJT131380 CTP131380 DDL131380 DNH131380 DXD131380 EGZ131380 EQV131380 FAR131380 FKN131380 FUJ131380 GEF131380 GOB131380 GXX131380 HHT131380 HRP131380 IBL131380 ILH131380 IVD131380 JEZ131380 JOV131380 JYR131380 KIN131380 KSJ131380 LCF131380 LMB131380 LVX131380 MFT131380 MPP131380 MZL131380 NJH131380 NTD131380 OCZ131380 OMV131380 OWR131380 PGN131380 PQJ131380 QAF131380 QKB131380 QTX131380 RDT131380 RNP131380 RXL131380 SHH131380 SRD131380 TAZ131380 TKV131380 TUR131380 UEN131380 UOJ131380 UYF131380 VIB131380 VRX131380 WBT131380 WLP131380 WVL131380 D196916 IZ196916 SV196916 ACR196916 AMN196916 AWJ196916 BGF196916 BQB196916 BZX196916 CJT196916 CTP196916 DDL196916 DNH196916 DXD196916 EGZ196916 EQV196916 FAR196916 FKN196916 FUJ196916 GEF196916 GOB196916 GXX196916 HHT196916 HRP196916 IBL196916 ILH196916 IVD196916 JEZ196916 JOV196916 JYR196916 KIN196916 KSJ196916 LCF196916 LMB196916 LVX196916 MFT196916 MPP196916 MZL196916 NJH196916 NTD196916 OCZ196916 OMV196916 OWR196916 PGN196916 PQJ196916 QAF196916 QKB196916 QTX196916 RDT196916 RNP196916 RXL196916 SHH196916 SRD196916 TAZ196916 TKV196916 TUR196916 UEN196916 UOJ196916 UYF196916 VIB196916 VRX196916 WBT196916 WLP196916 WVL196916 D262452 IZ262452 SV262452 ACR262452 AMN262452 AWJ262452 BGF262452 BQB262452 BZX262452 CJT262452 CTP262452 DDL262452 DNH262452 DXD262452 EGZ262452 EQV262452 FAR262452 FKN262452 FUJ262452 GEF262452 GOB262452 GXX262452 HHT262452 HRP262452 IBL262452 ILH262452 IVD262452 JEZ262452 JOV262452 JYR262452 KIN262452 KSJ262452 LCF262452 LMB262452 LVX262452 MFT262452 MPP262452 MZL262452 NJH262452 NTD262452 OCZ262452 OMV262452 OWR262452 PGN262452 PQJ262452 QAF262452 QKB262452 QTX262452 RDT262452 RNP262452 RXL262452 SHH262452 SRD262452 TAZ262452 TKV262452 TUR262452 UEN262452 UOJ262452 UYF262452 VIB262452 VRX262452 WBT262452 WLP262452 WVL262452 D327988 IZ327988 SV327988 ACR327988 AMN327988 AWJ327988 BGF327988 BQB327988 BZX327988 CJT327988 CTP327988 DDL327988 DNH327988 DXD327988 EGZ327988 EQV327988 FAR327988 FKN327988 FUJ327988 GEF327988 GOB327988 GXX327988 HHT327988 HRP327988 IBL327988 ILH327988 IVD327988 JEZ327988 JOV327988 JYR327988 KIN327988 KSJ327988 LCF327988 LMB327988 LVX327988 MFT327988 MPP327988 MZL327988 NJH327988 NTD327988 OCZ327988 OMV327988 OWR327988 PGN327988 PQJ327988 QAF327988 QKB327988 QTX327988 RDT327988 RNP327988 RXL327988 SHH327988 SRD327988 TAZ327988 TKV327988 TUR327988 UEN327988 UOJ327988 UYF327988 VIB327988 VRX327988 WBT327988 WLP327988 WVL327988 D393524 IZ393524 SV393524 ACR393524 AMN393524 AWJ393524 BGF393524 BQB393524 BZX393524 CJT393524 CTP393524 DDL393524 DNH393524 DXD393524 EGZ393524 EQV393524 FAR393524 FKN393524 FUJ393524 GEF393524 GOB393524 GXX393524 HHT393524 HRP393524 IBL393524 ILH393524 IVD393524 JEZ393524 JOV393524 JYR393524 KIN393524 KSJ393524 LCF393524 LMB393524 LVX393524 MFT393524 MPP393524 MZL393524 NJH393524 NTD393524 OCZ393524 OMV393524 OWR393524 PGN393524 PQJ393524 QAF393524 QKB393524 QTX393524 RDT393524 RNP393524 RXL393524 SHH393524 SRD393524 TAZ393524 TKV393524 TUR393524 UEN393524 UOJ393524 UYF393524 VIB393524 VRX393524 WBT393524 WLP393524 WVL393524 D459060 IZ459060 SV459060 ACR459060 AMN459060 AWJ459060 BGF459060 BQB459060 BZX459060 CJT459060 CTP459060 DDL459060 DNH459060 DXD459060 EGZ459060 EQV459060 FAR459060 FKN459060 FUJ459060 GEF459060 GOB459060 GXX459060 HHT459060 HRP459060 IBL459060 ILH459060 IVD459060 JEZ459060 JOV459060 JYR459060 KIN459060 KSJ459060 LCF459060 LMB459060 LVX459060 MFT459060 MPP459060 MZL459060 NJH459060 NTD459060 OCZ459060 OMV459060 OWR459060 PGN459060 PQJ459060 QAF459060 QKB459060 QTX459060 RDT459060 RNP459060 RXL459060 SHH459060 SRD459060 TAZ459060 TKV459060 TUR459060 UEN459060 UOJ459060 UYF459060 VIB459060 VRX459060 WBT459060 WLP459060 WVL459060 D524596 IZ524596 SV524596 ACR524596 AMN524596 AWJ524596 BGF524596 BQB524596 BZX524596 CJT524596 CTP524596 DDL524596 DNH524596 DXD524596 EGZ524596 EQV524596 FAR524596 FKN524596 FUJ524596 GEF524596 GOB524596 GXX524596 HHT524596 HRP524596 IBL524596 ILH524596 IVD524596 JEZ524596 JOV524596 JYR524596 KIN524596 KSJ524596 LCF524596 LMB524596 LVX524596 MFT524596 MPP524596 MZL524596 NJH524596 NTD524596 OCZ524596 OMV524596 OWR524596 PGN524596 PQJ524596 QAF524596 QKB524596 QTX524596 RDT524596 RNP524596 RXL524596 SHH524596 SRD524596 TAZ524596 TKV524596 TUR524596 UEN524596 UOJ524596 UYF524596 VIB524596 VRX524596 WBT524596 WLP524596 WVL524596 D590132 IZ590132 SV590132 ACR590132 AMN590132 AWJ590132 BGF590132 BQB590132 BZX590132 CJT590132 CTP590132 DDL590132 DNH590132 DXD590132 EGZ590132 EQV590132 FAR590132 FKN590132 FUJ590132 GEF590132 GOB590132 GXX590132 HHT590132 HRP590132 IBL590132 ILH590132 IVD590132 JEZ590132 JOV590132 JYR590132 KIN590132 KSJ590132 LCF590132 LMB590132 LVX590132 MFT590132 MPP590132 MZL590132 NJH590132 NTD590132 OCZ590132 OMV590132 OWR590132 PGN590132 PQJ590132 QAF590132 QKB590132 QTX590132 RDT590132 RNP590132 RXL590132 SHH590132 SRD590132 TAZ590132 TKV590132 TUR590132 UEN590132 UOJ590132 UYF590132 VIB590132 VRX590132 WBT590132 WLP590132 WVL590132 D655668 IZ655668 SV655668 ACR655668 AMN655668 AWJ655668 BGF655668 BQB655668 BZX655668 CJT655668 CTP655668 DDL655668 DNH655668 DXD655668 EGZ655668 EQV655668 FAR655668 FKN655668 FUJ655668 GEF655668 GOB655668 GXX655668 HHT655668 HRP655668 IBL655668 ILH655668 IVD655668 JEZ655668 JOV655668 JYR655668 KIN655668 KSJ655668 LCF655668 LMB655668 LVX655668 MFT655668 MPP655668 MZL655668 NJH655668 NTD655668 OCZ655668 OMV655668 OWR655668 PGN655668 PQJ655668 QAF655668 QKB655668 QTX655668 RDT655668 RNP655668 RXL655668 SHH655668 SRD655668 TAZ655668 TKV655668 TUR655668 UEN655668 UOJ655668 UYF655668 VIB655668 VRX655668 WBT655668 WLP655668 WVL655668 D721204 IZ721204 SV721204 ACR721204 AMN721204 AWJ721204 BGF721204 BQB721204 BZX721204 CJT721204 CTP721204 DDL721204 DNH721204 DXD721204 EGZ721204 EQV721204 FAR721204 FKN721204 FUJ721204 GEF721204 GOB721204 GXX721204 HHT721204 HRP721204 IBL721204 ILH721204 IVD721204 JEZ721204 JOV721204 JYR721204 KIN721204 KSJ721204 LCF721204 LMB721204 LVX721204 MFT721204 MPP721204 MZL721204 NJH721204 NTD721204 OCZ721204 OMV721204 OWR721204 PGN721204 PQJ721204 QAF721204 QKB721204 QTX721204 RDT721204 RNP721204 RXL721204 SHH721204 SRD721204 TAZ721204 TKV721204 TUR721204 UEN721204 UOJ721204 UYF721204 VIB721204 VRX721204 WBT721204 WLP721204 WVL721204 D786740 IZ786740 SV786740 ACR786740 AMN786740 AWJ786740 BGF786740 BQB786740 BZX786740 CJT786740 CTP786740 DDL786740 DNH786740 DXD786740 EGZ786740 EQV786740 FAR786740 FKN786740 FUJ786740 GEF786740 GOB786740 GXX786740 HHT786740 HRP786740 IBL786740 ILH786740 IVD786740 JEZ786740 JOV786740 JYR786740 KIN786740 KSJ786740 LCF786740 LMB786740 LVX786740 MFT786740 MPP786740 MZL786740 NJH786740 NTD786740 OCZ786740 OMV786740 OWR786740 PGN786740 PQJ786740 QAF786740 QKB786740 QTX786740 RDT786740 RNP786740 RXL786740 SHH786740 SRD786740 TAZ786740 TKV786740 TUR786740 UEN786740 UOJ786740 UYF786740 VIB786740 VRX786740 WBT786740 WLP786740 WVL786740 D852276 IZ852276 SV852276 ACR852276 AMN852276 AWJ852276 BGF852276 BQB852276 BZX852276 CJT852276 CTP852276 DDL852276 DNH852276 DXD852276 EGZ852276 EQV852276 FAR852276 FKN852276 FUJ852276 GEF852276 GOB852276 GXX852276 HHT852276 HRP852276 IBL852276 ILH852276 IVD852276 JEZ852276 JOV852276 JYR852276 KIN852276 KSJ852276 LCF852276 LMB852276 LVX852276 MFT852276 MPP852276 MZL852276 NJH852276 NTD852276 OCZ852276 OMV852276 OWR852276 PGN852276 PQJ852276 QAF852276 QKB852276 QTX852276 RDT852276 RNP852276 RXL852276 SHH852276 SRD852276 TAZ852276 TKV852276 TUR852276 UEN852276 UOJ852276 UYF852276 VIB852276 VRX852276 WBT852276 WLP852276 WVL852276 D917812 IZ917812 SV917812 ACR917812 AMN917812 AWJ917812 BGF917812 BQB917812 BZX917812 CJT917812 CTP917812 DDL917812 DNH917812 DXD917812 EGZ917812 EQV917812 FAR917812 FKN917812 FUJ917812 GEF917812 GOB917812 GXX917812 HHT917812 HRP917812 IBL917812 ILH917812 IVD917812 JEZ917812 JOV917812 JYR917812 KIN917812 KSJ917812 LCF917812 LMB917812 LVX917812 MFT917812 MPP917812 MZL917812 NJH917812 NTD917812 OCZ917812 OMV917812 OWR917812 PGN917812 PQJ917812 QAF917812 QKB917812 QTX917812 RDT917812 RNP917812 RXL917812 SHH917812 SRD917812 TAZ917812 TKV917812 TUR917812 UEN917812 UOJ917812 UYF917812 VIB917812 VRX917812 WBT917812 WLP917812 WVL917812 D983348 IZ983348 SV983348 ACR983348 AMN983348 AWJ983348 BGF983348 BQB983348 BZX983348 CJT983348 CTP983348 DDL983348 DNH983348 DXD983348 EGZ983348 EQV983348 FAR983348 FKN983348 FUJ983348 GEF983348 GOB983348 GXX983348 HHT983348 HRP983348 IBL983348 ILH983348 IVD983348 JEZ983348 JOV983348 JYR983348 KIN983348 KSJ983348 LCF983348 LMB983348 LVX983348 MFT983348 MPP983348 MZL983348 NJH983348 NTD983348 OCZ983348 OMV983348 OWR983348 PGN983348 PQJ983348 QAF983348 QKB983348 QTX983348 RDT983348 RNP983348 RXL983348 SHH983348 SRD983348 TAZ983348 TKV983348 TUR983348 UEN983348 UOJ983348 UYF983348 VIB983348 VRX983348 WBT983348 WLP983348 WVL983348 D171 IZ171 SV171 ACR171 AMN171 AWJ171 BGF171 BQB171 BZX171 CJT171 CTP171 DDL171 DNH171 DXD171 EGZ171 EQV171 FAR171 FKN171 FUJ171 GEF171 GOB171 GXX171 HHT171 HRP171 IBL171 ILH171 IVD171 JEZ171 JOV171 JYR171 KIN171 KSJ171 LCF171 LMB171 LVX171 MFT171 MPP171 MZL171 NJH171 NTD171 OCZ171 OMV171 OWR171 PGN171 PQJ171 QAF171 QKB171 QTX171 RDT171 RNP171 RXL171 SHH171 SRD171 TAZ171 TKV171 TUR171 UEN171 UOJ171 UYF171 VIB171 VRX171 WBT171 WLP171 WVL171 D65707 IZ65707 SV65707 ACR65707 AMN65707 AWJ65707 BGF65707 BQB65707 BZX65707 CJT65707 CTP65707 DDL65707 DNH65707 DXD65707 EGZ65707 EQV65707 FAR65707 FKN65707 FUJ65707 GEF65707 GOB65707 GXX65707 HHT65707 HRP65707 IBL65707 ILH65707 IVD65707 JEZ65707 JOV65707 JYR65707 KIN65707 KSJ65707 LCF65707 LMB65707 LVX65707 MFT65707 MPP65707 MZL65707 NJH65707 NTD65707 OCZ65707 OMV65707 OWR65707 PGN65707 PQJ65707 QAF65707 QKB65707 QTX65707 RDT65707 RNP65707 RXL65707 SHH65707 SRD65707 TAZ65707 TKV65707 TUR65707 UEN65707 UOJ65707 UYF65707 VIB65707 VRX65707 WBT65707 WLP65707 WVL65707 D131243 IZ131243 SV131243 ACR131243 AMN131243 AWJ131243 BGF131243 BQB131243 BZX131243 CJT131243 CTP131243 DDL131243 DNH131243 DXD131243 EGZ131243 EQV131243 FAR131243 FKN131243 FUJ131243 GEF131243 GOB131243 GXX131243 HHT131243 HRP131243 IBL131243 ILH131243 IVD131243 JEZ131243 JOV131243 JYR131243 KIN131243 KSJ131243 LCF131243 LMB131243 LVX131243 MFT131243 MPP131243 MZL131243 NJH131243 NTD131243 OCZ131243 OMV131243 OWR131243 PGN131243 PQJ131243 QAF131243 QKB131243 QTX131243 RDT131243 RNP131243 RXL131243 SHH131243 SRD131243 TAZ131243 TKV131243 TUR131243 UEN131243 UOJ131243 UYF131243 VIB131243 VRX131243 WBT131243 WLP131243 WVL131243 D196779 IZ196779 SV196779 ACR196779 AMN196779 AWJ196779 BGF196779 BQB196779 BZX196779 CJT196779 CTP196779 DDL196779 DNH196779 DXD196779 EGZ196779 EQV196779 FAR196779 FKN196779 FUJ196779 GEF196779 GOB196779 GXX196779 HHT196779 HRP196779 IBL196779 ILH196779 IVD196779 JEZ196779 JOV196779 JYR196779 KIN196779 KSJ196779 LCF196779 LMB196779 LVX196779 MFT196779 MPP196779 MZL196779 NJH196779 NTD196779 OCZ196779 OMV196779 OWR196779 PGN196779 PQJ196779 QAF196779 QKB196779 QTX196779 RDT196779 RNP196779 RXL196779 SHH196779 SRD196779 TAZ196779 TKV196779 TUR196779 UEN196779 UOJ196779 UYF196779 VIB196779 VRX196779 WBT196779 WLP196779 WVL196779 D262315 IZ262315 SV262315 ACR262315 AMN262315 AWJ262315 BGF262315 BQB262315 BZX262315 CJT262315 CTP262315 DDL262315 DNH262315 DXD262315 EGZ262315 EQV262315 FAR262315 FKN262315 FUJ262315 GEF262315 GOB262315 GXX262315 HHT262315 HRP262315 IBL262315 ILH262315 IVD262315 JEZ262315 JOV262315 JYR262315 KIN262315 KSJ262315 LCF262315 LMB262315 LVX262315 MFT262315 MPP262315 MZL262315 NJH262315 NTD262315 OCZ262315 OMV262315 OWR262315 PGN262315 PQJ262315 QAF262315 QKB262315 QTX262315 RDT262315 RNP262315 RXL262315 SHH262315 SRD262315 TAZ262315 TKV262315 TUR262315 UEN262315 UOJ262315 UYF262315 VIB262315 VRX262315 WBT262315 WLP262315 WVL262315 D327851 IZ327851 SV327851 ACR327851 AMN327851 AWJ327851 BGF327851 BQB327851 BZX327851 CJT327851 CTP327851 DDL327851 DNH327851 DXD327851 EGZ327851 EQV327851 FAR327851 FKN327851 FUJ327851 GEF327851 GOB327851 GXX327851 HHT327851 HRP327851 IBL327851 ILH327851 IVD327851 JEZ327851 JOV327851 JYR327851 KIN327851 KSJ327851 LCF327851 LMB327851 LVX327851 MFT327851 MPP327851 MZL327851 NJH327851 NTD327851 OCZ327851 OMV327851 OWR327851 PGN327851 PQJ327851 QAF327851 QKB327851 QTX327851 RDT327851 RNP327851 RXL327851 SHH327851 SRD327851 TAZ327851 TKV327851 TUR327851 UEN327851 UOJ327851 UYF327851 VIB327851 VRX327851 WBT327851 WLP327851 WVL327851 D393387 IZ393387 SV393387 ACR393387 AMN393387 AWJ393387 BGF393387 BQB393387 BZX393387 CJT393387 CTP393387 DDL393387 DNH393387 DXD393387 EGZ393387 EQV393387 FAR393387 FKN393387 FUJ393387 GEF393387 GOB393387 GXX393387 HHT393387 HRP393387 IBL393387 ILH393387 IVD393387 JEZ393387 JOV393387 JYR393387 KIN393387 KSJ393387 LCF393387 LMB393387 LVX393387 MFT393387 MPP393387 MZL393387 NJH393387 NTD393387 OCZ393387 OMV393387 OWR393387 PGN393387 PQJ393387 QAF393387 QKB393387 QTX393387 RDT393387 RNP393387 RXL393387 SHH393387 SRD393387 TAZ393387 TKV393387 TUR393387 UEN393387 UOJ393387 UYF393387 VIB393387 VRX393387 WBT393387 WLP393387 WVL393387 D458923 IZ458923 SV458923 ACR458923 AMN458923 AWJ458923 BGF458923 BQB458923 BZX458923 CJT458923 CTP458923 DDL458923 DNH458923 DXD458923 EGZ458923 EQV458923 FAR458923 FKN458923 FUJ458923 GEF458923 GOB458923 GXX458923 HHT458923 HRP458923 IBL458923 ILH458923 IVD458923 JEZ458923 JOV458923 JYR458923 KIN458923 KSJ458923 LCF458923 LMB458923 LVX458923 MFT458923 MPP458923 MZL458923 NJH458923 NTD458923 OCZ458923 OMV458923 OWR458923 PGN458923 PQJ458923 QAF458923 QKB458923 QTX458923 RDT458923 RNP458923 RXL458923 SHH458923 SRD458923 TAZ458923 TKV458923 TUR458923 UEN458923 UOJ458923 UYF458923 VIB458923 VRX458923 WBT458923 WLP458923 WVL458923 D524459 IZ524459 SV524459 ACR524459 AMN524459 AWJ524459 BGF524459 BQB524459 BZX524459 CJT524459 CTP524459 DDL524459 DNH524459 DXD524459 EGZ524459 EQV524459 FAR524459 FKN524459 FUJ524459 GEF524459 GOB524459 GXX524459 HHT524459 HRP524459 IBL524459 ILH524459 IVD524459 JEZ524459 JOV524459 JYR524459 KIN524459 KSJ524459 LCF524459 LMB524459 LVX524459 MFT524459 MPP524459 MZL524459 NJH524459 NTD524459 OCZ524459 OMV524459 OWR524459 PGN524459 PQJ524459 QAF524459 QKB524459 QTX524459 RDT524459 RNP524459 RXL524459 SHH524459 SRD524459 TAZ524459 TKV524459 TUR524459 UEN524459 UOJ524459 UYF524459 VIB524459 VRX524459 WBT524459 WLP524459 WVL524459 D589995 IZ589995 SV589995 ACR589995 AMN589995 AWJ589995 BGF589995 BQB589995 BZX589995 CJT589995 CTP589995 DDL589995 DNH589995 DXD589995 EGZ589995 EQV589995 FAR589995 FKN589995 FUJ589995 GEF589995 GOB589995 GXX589995 HHT589995 HRP589995 IBL589995 ILH589995 IVD589995 JEZ589995 JOV589995 JYR589995 KIN589995 KSJ589995 LCF589995 LMB589995 LVX589995 MFT589995 MPP589995 MZL589995 NJH589995 NTD589995 OCZ589995 OMV589995 OWR589995 PGN589995 PQJ589995 QAF589995 QKB589995 QTX589995 RDT589995 RNP589995 RXL589995 SHH589995 SRD589995 TAZ589995 TKV589995 TUR589995 UEN589995 UOJ589995 UYF589995 VIB589995 VRX589995 WBT589995 WLP589995 WVL589995 D655531 IZ655531 SV655531 ACR655531 AMN655531 AWJ655531 BGF655531 BQB655531 BZX655531 CJT655531 CTP655531 DDL655531 DNH655531 DXD655531 EGZ655531 EQV655531 FAR655531 FKN655531 FUJ655531 GEF655531 GOB655531 GXX655531 HHT655531 HRP655531 IBL655531 ILH655531 IVD655531 JEZ655531 JOV655531 JYR655531 KIN655531 KSJ655531 LCF655531 LMB655531 LVX655531 MFT655531 MPP655531 MZL655531 NJH655531 NTD655531 OCZ655531 OMV655531 OWR655531 PGN655531 PQJ655531 QAF655531 QKB655531 QTX655531 RDT655531 RNP655531 RXL655531 SHH655531 SRD655531 TAZ655531 TKV655531 TUR655531 UEN655531 UOJ655531 UYF655531 VIB655531 VRX655531 WBT655531 WLP655531 WVL655531 D721067 IZ721067 SV721067 ACR721067 AMN721067 AWJ721067 BGF721067 BQB721067 BZX721067 CJT721067 CTP721067 DDL721067 DNH721067 DXD721067 EGZ721067 EQV721067 FAR721067 FKN721067 FUJ721067 GEF721067 GOB721067 GXX721067 HHT721067 HRP721067 IBL721067 ILH721067 IVD721067 JEZ721067 JOV721067 JYR721067 KIN721067 KSJ721067 LCF721067 LMB721067 LVX721067 MFT721067 MPP721067 MZL721067 NJH721067 NTD721067 OCZ721067 OMV721067 OWR721067 PGN721067 PQJ721067 QAF721067 QKB721067 QTX721067 RDT721067 RNP721067 RXL721067 SHH721067 SRD721067 TAZ721067 TKV721067 TUR721067 UEN721067 UOJ721067 UYF721067 VIB721067 VRX721067 WBT721067 WLP721067 WVL721067 D786603 IZ786603 SV786603 ACR786603 AMN786603 AWJ786603 BGF786603 BQB786603 BZX786603 CJT786603 CTP786603 DDL786603 DNH786603 DXD786603 EGZ786603 EQV786603 FAR786603 FKN786603 FUJ786603 GEF786603 GOB786603 GXX786603 HHT786603 HRP786603 IBL786603 ILH786603 IVD786603 JEZ786603 JOV786603 JYR786603 KIN786603 KSJ786603 LCF786603 LMB786603 LVX786603 MFT786603 MPP786603 MZL786603 NJH786603 NTD786603 OCZ786603 OMV786603 OWR786603 PGN786603 PQJ786603 QAF786603 QKB786603 QTX786603 RDT786603 RNP786603 RXL786603 SHH786603 SRD786603 TAZ786603 TKV786603 TUR786603 UEN786603 UOJ786603 UYF786603 VIB786603 VRX786603 WBT786603 WLP786603 WVL786603 D852139 IZ852139 SV852139 ACR852139 AMN852139 AWJ852139 BGF852139 BQB852139 BZX852139 CJT852139 CTP852139 DDL852139 DNH852139 DXD852139 EGZ852139 EQV852139 FAR852139 FKN852139 FUJ852139 GEF852139 GOB852139 GXX852139 HHT852139 HRP852139 IBL852139 ILH852139 IVD852139 JEZ852139 JOV852139 JYR852139 KIN852139 KSJ852139 LCF852139 LMB852139 LVX852139 MFT852139 MPP852139 MZL852139 NJH852139 NTD852139 OCZ852139 OMV852139 OWR852139 PGN852139 PQJ852139 QAF852139 QKB852139 QTX852139 RDT852139 RNP852139 RXL852139 SHH852139 SRD852139 TAZ852139 TKV852139 TUR852139 UEN852139 UOJ852139 UYF852139 VIB852139 VRX852139 WBT852139 WLP852139 WVL852139 D917675 IZ917675 SV917675 ACR917675 AMN917675 AWJ917675 BGF917675 BQB917675 BZX917675 CJT917675 CTP917675 DDL917675 DNH917675 DXD917675 EGZ917675 EQV917675 FAR917675 FKN917675 FUJ917675 GEF917675 GOB917675 GXX917675 HHT917675 HRP917675 IBL917675 ILH917675 IVD917675 JEZ917675 JOV917675 JYR917675 KIN917675 KSJ917675 LCF917675 LMB917675 LVX917675 MFT917675 MPP917675 MZL917675 NJH917675 NTD917675 OCZ917675 OMV917675 OWR917675 PGN917675 PQJ917675 QAF917675 QKB917675 QTX917675 RDT917675 RNP917675 RXL917675 SHH917675 SRD917675 TAZ917675 TKV917675 TUR917675 UEN917675 UOJ917675 UYF917675 VIB917675 VRX917675 WBT917675 WLP917675 WVL917675 D983211 IZ983211 SV983211 ACR983211 AMN983211 AWJ983211 BGF983211 BQB983211 BZX983211 CJT983211 CTP983211 DDL983211 DNH983211 DXD983211 EGZ983211 EQV983211 FAR983211 FKN983211 FUJ983211 GEF983211 GOB983211 GXX983211 HHT983211 HRP983211 IBL983211 ILH983211 IVD983211 JEZ983211 JOV983211 JYR983211 KIN983211 KSJ983211 LCF983211 LMB983211 LVX983211 MFT983211 MPP983211 MZL983211 NJH983211 NTD983211 OCZ983211 OMV983211 OWR983211 PGN983211 PQJ983211 QAF983211 QKB983211 QTX983211 RDT983211 RNP983211 RXL983211 SHH983211 SRD983211 TAZ983211 TKV983211 TUR983211 UEN983211 UOJ983211 UYF983211 VIB983211 VRX983211 WBT983211 WLP983211 WVL983211 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5 IZ65625 SV65625 ACR65625 AMN65625 AWJ65625 BGF65625 BQB65625 BZX65625 CJT65625 CTP65625 DDL65625 DNH65625 DXD65625 EGZ65625 EQV65625 FAR65625 FKN65625 FUJ65625 GEF65625 GOB65625 GXX65625 HHT65625 HRP65625 IBL65625 ILH65625 IVD65625 JEZ65625 JOV65625 JYR65625 KIN65625 KSJ65625 LCF65625 LMB65625 LVX65625 MFT65625 MPP65625 MZL65625 NJH65625 NTD65625 OCZ65625 OMV65625 OWR65625 PGN65625 PQJ65625 QAF65625 QKB65625 QTX65625 RDT65625 RNP65625 RXL65625 SHH65625 SRD65625 TAZ65625 TKV65625 TUR65625 UEN65625 UOJ65625 UYF65625 VIB65625 VRX65625 WBT65625 WLP65625 WVL65625 D131161 IZ131161 SV131161 ACR131161 AMN131161 AWJ131161 BGF131161 BQB131161 BZX131161 CJT131161 CTP131161 DDL131161 DNH131161 DXD131161 EGZ131161 EQV131161 FAR131161 FKN131161 FUJ131161 GEF131161 GOB131161 GXX131161 HHT131161 HRP131161 IBL131161 ILH131161 IVD131161 JEZ131161 JOV131161 JYR131161 KIN131161 KSJ131161 LCF131161 LMB131161 LVX131161 MFT131161 MPP131161 MZL131161 NJH131161 NTD131161 OCZ131161 OMV131161 OWR131161 PGN131161 PQJ131161 QAF131161 QKB131161 QTX131161 RDT131161 RNP131161 RXL131161 SHH131161 SRD131161 TAZ131161 TKV131161 TUR131161 UEN131161 UOJ131161 UYF131161 VIB131161 VRX131161 WBT131161 WLP131161 WVL131161 D196697 IZ196697 SV196697 ACR196697 AMN196697 AWJ196697 BGF196697 BQB196697 BZX196697 CJT196697 CTP196697 DDL196697 DNH196697 DXD196697 EGZ196697 EQV196697 FAR196697 FKN196697 FUJ196697 GEF196697 GOB196697 GXX196697 HHT196697 HRP196697 IBL196697 ILH196697 IVD196697 JEZ196697 JOV196697 JYR196697 KIN196697 KSJ196697 LCF196697 LMB196697 LVX196697 MFT196697 MPP196697 MZL196697 NJH196697 NTD196697 OCZ196697 OMV196697 OWR196697 PGN196697 PQJ196697 QAF196697 QKB196697 QTX196697 RDT196697 RNP196697 RXL196697 SHH196697 SRD196697 TAZ196697 TKV196697 TUR196697 UEN196697 UOJ196697 UYF196697 VIB196697 VRX196697 WBT196697 WLP196697 WVL196697 D262233 IZ262233 SV262233 ACR262233 AMN262233 AWJ262233 BGF262233 BQB262233 BZX262233 CJT262233 CTP262233 DDL262233 DNH262233 DXD262233 EGZ262233 EQV262233 FAR262233 FKN262233 FUJ262233 GEF262233 GOB262233 GXX262233 HHT262233 HRP262233 IBL262233 ILH262233 IVD262233 JEZ262233 JOV262233 JYR262233 KIN262233 KSJ262233 LCF262233 LMB262233 LVX262233 MFT262233 MPP262233 MZL262233 NJH262233 NTD262233 OCZ262233 OMV262233 OWR262233 PGN262233 PQJ262233 QAF262233 QKB262233 QTX262233 RDT262233 RNP262233 RXL262233 SHH262233 SRD262233 TAZ262233 TKV262233 TUR262233 UEN262233 UOJ262233 UYF262233 VIB262233 VRX262233 WBT262233 WLP262233 WVL262233 D327769 IZ327769 SV327769 ACR327769 AMN327769 AWJ327769 BGF327769 BQB327769 BZX327769 CJT327769 CTP327769 DDL327769 DNH327769 DXD327769 EGZ327769 EQV327769 FAR327769 FKN327769 FUJ327769 GEF327769 GOB327769 GXX327769 HHT327769 HRP327769 IBL327769 ILH327769 IVD327769 JEZ327769 JOV327769 JYR327769 KIN327769 KSJ327769 LCF327769 LMB327769 LVX327769 MFT327769 MPP327769 MZL327769 NJH327769 NTD327769 OCZ327769 OMV327769 OWR327769 PGN327769 PQJ327769 QAF327769 QKB327769 QTX327769 RDT327769 RNP327769 RXL327769 SHH327769 SRD327769 TAZ327769 TKV327769 TUR327769 UEN327769 UOJ327769 UYF327769 VIB327769 VRX327769 WBT327769 WLP327769 WVL327769 D393305 IZ393305 SV393305 ACR393305 AMN393305 AWJ393305 BGF393305 BQB393305 BZX393305 CJT393305 CTP393305 DDL393305 DNH393305 DXD393305 EGZ393305 EQV393305 FAR393305 FKN393305 FUJ393305 GEF393305 GOB393305 GXX393305 HHT393305 HRP393305 IBL393305 ILH393305 IVD393305 JEZ393305 JOV393305 JYR393305 KIN393305 KSJ393305 LCF393305 LMB393305 LVX393305 MFT393305 MPP393305 MZL393305 NJH393305 NTD393305 OCZ393305 OMV393305 OWR393305 PGN393305 PQJ393305 QAF393305 QKB393305 QTX393305 RDT393305 RNP393305 RXL393305 SHH393305 SRD393305 TAZ393305 TKV393305 TUR393305 UEN393305 UOJ393305 UYF393305 VIB393305 VRX393305 WBT393305 WLP393305 WVL393305 D458841 IZ458841 SV458841 ACR458841 AMN458841 AWJ458841 BGF458841 BQB458841 BZX458841 CJT458841 CTP458841 DDL458841 DNH458841 DXD458841 EGZ458841 EQV458841 FAR458841 FKN458841 FUJ458841 GEF458841 GOB458841 GXX458841 HHT458841 HRP458841 IBL458841 ILH458841 IVD458841 JEZ458841 JOV458841 JYR458841 KIN458841 KSJ458841 LCF458841 LMB458841 LVX458841 MFT458841 MPP458841 MZL458841 NJH458841 NTD458841 OCZ458841 OMV458841 OWR458841 PGN458841 PQJ458841 QAF458841 QKB458841 QTX458841 RDT458841 RNP458841 RXL458841 SHH458841 SRD458841 TAZ458841 TKV458841 TUR458841 UEN458841 UOJ458841 UYF458841 VIB458841 VRX458841 WBT458841 WLP458841 WVL458841 D524377 IZ524377 SV524377 ACR524377 AMN524377 AWJ524377 BGF524377 BQB524377 BZX524377 CJT524377 CTP524377 DDL524377 DNH524377 DXD524377 EGZ524377 EQV524377 FAR524377 FKN524377 FUJ524377 GEF524377 GOB524377 GXX524377 HHT524377 HRP524377 IBL524377 ILH524377 IVD524377 JEZ524377 JOV524377 JYR524377 KIN524377 KSJ524377 LCF524377 LMB524377 LVX524377 MFT524377 MPP524377 MZL524377 NJH524377 NTD524377 OCZ524377 OMV524377 OWR524377 PGN524377 PQJ524377 QAF524377 QKB524377 QTX524377 RDT524377 RNP524377 RXL524377 SHH524377 SRD524377 TAZ524377 TKV524377 TUR524377 UEN524377 UOJ524377 UYF524377 VIB524377 VRX524377 WBT524377 WLP524377 WVL524377 D589913 IZ589913 SV589913 ACR589913 AMN589913 AWJ589913 BGF589913 BQB589913 BZX589913 CJT589913 CTP589913 DDL589913 DNH589913 DXD589913 EGZ589913 EQV589913 FAR589913 FKN589913 FUJ589913 GEF589913 GOB589913 GXX589913 HHT589913 HRP589913 IBL589913 ILH589913 IVD589913 JEZ589913 JOV589913 JYR589913 KIN589913 KSJ589913 LCF589913 LMB589913 LVX589913 MFT589913 MPP589913 MZL589913 NJH589913 NTD589913 OCZ589913 OMV589913 OWR589913 PGN589913 PQJ589913 QAF589913 QKB589913 QTX589913 RDT589913 RNP589913 RXL589913 SHH589913 SRD589913 TAZ589913 TKV589913 TUR589913 UEN589913 UOJ589913 UYF589913 VIB589913 VRX589913 WBT589913 WLP589913 WVL589913 D655449 IZ655449 SV655449 ACR655449 AMN655449 AWJ655449 BGF655449 BQB655449 BZX655449 CJT655449 CTP655449 DDL655449 DNH655449 DXD655449 EGZ655449 EQV655449 FAR655449 FKN655449 FUJ655449 GEF655449 GOB655449 GXX655449 HHT655449 HRP655449 IBL655449 ILH655449 IVD655449 JEZ655449 JOV655449 JYR655449 KIN655449 KSJ655449 LCF655449 LMB655449 LVX655449 MFT655449 MPP655449 MZL655449 NJH655449 NTD655449 OCZ655449 OMV655449 OWR655449 PGN655449 PQJ655449 QAF655449 QKB655449 QTX655449 RDT655449 RNP655449 RXL655449 SHH655449 SRD655449 TAZ655449 TKV655449 TUR655449 UEN655449 UOJ655449 UYF655449 VIB655449 VRX655449 WBT655449 WLP655449 WVL655449 D720985 IZ720985 SV720985 ACR720985 AMN720985 AWJ720985 BGF720985 BQB720985 BZX720985 CJT720985 CTP720985 DDL720985 DNH720985 DXD720985 EGZ720985 EQV720985 FAR720985 FKN720985 FUJ720985 GEF720985 GOB720985 GXX720985 HHT720985 HRP720985 IBL720985 ILH720985 IVD720985 JEZ720985 JOV720985 JYR720985 KIN720985 KSJ720985 LCF720985 LMB720985 LVX720985 MFT720985 MPP720985 MZL720985 NJH720985 NTD720985 OCZ720985 OMV720985 OWR720985 PGN720985 PQJ720985 QAF720985 QKB720985 QTX720985 RDT720985 RNP720985 RXL720985 SHH720985 SRD720985 TAZ720985 TKV720985 TUR720985 UEN720985 UOJ720985 UYF720985 VIB720985 VRX720985 WBT720985 WLP720985 WVL720985 D786521 IZ786521 SV786521 ACR786521 AMN786521 AWJ786521 BGF786521 BQB786521 BZX786521 CJT786521 CTP786521 DDL786521 DNH786521 DXD786521 EGZ786521 EQV786521 FAR786521 FKN786521 FUJ786521 GEF786521 GOB786521 GXX786521 HHT786521 HRP786521 IBL786521 ILH786521 IVD786521 JEZ786521 JOV786521 JYR786521 KIN786521 KSJ786521 LCF786521 LMB786521 LVX786521 MFT786521 MPP786521 MZL786521 NJH786521 NTD786521 OCZ786521 OMV786521 OWR786521 PGN786521 PQJ786521 QAF786521 QKB786521 QTX786521 RDT786521 RNP786521 RXL786521 SHH786521 SRD786521 TAZ786521 TKV786521 TUR786521 UEN786521 UOJ786521 UYF786521 VIB786521 VRX786521 WBT786521 WLP786521 WVL786521 D852057 IZ852057 SV852057 ACR852057 AMN852057 AWJ852057 BGF852057 BQB852057 BZX852057 CJT852057 CTP852057 DDL852057 DNH852057 DXD852057 EGZ852057 EQV852057 FAR852057 FKN852057 FUJ852057 GEF852057 GOB852057 GXX852057 HHT852057 HRP852057 IBL852057 ILH852057 IVD852057 JEZ852057 JOV852057 JYR852057 KIN852057 KSJ852057 LCF852057 LMB852057 LVX852057 MFT852057 MPP852057 MZL852057 NJH852057 NTD852057 OCZ852057 OMV852057 OWR852057 PGN852057 PQJ852057 QAF852057 QKB852057 QTX852057 RDT852057 RNP852057 RXL852057 SHH852057 SRD852057 TAZ852057 TKV852057 TUR852057 UEN852057 UOJ852057 UYF852057 VIB852057 VRX852057 WBT852057 WLP852057 WVL852057 D917593 IZ917593 SV917593 ACR917593 AMN917593 AWJ917593 BGF917593 BQB917593 BZX917593 CJT917593 CTP917593 DDL917593 DNH917593 DXD917593 EGZ917593 EQV917593 FAR917593 FKN917593 FUJ917593 GEF917593 GOB917593 GXX917593 HHT917593 HRP917593 IBL917593 ILH917593 IVD917593 JEZ917593 JOV917593 JYR917593 KIN917593 KSJ917593 LCF917593 LMB917593 LVX917593 MFT917593 MPP917593 MZL917593 NJH917593 NTD917593 OCZ917593 OMV917593 OWR917593 PGN917593 PQJ917593 QAF917593 QKB917593 QTX917593 RDT917593 RNP917593 RXL917593 SHH917593 SRD917593 TAZ917593 TKV917593 TUR917593 UEN917593 UOJ917593 UYF917593 VIB917593 VRX917593 WBT917593 WLP917593 WVL917593 D983129 IZ983129 SV983129 ACR983129 AMN983129 AWJ983129 BGF983129 BQB983129 BZX983129 CJT983129 CTP983129 DDL983129 DNH983129 DXD983129 EGZ983129 EQV983129 FAR983129 FKN983129 FUJ983129 GEF983129 GOB983129 GXX983129 HHT983129 HRP983129 IBL983129 ILH983129 IVD983129 JEZ983129 JOV983129 JYR983129 KIN983129 KSJ983129 LCF983129 LMB983129 LVX983129 MFT983129 MPP983129 MZL983129 NJH983129 NTD983129 OCZ983129 OMV983129 OWR983129 PGN983129 PQJ983129 QAF983129 QKB983129 QTX983129 RDT983129 RNP983129 RXL983129 SHH983129 SRD983129 TAZ983129 TKV983129 TUR983129 UEN983129 UOJ983129 UYF983129 VIB983129 VRX983129 WBT983129 WLP983129 WVL983129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WVL983047 C9:D9 IY9:IZ9 SU9:SV9 ACQ9:ACR9 AMM9:AMN9 AWI9:AWJ9 BGE9:BGF9 BQA9:BQB9 BZW9:BZX9 CJS9:CJT9 CTO9:CTP9 DDK9:DDL9 DNG9:DNH9 DXC9:DXD9 EGY9:EGZ9 EQU9:EQV9 FAQ9:FAR9 FKM9:FKN9 FUI9:FUJ9 GEE9:GEF9 GOA9:GOB9 GXW9:GXX9 HHS9:HHT9 HRO9:HRP9 IBK9:IBL9 ILG9:ILH9 IVC9:IVD9 JEY9:JEZ9 JOU9:JOV9 JYQ9:JYR9 KIM9:KIN9 KSI9:KSJ9 LCE9:LCF9 LMA9:LMB9 LVW9:LVX9 MFS9:MFT9 MPO9:MPP9 MZK9:MZL9 NJG9:NJH9 NTC9:NTD9 OCY9:OCZ9 OMU9:OMV9 OWQ9:OWR9 PGM9:PGN9 PQI9:PQJ9 QAE9:QAF9 QKA9:QKB9 QTW9:QTX9 RDS9:RDT9 RNO9:RNP9 RXK9:RXL9 SHG9:SHH9 SRC9:SRD9 TAY9:TAZ9 TKU9:TKV9 TUQ9:TUR9 UEM9:UEN9 UOI9:UOJ9 UYE9:UYF9 VIA9:VIB9 VRW9:VRX9 WBS9:WBT9 WLO9:WLP9 WVK9:WVL9 C65545:D65545 IY65545:IZ65545 SU65545:SV65545 ACQ65545:ACR65545 AMM65545:AMN65545 AWI65545:AWJ65545 BGE65545:BGF65545 BQA65545:BQB65545 BZW65545:BZX65545 CJS65545:CJT65545 CTO65545:CTP65545 DDK65545:DDL65545 DNG65545:DNH65545 DXC65545:DXD65545 EGY65545:EGZ65545 EQU65545:EQV65545 FAQ65545:FAR65545 FKM65545:FKN65545 FUI65545:FUJ65545 GEE65545:GEF65545 GOA65545:GOB65545 GXW65545:GXX65545 HHS65545:HHT65545 HRO65545:HRP65545 IBK65545:IBL65545 ILG65545:ILH65545 IVC65545:IVD65545 JEY65545:JEZ65545 JOU65545:JOV65545 JYQ65545:JYR65545 KIM65545:KIN65545 KSI65545:KSJ65545 LCE65545:LCF65545 LMA65545:LMB65545 LVW65545:LVX65545 MFS65545:MFT65545 MPO65545:MPP65545 MZK65545:MZL65545 NJG65545:NJH65545 NTC65545:NTD65545 OCY65545:OCZ65545 OMU65545:OMV65545 OWQ65545:OWR65545 PGM65545:PGN65545 PQI65545:PQJ65545 QAE65545:QAF65545 QKA65545:QKB65545 QTW65545:QTX65545 RDS65545:RDT65545 RNO65545:RNP65545 RXK65545:RXL65545 SHG65545:SHH65545 SRC65545:SRD65545 TAY65545:TAZ65545 TKU65545:TKV65545 TUQ65545:TUR65545 UEM65545:UEN65545 UOI65545:UOJ65545 UYE65545:UYF65545 VIA65545:VIB65545 VRW65545:VRX65545 WBS65545:WBT65545 WLO65545:WLP65545 WVK65545:WVL65545 C131081:D131081 IY131081:IZ131081 SU131081:SV131081 ACQ131081:ACR131081 AMM131081:AMN131081 AWI131081:AWJ131081 BGE131081:BGF131081 BQA131081:BQB131081 BZW131081:BZX131081 CJS131081:CJT131081 CTO131081:CTP131081 DDK131081:DDL131081 DNG131081:DNH131081 DXC131081:DXD131081 EGY131081:EGZ131081 EQU131081:EQV131081 FAQ131081:FAR131081 FKM131081:FKN131081 FUI131081:FUJ131081 GEE131081:GEF131081 GOA131081:GOB131081 GXW131081:GXX131081 HHS131081:HHT131081 HRO131081:HRP131081 IBK131081:IBL131081 ILG131081:ILH131081 IVC131081:IVD131081 JEY131081:JEZ131081 JOU131081:JOV131081 JYQ131081:JYR131081 KIM131081:KIN131081 KSI131081:KSJ131081 LCE131081:LCF131081 LMA131081:LMB131081 LVW131081:LVX131081 MFS131081:MFT131081 MPO131081:MPP131081 MZK131081:MZL131081 NJG131081:NJH131081 NTC131081:NTD131081 OCY131081:OCZ131081 OMU131081:OMV131081 OWQ131081:OWR131081 PGM131081:PGN131081 PQI131081:PQJ131081 QAE131081:QAF131081 QKA131081:QKB131081 QTW131081:QTX131081 RDS131081:RDT131081 RNO131081:RNP131081 RXK131081:RXL131081 SHG131081:SHH131081 SRC131081:SRD131081 TAY131081:TAZ131081 TKU131081:TKV131081 TUQ131081:TUR131081 UEM131081:UEN131081 UOI131081:UOJ131081 UYE131081:UYF131081 VIA131081:VIB131081 VRW131081:VRX131081 WBS131081:WBT131081 WLO131081:WLP131081 WVK131081:WVL131081 C196617:D196617 IY196617:IZ196617 SU196617:SV196617 ACQ196617:ACR196617 AMM196617:AMN196617 AWI196617:AWJ196617 BGE196617:BGF196617 BQA196617:BQB196617 BZW196617:BZX196617 CJS196617:CJT196617 CTO196617:CTP196617 DDK196617:DDL196617 DNG196617:DNH196617 DXC196617:DXD196617 EGY196617:EGZ196617 EQU196617:EQV196617 FAQ196617:FAR196617 FKM196617:FKN196617 FUI196617:FUJ196617 GEE196617:GEF196617 GOA196617:GOB196617 GXW196617:GXX196617 HHS196617:HHT196617 HRO196617:HRP196617 IBK196617:IBL196617 ILG196617:ILH196617 IVC196617:IVD196617 JEY196617:JEZ196617 JOU196617:JOV196617 JYQ196617:JYR196617 KIM196617:KIN196617 KSI196617:KSJ196617 LCE196617:LCF196617 LMA196617:LMB196617 LVW196617:LVX196617 MFS196617:MFT196617 MPO196617:MPP196617 MZK196617:MZL196617 NJG196617:NJH196617 NTC196617:NTD196617 OCY196617:OCZ196617 OMU196617:OMV196617 OWQ196617:OWR196617 PGM196617:PGN196617 PQI196617:PQJ196617 QAE196617:QAF196617 QKA196617:QKB196617 QTW196617:QTX196617 RDS196617:RDT196617 RNO196617:RNP196617 RXK196617:RXL196617 SHG196617:SHH196617 SRC196617:SRD196617 TAY196617:TAZ196617 TKU196617:TKV196617 TUQ196617:TUR196617 UEM196617:UEN196617 UOI196617:UOJ196617 UYE196617:UYF196617 VIA196617:VIB196617 VRW196617:VRX196617 WBS196617:WBT196617 WLO196617:WLP196617 WVK196617:WVL196617 C262153:D262153 IY262153:IZ262153 SU262153:SV262153 ACQ262153:ACR262153 AMM262153:AMN262153 AWI262153:AWJ262153 BGE262153:BGF262153 BQA262153:BQB262153 BZW262153:BZX262153 CJS262153:CJT262153 CTO262153:CTP262153 DDK262153:DDL262153 DNG262153:DNH262153 DXC262153:DXD262153 EGY262153:EGZ262153 EQU262153:EQV262153 FAQ262153:FAR262153 FKM262153:FKN262153 FUI262153:FUJ262153 GEE262153:GEF262153 GOA262153:GOB262153 GXW262153:GXX262153 HHS262153:HHT262153 HRO262153:HRP262153 IBK262153:IBL262153 ILG262153:ILH262153 IVC262153:IVD262153 JEY262153:JEZ262153 JOU262153:JOV262153 JYQ262153:JYR262153 KIM262153:KIN262153 KSI262153:KSJ262153 LCE262153:LCF262153 LMA262153:LMB262153 LVW262153:LVX262153 MFS262153:MFT262153 MPO262153:MPP262153 MZK262153:MZL262153 NJG262153:NJH262153 NTC262153:NTD262153 OCY262153:OCZ262153 OMU262153:OMV262153 OWQ262153:OWR262153 PGM262153:PGN262153 PQI262153:PQJ262153 QAE262153:QAF262153 QKA262153:QKB262153 QTW262153:QTX262153 RDS262153:RDT262153 RNO262153:RNP262153 RXK262153:RXL262153 SHG262153:SHH262153 SRC262153:SRD262153 TAY262153:TAZ262153 TKU262153:TKV262153 TUQ262153:TUR262153 UEM262153:UEN262153 UOI262153:UOJ262153 UYE262153:UYF262153 VIA262153:VIB262153 VRW262153:VRX262153 WBS262153:WBT262153 WLO262153:WLP262153 WVK262153:WVL262153 C327689:D327689 IY327689:IZ327689 SU327689:SV327689 ACQ327689:ACR327689 AMM327689:AMN327689 AWI327689:AWJ327689 BGE327689:BGF327689 BQA327689:BQB327689 BZW327689:BZX327689 CJS327689:CJT327689 CTO327689:CTP327689 DDK327689:DDL327689 DNG327689:DNH327689 DXC327689:DXD327689 EGY327689:EGZ327689 EQU327689:EQV327689 FAQ327689:FAR327689 FKM327689:FKN327689 FUI327689:FUJ327689 GEE327689:GEF327689 GOA327689:GOB327689 GXW327689:GXX327689 HHS327689:HHT327689 HRO327689:HRP327689 IBK327689:IBL327689 ILG327689:ILH327689 IVC327689:IVD327689 JEY327689:JEZ327689 JOU327689:JOV327689 JYQ327689:JYR327689 KIM327689:KIN327689 KSI327689:KSJ327689 LCE327689:LCF327689 LMA327689:LMB327689 LVW327689:LVX327689 MFS327689:MFT327689 MPO327689:MPP327689 MZK327689:MZL327689 NJG327689:NJH327689 NTC327689:NTD327689 OCY327689:OCZ327689 OMU327689:OMV327689 OWQ327689:OWR327689 PGM327689:PGN327689 PQI327689:PQJ327689 QAE327689:QAF327689 QKA327689:QKB327689 QTW327689:QTX327689 RDS327689:RDT327689 RNO327689:RNP327689 RXK327689:RXL327689 SHG327689:SHH327689 SRC327689:SRD327689 TAY327689:TAZ327689 TKU327689:TKV327689 TUQ327689:TUR327689 UEM327689:UEN327689 UOI327689:UOJ327689 UYE327689:UYF327689 VIA327689:VIB327689 VRW327689:VRX327689 WBS327689:WBT327689 WLO327689:WLP327689 WVK327689:WVL327689 C393225:D393225 IY393225:IZ393225 SU393225:SV393225 ACQ393225:ACR393225 AMM393225:AMN393225 AWI393225:AWJ393225 BGE393225:BGF393225 BQA393225:BQB393225 BZW393225:BZX393225 CJS393225:CJT393225 CTO393225:CTP393225 DDK393225:DDL393225 DNG393225:DNH393225 DXC393225:DXD393225 EGY393225:EGZ393225 EQU393225:EQV393225 FAQ393225:FAR393225 FKM393225:FKN393225 FUI393225:FUJ393225 GEE393225:GEF393225 GOA393225:GOB393225 GXW393225:GXX393225 HHS393225:HHT393225 HRO393225:HRP393225 IBK393225:IBL393225 ILG393225:ILH393225 IVC393225:IVD393225 JEY393225:JEZ393225 JOU393225:JOV393225 JYQ393225:JYR393225 KIM393225:KIN393225 KSI393225:KSJ393225 LCE393225:LCF393225 LMA393225:LMB393225 LVW393225:LVX393225 MFS393225:MFT393225 MPO393225:MPP393225 MZK393225:MZL393225 NJG393225:NJH393225 NTC393225:NTD393225 OCY393225:OCZ393225 OMU393225:OMV393225 OWQ393225:OWR393225 PGM393225:PGN393225 PQI393225:PQJ393225 QAE393225:QAF393225 QKA393225:QKB393225 QTW393225:QTX393225 RDS393225:RDT393225 RNO393225:RNP393225 RXK393225:RXL393225 SHG393225:SHH393225 SRC393225:SRD393225 TAY393225:TAZ393225 TKU393225:TKV393225 TUQ393225:TUR393225 UEM393225:UEN393225 UOI393225:UOJ393225 UYE393225:UYF393225 VIA393225:VIB393225 VRW393225:VRX393225 WBS393225:WBT393225 WLO393225:WLP393225 WVK393225:WVL393225 C458761:D458761 IY458761:IZ458761 SU458761:SV458761 ACQ458761:ACR458761 AMM458761:AMN458761 AWI458761:AWJ458761 BGE458761:BGF458761 BQA458761:BQB458761 BZW458761:BZX458761 CJS458761:CJT458761 CTO458761:CTP458761 DDK458761:DDL458761 DNG458761:DNH458761 DXC458761:DXD458761 EGY458761:EGZ458761 EQU458761:EQV458761 FAQ458761:FAR458761 FKM458761:FKN458761 FUI458761:FUJ458761 GEE458761:GEF458761 GOA458761:GOB458761 GXW458761:GXX458761 HHS458761:HHT458761 HRO458761:HRP458761 IBK458761:IBL458761 ILG458761:ILH458761 IVC458761:IVD458761 JEY458761:JEZ458761 JOU458761:JOV458761 JYQ458761:JYR458761 KIM458761:KIN458761 KSI458761:KSJ458761 LCE458761:LCF458761 LMA458761:LMB458761 LVW458761:LVX458761 MFS458761:MFT458761 MPO458761:MPP458761 MZK458761:MZL458761 NJG458761:NJH458761 NTC458761:NTD458761 OCY458761:OCZ458761 OMU458761:OMV458761 OWQ458761:OWR458761 PGM458761:PGN458761 PQI458761:PQJ458761 QAE458761:QAF458761 QKA458761:QKB458761 QTW458761:QTX458761 RDS458761:RDT458761 RNO458761:RNP458761 RXK458761:RXL458761 SHG458761:SHH458761 SRC458761:SRD458761 TAY458761:TAZ458761 TKU458761:TKV458761 TUQ458761:TUR458761 UEM458761:UEN458761 UOI458761:UOJ458761 UYE458761:UYF458761 VIA458761:VIB458761 VRW458761:VRX458761 WBS458761:WBT458761 WLO458761:WLP458761 WVK458761:WVL458761 C524297:D524297 IY524297:IZ524297 SU524297:SV524297 ACQ524297:ACR524297 AMM524297:AMN524297 AWI524297:AWJ524297 BGE524297:BGF524297 BQA524297:BQB524297 BZW524297:BZX524297 CJS524297:CJT524297 CTO524297:CTP524297 DDK524297:DDL524297 DNG524297:DNH524297 DXC524297:DXD524297 EGY524297:EGZ524297 EQU524297:EQV524297 FAQ524297:FAR524297 FKM524297:FKN524297 FUI524297:FUJ524297 GEE524297:GEF524297 GOA524297:GOB524297 GXW524297:GXX524297 HHS524297:HHT524297 HRO524297:HRP524297 IBK524297:IBL524297 ILG524297:ILH524297 IVC524297:IVD524297 JEY524297:JEZ524297 JOU524297:JOV524297 JYQ524297:JYR524297 KIM524297:KIN524297 KSI524297:KSJ524297 LCE524297:LCF524297 LMA524297:LMB524297 LVW524297:LVX524297 MFS524297:MFT524297 MPO524297:MPP524297 MZK524297:MZL524297 NJG524297:NJH524297 NTC524297:NTD524297 OCY524297:OCZ524297 OMU524297:OMV524297 OWQ524297:OWR524297 PGM524297:PGN524297 PQI524297:PQJ524297 QAE524297:QAF524297 QKA524297:QKB524297 QTW524297:QTX524297 RDS524297:RDT524297 RNO524297:RNP524297 RXK524297:RXL524297 SHG524297:SHH524297 SRC524297:SRD524297 TAY524297:TAZ524297 TKU524297:TKV524297 TUQ524297:TUR524297 UEM524297:UEN524297 UOI524297:UOJ524297 UYE524297:UYF524297 VIA524297:VIB524297 VRW524297:VRX524297 WBS524297:WBT524297 WLO524297:WLP524297 WVK524297:WVL524297 C589833:D589833 IY589833:IZ589833 SU589833:SV589833 ACQ589833:ACR589833 AMM589833:AMN589833 AWI589833:AWJ589833 BGE589833:BGF589833 BQA589833:BQB589833 BZW589833:BZX589833 CJS589833:CJT589833 CTO589833:CTP589833 DDK589833:DDL589833 DNG589833:DNH589833 DXC589833:DXD589833 EGY589833:EGZ589833 EQU589833:EQV589833 FAQ589833:FAR589833 FKM589833:FKN589833 FUI589833:FUJ589833 GEE589833:GEF589833 GOA589833:GOB589833 GXW589833:GXX589833 HHS589833:HHT589833 HRO589833:HRP589833 IBK589833:IBL589833 ILG589833:ILH589833 IVC589833:IVD589833 JEY589833:JEZ589833 JOU589833:JOV589833 JYQ589833:JYR589833 KIM589833:KIN589833 KSI589833:KSJ589833 LCE589833:LCF589833 LMA589833:LMB589833 LVW589833:LVX589833 MFS589833:MFT589833 MPO589833:MPP589833 MZK589833:MZL589833 NJG589833:NJH589833 NTC589833:NTD589833 OCY589833:OCZ589833 OMU589833:OMV589833 OWQ589833:OWR589833 PGM589833:PGN589833 PQI589833:PQJ589833 QAE589833:QAF589833 QKA589833:QKB589833 QTW589833:QTX589833 RDS589833:RDT589833 RNO589833:RNP589833 RXK589833:RXL589833 SHG589833:SHH589833 SRC589833:SRD589833 TAY589833:TAZ589833 TKU589833:TKV589833 TUQ589833:TUR589833 UEM589833:UEN589833 UOI589833:UOJ589833 UYE589833:UYF589833 VIA589833:VIB589833 VRW589833:VRX589833 WBS589833:WBT589833 WLO589833:WLP589833 WVK589833:WVL589833 C655369:D655369 IY655369:IZ655369 SU655369:SV655369 ACQ655369:ACR655369 AMM655369:AMN655369 AWI655369:AWJ655369 BGE655369:BGF655369 BQA655369:BQB655369 BZW655369:BZX655369 CJS655369:CJT655369 CTO655369:CTP655369 DDK655369:DDL655369 DNG655369:DNH655369 DXC655369:DXD655369 EGY655369:EGZ655369 EQU655369:EQV655369 FAQ655369:FAR655369 FKM655369:FKN655369 FUI655369:FUJ655369 GEE655369:GEF655369 GOA655369:GOB655369 GXW655369:GXX655369 HHS655369:HHT655369 HRO655369:HRP655369 IBK655369:IBL655369 ILG655369:ILH655369 IVC655369:IVD655369 JEY655369:JEZ655369 JOU655369:JOV655369 JYQ655369:JYR655369 KIM655369:KIN655369 KSI655369:KSJ655369 LCE655369:LCF655369 LMA655369:LMB655369 LVW655369:LVX655369 MFS655369:MFT655369 MPO655369:MPP655369 MZK655369:MZL655369 NJG655369:NJH655369 NTC655369:NTD655369 OCY655369:OCZ655369 OMU655369:OMV655369 OWQ655369:OWR655369 PGM655369:PGN655369 PQI655369:PQJ655369 QAE655369:QAF655369 QKA655369:QKB655369 QTW655369:QTX655369 RDS655369:RDT655369 RNO655369:RNP655369 RXK655369:RXL655369 SHG655369:SHH655369 SRC655369:SRD655369 TAY655369:TAZ655369 TKU655369:TKV655369 TUQ655369:TUR655369 UEM655369:UEN655369 UOI655369:UOJ655369 UYE655369:UYF655369 VIA655369:VIB655369 VRW655369:VRX655369 WBS655369:WBT655369 WLO655369:WLP655369 WVK655369:WVL655369 C720905:D720905 IY720905:IZ720905 SU720905:SV720905 ACQ720905:ACR720905 AMM720905:AMN720905 AWI720905:AWJ720905 BGE720905:BGF720905 BQA720905:BQB720905 BZW720905:BZX720905 CJS720905:CJT720905 CTO720905:CTP720905 DDK720905:DDL720905 DNG720905:DNH720905 DXC720905:DXD720905 EGY720905:EGZ720905 EQU720905:EQV720905 FAQ720905:FAR720905 FKM720905:FKN720905 FUI720905:FUJ720905 GEE720905:GEF720905 GOA720905:GOB720905 GXW720905:GXX720905 HHS720905:HHT720905 HRO720905:HRP720905 IBK720905:IBL720905 ILG720905:ILH720905 IVC720905:IVD720905 JEY720905:JEZ720905 JOU720905:JOV720905 JYQ720905:JYR720905 KIM720905:KIN720905 KSI720905:KSJ720905 LCE720905:LCF720905 LMA720905:LMB720905 LVW720905:LVX720905 MFS720905:MFT720905 MPO720905:MPP720905 MZK720905:MZL720905 NJG720905:NJH720905 NTC720905:NTD720905 OCY720905:OCZ720905 OMU720905:OMV720905 OWQ720905:OWR720905 PGM720905:PGN720905 PQI720905:PQJ720905 QAE720905:QAF720905 QKA720905:QKB720905 QTW720905:QTX720905 RDS720905:RDT720905 RNO720905:RNP720905 RXK720905:RXL720905 SHG720905:SHH720905 SRC720905:SRD720905 TAY720905:TAZ720905 TKU720905:TKV720905 TUQ720905:TUR720905 UEM720905:UEN720905 UOI720905:UOJ720905 UYE720905:UYF720905 VIA720905:VIB720905 VRW720905:VRX720905 WBS720905:WBT720905 WLO720905:WLP720905 WVK720905:WVL720905 C786441:D786441 IY786441:IZ786441 SU786441:SV786441 ACQ786441:ACR786441 AMM786441:AMN786441 AWI786441:AWJ786441 BGE786441:BGF786441 BQA786441:BQB786441 BZW786441:BZX786441 CJS786441:CJT786441 CTO786441:CTP786441 DDK786441:DDL786441 DNG786441:DNH786441 DXC786441:DXD786441 EGY786441:EGZ786441 EQU786441:EQV786441 FAQ786441:FAR786441 FKM786441:FKN786441 FUI786441:FUJ786441 GEE786441:GEF786441 GOA786441:GOB786441 GXW786441:GXX786441 HHS786441:HHT786441 HRO786441:HRP786441 IBK786441:IBL786441 ILG786441:ILH786441 IVC786441:IVD786441 JEY786441:JEZ786441 JOU786441:JOV786441 JYQ786441:JYR786441 KIM786441:KIN786441 KSI786441:KSJ786441 LCE786441:LCF786441 LMA786441:LMB786441 LVW786441:LVX786441 MFS786441:MFT786441 MPO786441:MPP786441 MZK786441:MZL786441 NJG786441:NJH786441 NTC786441:NTD786441 OCY786441:OCZ786441 OMU786441:OMV786441 OWQ786441:OWR786441 PGM786441:PGN786441 PQI786441:PQJ786441 QAE786441:QAF786441 QKA786441:QKB786441 QTW786441:QTX786441 RDS786441:RDT786441 RNO786441:RNP786441 RXK786441:RXL786441 SHG786441:SHH786441 SRC786441:SRD786441 TAY786441:TAZ786441 TKU786441:TKV786441 TUQ786441:TUR786441 UEM786441:UEN786441 UOI786441:UOJ786441 UYE786441:UYF786441 VIA786441:VIB786441 VRW786441:VRX786441 WBS786441:WBT786441 WLO786441:WLP786441 WVK786441:WVL786441 C851977:D851977 IY851977:IZ851977 SU851977:SV851977 ACQ851977:ACR851977 AMM851977:AMN851977 AWI851977:AWJ851977 BGE851977:BGF851977 BQA851977:BQB851977 BZW851977:BZX851977 CJS851977:CJT851977 CTO851977:CTP851977 DDK851977:DDL851977 DNG851977:DNH851977 DXC851977:DXD851977 EGY851977:EGZ851977 EQU851977:EQV851977 FAQ851977:FAR851977 FKM851977:FKN851977 FUI851977:FUJ851977 GEE851977:GEF851977 GOA851977:GOB851977 GXW851977:GXX851977 HHS851977:HHT851977 HRO851977:HRP851977 IBK851977:IBL851977 ILG851977:ILH851977 IVC851977:IVD851977 JEY851977:JEZ851977 JOU851977:JOV851977 JYQ851977:JYR851977 KIM851977:KIN851977 KSI851977:KSJ851977 LCE851977:LCF851977 LMA851977:LMB851977 LVW851977:LVX851977 MFS851977:MFT851977 MPO851977:MPP851977 MZK851977:MZL851977 NJG851977:NJH851977 NTC851977:NTD851977 OCY851977:OCZ851977 OMU851977:OMV851977 OWQ851977:OWR851977 PGM851977:PGN851977 PQI851977:PQJ851977 QAE851977:QAF851977 QKA851977:QKB851977 QTW851977:QTX851977 RDS851977:RDT851977 RNO851977:RNP851977 RXK851977:RXL851977 SHG851977:SHH851977 SRC851977:SRD851977 TAY851977:TAZ851977 TKU851977:TKV851977 TUQ851977:TUR851977 UEM851977:UEN851977 UOI851977:UOJ851977 UYE851977:UYF851977 VIA851977:VIB851977 VRW851977:VRX851977 WBS851977:WBT851977 WLO851977:WLP851977 WVK851977:WVL851977 C917513:D917513 IY917513:IZ917513 SU917513:SV917513 ACQ917513:ACR917513 AMM917513:AMN917513 AWI917513:AWJ917513 BGE917513:BGF917513 BQA917513:BQB917513 BZW917513:BZX917513 CJS917513:CJT917513 CTO917513:CTP917513 DDK917513:DDL917513 DNG917513:DNH917513 DXC917513:DXD917513 EGY917513:EGZ917513 EQU917513:EQV917513 FAQ917513:FAR917513 FKM917513:FKN917513 FUI917513:FUJ917513 GEE917513:GEF917513 GOA917513:GOB917513 GXW917513:GXX917513 HHS917513:HHT917513 HRO917513:HRP917513 IBK917513:IBL917513 ILG917513:ILH917513 IVC917513:IVD917513 JEY917513:JEZ917513 JOU917513:JOV917513 JYQ917513:JYR917513 KIM917513:KIN917513 KSI917513:KSJ917513 LCE917513:LCF917513 LMA917513:LMB917513 LVW917513:LVX917513 MFS917513:MFT917513 MPO917513:MPP917513 MZK917513:MZL917513 NJG917513:NJH917513 NTC917513:NTD917513 OCY917513:OCZ917513 OMU917513:OMV917513 OWQ917513:OWR917513 PGM917513:PGN917513 PQI917513:PQJ917513 QAE917513:QAF917513 QKA917513:QKB917513 QTW917513:QTX917513 RDS917513:RDT917513 RNO917513:RNP917513 RXK917513:RXL917513 SHG917513:SHH917513 SRC917513:SRD917513 TAY917513:TAZ917513 TKU917513:TKV917513 TUQ917513:TUR917513 UEM917513:UEN917513 UOI917513:UOJ917513 UYE917513:UYF917513 VIA917513:VIB917513 VRW917513:VRX917513 WBS917513:WBT917513 WLO917513:WLP917513 WVK917513:WVL917513 C983049:D983049 IY983049:IZ983049 SU983049:SV983049 ACQ983049:ACR983049 AMM983049:AMN983049 AWI983049:AWJ983049 BGE983049:BGF983049 BQA983049:BQB983049 BZW983049:BZX983049 CJS983049:CJT983049 CTO983049:CTP983049 DDK983049:DDL983049 DNG983049:DNH983049 DXC983049:DXD983049 EGY983049:EGZ983049 EQU983049:EQV983049 FAQ983049:FAR983049 FKM983049:FKN983049 FUI983049:FUJ983049 GEE983049:GEF983049 GOA983049:GOB983049 GXW983049:GXX983049 HHS983049:HHT983049 HRO983049:HRP983049 IBK983049:IBL983049 ILG983049:ILH983049 IVC983049:IVD983049 JEY983049:JEZ983049 JOU983049:JOV983049 JYQ983049:JYR983049 KIM983049:KIN983049 KSI983049:KSJ983049 LCE983049:LCF983049 LMA983049:LMB983049 LVW983049:LVX983049 MFS983049:MFT983049 MPO983049:MPP983049 MZK983049:MZL983049 NJG983049:NJH983049 NTC983049:NTD983049 OCY983049:OCZ983049 OMU983049:OMV983049 OWQ983049:OWR983049 PGM983049:PGN983049 PQI983049:PQJ983049 QAE983049:QAF983049 QKA983049:QKB983049 QTW983049:QTX983049 RDS983049:RDT983049 RNO983049:RNP983049 RXK983049:RXL983049 SHG983049:SHH983049 SRC983049:SRD983049 TAY983049:TAZ983049 TKU983049:TKV983049 TUQ983049:TUR983049 UEM983049:UEN983049 UOI983049:UOJ983049 UYE983049:UYF983049 VIA983049:VIB983049 VRW983049:VRX983049 WBS983049:WBT983049 WLO983049:WLP983049 WVK983049:WVL983049" xr:uid="{79A33FDF-8DFA-4F8E-BE85-CF739146CF79}">
      <formula1>"Core1,Core2,Core3"</formula1>
    </dataValidation>
  </dataValidations>
  <printOptions horizontalCentered="1" verticalCentered="1"/>
  <pageMargins left="0.5" right="0.5" top="0.5" bottom="0.5" header="0" footer="0"/>
  <pageSetup paperSize="9" scale="99"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96A5C-156C-42DC-97EC-73BA814A4FF3}">
  <sheetPr codeName="Sheet222">
    <tabColor indexed="45"/>
  </sheetPr>
  <dimension ref="A1:Y172"/>
  <sheetViews>
    <sheetView showZeros="0" view="pageBreakPreview" zoomScale="115" zoomScaleNormal="100" zoomScaleSheetLayoutView="115" workbookViewId="0">
      <selection activeCell="Q33" sqref="Q33"/>
    </sheetView>
  </sheetViews>
  <sheetFormatPr defaultColWidth="4.33203125" defaultRowHeight="18" customHeight="1"/>
  <cols>
    <col min="1" max="16384" width="4.33203125" style="30"/>
  </cols>
  <sheetData>
    <row r="1" spans="1:24"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Title!H2</f>
        <v>ADEQUACY CHECK</v>
      </c>
      <c r="I2" s="730"/>
      <c r="J2" s="730"/>
      <c r="K2" s="730"/>
      <c r="L2" s="730"/>
      <c r="M2" s="730"/>
      <c r="N2" s="731"/>
      <c r="O2" s="702" t="str">
        <f>Title!O2</f>
        <v>Date</v>
      </c>
      <c r="P2" s="703"/>
      <c r="Q2" s="704"/>
      <c r="R2" s="732">
        <f>Title!R2</f>
        <v>46106</v>
      </c>
      <c r="S2" s="733"/>
      <c r="T2" s="733"/>
      <c r="U2" s="733"/>
      <c r="V2" s="734"/>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14"/>
      <c r="X4" s="14"/>
    </row>
    <row r="5" spans="1:24" ht="18" customHeight="1">
      <c r="A5" s="708" t="str">
        <f>Title!A5</f>
        <v>Prep. By</v>
      </c>
      <c r="B5" s="709"/>
      <c r="C5" s="25" t="str">
        <f>Title!C5</f>
        <v>AP</v>
      </c>
      <c r="D5" s="708" t="str">
        <f>Title!D5</f>
        <v>Checked By</v>
      </c>
      <c r="E5" s="710"/>
      <c r="F5" s="709"/>
      <c r="G5" s="25" t="str">
        <f>Title!G5</f>
        <v>RB</v>
      </c>
      <c r="H5" s="711" t="s">
        <v>658</v>
      </c>
      <c r="I5" s="712"/>
      <c r="J5" s="712"/>
      <c r="K5" s="712"/>
      <c r="L5" s="712"/>
      <c r="M5" s="712"/>
      <c r="N5" s="713"/>
      <c r="O5" s="714" t="str">
        <f>Title!O5</f>
        <v>Contractor</v>
      </c>
      <c r="P5" s="715"/>
      <c r="Q5" s="716"/>
      <c r="R5" s="705" t="str">
        <f>Title!R5</f>
        <v>HITACHI</v>
      </c>
      <c r="S5" s="706"/>
      <c r="T5" s="706"/>
      <c r="U5" s="706"/>
      <c r="V5" s="707"/>
      <c r="W5" s="14"/>
      <c r="X5" s="14"/>
    </row>
    <row r="6" spans="1:24" ht="18" customHeight="1">
      <c r="A6" s="196"/>
      <c r="V6" s="197"/>
    </row>
    <row r="7" spans="1:24" ht="18" customHeight="1">
      <c r="A7" s="196"/>
      <c r="B7" s="696" t="s">
        <v>120</v>
      </c>
      <c r="C7" s="697"/>
      <c r="D7" s="696" t="s">
        <v>121</v>
      </c>
      <c r="E7" s="698"/>
      <c r="F7" s="267"/>
      <c r="H7" s="638" t="s">
        <v>570</v>
      </c>
      <c r="I7" s="639"/>
      <c r="J7" s="639"/>
      <c r="K7" s="639"/>
      <c r="L7" s="639"/>
      <c r="M7" s="639"/>
      <c r="P7" s="198"/>
      <c r="S7" s="199" t="s">
        <v>398</v>
      </c>
      <c r="T7" s="694" t="s">
        <v>571</v>
      </c>
      <c r="U7" s="695"/>
      <c r="V7" s="197"/>
    </row>
    <row r="8" spans="1:24" ht="18" customHeight="1">
      <c r="A8" s="196"/>
      <c r="B8" s="654"/>
      <c r="C8" s="655"/>
      <c r="D8" s="699"/>
      <c r="E8" s="700"/>
      <c r="F8" s="267"/>
      <c r="T8" s="694" t="s">
        <v>243</v>
      </c>
      <c r="U8" s="695"/>
      <c r="V8" s="197"/>
    </row>
    <row r="9" spans="1:24" ht="18" customHeight="1">
      <c r="A9" s="196"/>
      <c r="H9" s="662" t="s">
        <v>401</v>
      </c>
      <c r="I9" s="662"/>
      <c r="J9" s="701" t="s">
        <v>402</v>
      </c>
      <c r="K9" s="701"/>
      <c r="L9" s="701" t="s">
        <v>403</v>
      </c>
      <c r="M9" s="701"/>
      <c r="T9" s="694" t="s">
        <v>205</v>
      </c>
      <c r="U9" s="695"/>
      <c r="V9" s="197"/>
    </row>
    <row r="10" spans="1:24" ht="18" customHeight="1">
      <c r="A10" s="196"/>
      <c r="B10" s="47" t="s">
        <v>404</v>
      </c>
      <c r="H10" s="692">
        <v>3150</v>
      </c>
      <c r="I10" s="693"/>
      <c r="J10" s="656">
        <v>2000</v>
      </c>
      <c r="K10" s="657"/>
      <c r="L10" s="656" t="s">
        <v>7</v>
      </c>
      <c r="M10" s="657"/>
      <c r="N10" s="203" t="s">
        <v>353</v>
      </c>
      <c r="O10" s="125">
        <v>1</v>
      </c>
      <c r="P10" s="27" t="s">
        <v>9</v>
      </c>
      <c r="R10" s="267"/>
      <c r="S10" s="267"/>
      <c r="T10" s="694" t="s">
        <v>676</v>
      </c>
      <c r="U10" s="695"/>
      <c r="V10" s="197"/>
    </row>
    <row r="11" spans="1:24" ht="18" customHeight="1">
      <c r="A11" s="196"/>
      <c r="B11" s="47" t="s">
        <v>405</v>
      </c>
      <c r="H11" s="305" t="s">
        <v>572</v>
      </c>
      <c r="I11" s="306">
        <v>20</v>
      </c>
      <c r="V11" s="197"/>
    </row>
    <row r="12" spans="1:24" ht="18" customHeight="1">
      <c r="A12" s="196"/>
      <c r="B12" s="47" t="s">
        <v>407</v>
      </c>
      <c r="G12" s="120" t="s">
        <v>508</v>
      </c>
      <c r="H12" s="654">
        <v>9</v>
      </c>
      <c r="I12" s="655"/>
      <c r="J12" s="204" t="s">
        <v>344</v>
      </c>
      <c r="V12" s="197"/>
    </row>
    <row r="13" spans="1:24" ht="18" customHeight="1">
      <c r="A13" s="196"/>
      <c r="B13" s="47" t="s">
        <v>573</v>
      </c>
      <c r="G13" s="120" t="s">
        <v>504</v>
      </c>
      <c r="H13" s="656">
        <v>7.5</v>
      </c>
      <c r="I13" s="657"/>
      <c r="J13" s="14" t="s">
        <v>168</v>
      </c>
      <c r="T13" s="307"/>
      <c r="U13" s="18"/>
      <c r="V13" s="197"/>
      <c r="W13" s="30" t="str">
        <f>G42</f>
        <v>Suitably Dimensioned</v>
      </c>
    </row>
    <row r="14" spans="1:24" ht="18" customHeight="1">
      <c r="A14" s="196"/>
      <c r="H14" s="14"/>
      <c r="V14" s="197"/>
    </row>
    <row r="15" spans="1:24" ht="18" customHeight="1">
      <c r="A15" s="205" t="s">
        <v>415</v>
      </c>
      <c r="V15" s="197"/>
    </row>
    <row r="16" spans="1:24" ht="18" customHeight="1">
      <c r="A16" s="196"/>
      <c r="V16" s="197"/>
    </row>
    <row r="17" spans="1:25" ht="18" customHeight="1">
      <c r="A17" s="196"/>
      <c r="B17" s="141" t="s">
        <v>416</v>
      </c>
      <c r="C17" s="285"/>
      <c r="D17" s="146" t="str">
        <f>T7</f>
        <v>7SJ85</v>
      </c>
      <c r="E17" s="239"/>
      <c r="F17" s="239"/>
      <c r="G17" s="239"/>
      <c r="H17" s="145"/>
      <c r="I17" s="272" t="s">
        <v>138</v>
      </c>
      <c r="J17" s="684">
        <f>'CT-VT Burdens'!Q54</f>
        <v>0.02</v>
      </c>
      <c r="K17" s="685"/>
      <c r="L17" s="3" t="s">
        <v>168</v>
      </c>
      <c r="N17" s="209" t="s">
        <v>521</v>
      </c>
      <c r="V17" s="197"/>
    </row>
    <row r="18" spans="1:25" ht="18" customHeight="1">
      <c r="A18" s="196"/>
      <c r="B18" s="96" t="s">
        <v>416</v>
      </c>
      <c r="D18" s="308" t="str">
        <f>T8</f>
        <v>SEL751</v>
      </c>
      <c r="I18" s="189" t="s">
        <v>138</v>
      </c>
      <c r="J18" s="686">
        <f>'CT-VT Burdens'!Q55</f>
        <v>0.02</v>
      </c>
      <c r="K18" s="687"/>
      <c r="L18" s="210" t="s">
        <v>168</v>
      </c>
      <c r="P18" s="256"/>
      <c r="V18" s="197"/>
    </row>
    <row r="19" spans="1:25" ht="18" customHeight="1">
      <c r="A19" s="196"/>
      <c r="B19" s="96" t="s">
        <v>416</v>
      </c>
      <c r="C19" s="14"/>
      <c r="D19" s="47" t="str">
        <f>T9</f>
        <v>FMS</v>
      </c>
      <c r="E19" s="14"/>
      <c r="G19" s="211"/>
      <c r="H19" s="27"/>
      <c r="I19" s="101" t="s">
        <v>138</v>
      </c>
      <c r="J19" s="688">
        <f>'CT-VT Burdens'!Q92</f>
        <v>5.8000000000000003E-2</v>
      </c>
      <c r="K19" s="689"/>
      <c r="L19" s="214" t="s">
        <v>168</v>
      </c>
      <c r="V19" s="197"/>
    </row>
    <row r="20" spans="1:25" ht="18" customHeight="1">
      <c r="A20" s="196"/>
      <c r="B20" s="96" t="s">
        <v>416</v>
      </c>
      <c r="C20" s="14"/>
      <c r="D20" s="47" t="s">
        <v>676</v>
      </c>
      <c r="E20" s="14"/>
      <c r="G20" s="211"/>
      <c r="H20" s="27"/>
      <c r="I20" s="101"/>
      <c r="J20" s="688">
        <f>'CT-VT Burdens'!Q88</f>
        <v>0.2</v>
      </c>
      <c r="K20" s="684"/>
      <c r="L20" s="214" t="s">
        <v>168</v>
      </c>
      <c r="N20" s="120" t="s">
        <v>502</v>
      </c>
      <c r="O20" s="27" t="s">
        <v>138</v>
      </c>
      <c r="P20" s="27" t="s">
        <v>522</v>
      </c>
      <c r="Q20" s="27" t="s">
        <v>326</v>
      </c>
      <c r="R20" s="27" t="s">
        <v>522</v>
      </c>
      <c r="S20" s="27" t="s">
        <v>326</v>
      </c>
      <c r="T20" s="27" t="s">
        <v>431</v>
      </c>
      <c r="V20" s="197"/>
    </row>
    <row r="21" spans="1:25" ht="18" customHeight="1">
      <c r="A21" s="196"/>
      <c r="B21" s="196" t="s">
        <v>423</v>
      </c>
      <c r="C21" s="14"/>
      <c r="D21" s="14"/>
      <c r="E21" s="14"/>
      <c r="H21" s="27"/>
      <c r="I21" s="101" t="s">
        <v>138</v>
      </c>
      <c r="J21" s="690">
        <f>'CT-VT Burdens'!S22</f>
        <v>1.44186744</v>
      </c>
      <c r="K21" s="691"/>
      <c r="L21" s="309" t="s">
        <v>168</v>
      </c>
      <c r="O21" s="27" t="s">
        <v>138</v>
      </c>
      <c r="P21" s="27">
        <f>O10</f>
        <v>1</v>
      </c>
      <c r="Q21" s="27" t="s">
        <v>326</v>
      </c>
      <c r="R21" s="27">
        <f>O10</f>
        <v>1</v>
      </c>
      <c r="S21" s="27" t="s">
        <v>326</v>
      </c>
      <c r="T21" s="27">
        <f>H12</f>
        <v>9</v>
      </c>
      <c r="V21" s="197"/>
    </row>
    <row r="22" spans="1:25" ht="18" customHeight="1">
      <c r="A22" s="196"/>
      <c r="B22" s="1" t="s">
        <v>424</v>
      </c>
      <c r="C22" s="2"/>
      <c r="D22" s="2"/>
      <c r="E22" s="2"/>
      <c r="F22" s="208"/>
      <c r="G22" s="208"/>
      <c r="H22" s="236" t="s">
        <v>523</v>
      </c>
      <c r="I22" s="195" t="s">
        <v>138</v>
      </c>
      <c r="J22" s="648">
        <f>SUM(J17:J21)</f>
        <v>1.73986744</v>
      </c>
      <c r="K22" s="649"/>
      <c r="L22" s="3" t="s">
        <v>168</v>
      </c>
      <c r="O22" s="27" t="s">
        <v>138</v>
      </c>
      <c r="P22" s="637">
        <f>P21*R21*T21</f>
        <v>9</v>
      </c>
      <c r="Q22" s="639"/>
      <c r="R22" s="27" t="s">
        <v>168</v>
      </c>
      <c r="S22" s="27"/>
      <c r="T22" s="27"/>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554</v>
      </c>
      <c r="D24" s="14"/>
      <c r="E24" s="14"/>
      <c r="F24" s="14"/>
      <c r="G24" s="14"/>
      <c r="H24" s="291"/>
      <c r="I24" s="120"/>
      <c r="J24" s="291"/>
      <c r="K24" s="291"/>
      <c r="L24" s="14"/>
      <c r="M24" s="14"/>
      <c r="N24" s="14"/>
      <c r="O24" s="14"/>
      <c r="P24" s="14"/>
      <c r="Q24" s="120" t="s">
        <v>555</v>
      </c>
      <c r="R24" s="102" t="s">
        <v>138</v>
      </c>
      <c r="S24" s="638">
        <v>31500</v>
      </c>
      <c r="T24" s="638"/>
      <c r="U24" s="47" t="s">
        <v>9</v>
      </c>
      <c r="V24" s="97" t="s">
        <v>140</v>
      </c>
      <c r="X24" s="310" t="s">
        <v>574</v>
      </c>
    </row>
    <row r="25" spans="1:25" ht="18" customHeight="1">
      <c r="A25" s="180"/>
      <c r="B25" s="5"/>
      <c r="C25" s="47" t="s">
        <v>556</v>
      </c>
      <c r="D25" s="14"/>
      <c r="E25" s="14"/>
      <c r="F25" s="18"/>
      <c r="G25" s="18"/>
      <c r="H25" s="291"/>
      <c r="I25" s="120"/>
      <c r="J25" s="291"/>
      <c r="K25" s="291"/>
      <c r="L25" s="14"/>
      <c r="M25" s="14"/>
      <c r="N25" s="14"/>
      <c r="O25" s="14"/>
      <c r="P25" s="14"/>
      <c r="Q25" s="120" t="s">
        <v>434</v>
      </c>
      <c r="R25" s="102" t="s">
        <v>138</v>
      </c>
      <c r="S25" s="638">
        <f>H10</f>
        <v>3150</v>
      </c>
      <c r="T25" s="638"/>
      <c r="U25" s="14" t="s">
        <v>9</v>
      </c>
      <c r="V25" s="197"/>
    </row>
    <row r="26" spans="1:25" ht="18" customHeight="1">
      <c r="A26" s="180"/>
      <c r="B26" s="5"/>
      <c r="C26" s="47" t="s">
        <v>558</v>
      </c>
      <c r="D26" s="14"/>
      <c r="E26" s="14"/>
      <c r="F26" s="18"/>
      <c r="G26" s="18"/>
      <c r="H26" s="291"/>
      <c r="I26" s="120"/>
      <c r="J26" s="291"/>
      <c r="K26" s="291"/>
      <c r="L26" s="14"/>
      <c r="M26" s="14"/>
      <c r="N26" s="14"/>
      <c r="O26" s="14"/>
      <c r="P26" s="14"/>
      <c r="Q26" s="120" t="s">
        <v>502</v>
      </c>
      <c r="R26" s="102" t="s">
        <v>138</v>
      </c>
      <c r="S26" s="641">
        <f>P22</f>
        <v>9</v>
      </c>
      <c r="T26" s="638"/>
      <c r="U26" s="14" t="s">
        <v>168</v>
      </c>
      <c r="V26" s="197"/>
      <c r="W26" s="291"/>
      <c r="X26" s="291"/>
      <c r="Y26" s="291"/>
    </row>
    <row r="27" spans="1:25" ht="18" customHeight="1">
      <c r="A27" s="180"/>
      <c r="B27" s="5"/>
      <c r="C27" s="47" t="s">
        <v>559</v>
      </c>
      <c r="D27" s="14"/>
      <c r="E27" s="14"/>
      <c r="F27" s="18"/>
      <c r="G27" s="18"/>
      <c r="H27" s="291"/>
      <c r="I27" s="120"/>
      <c r="J27" s="291"/>
      <c r="K27" s="291"/>
      <c r="L27" s="14"/>
      <c r="M27" s="14"/>
      <c r="N27" s="14"/>
      <c r="O27" s="14"/>
      <c r="P27" s="14"/>
      <c r="Q27" s="120" t="s">
        <v>523</v>
      </c>
      <c r="R27" s="102" t="s">
        <v>138</v>
      </c>
      <c r="S27" s="641">
        <f>J22</f>
        <v>1.73986744</v>
      </c>
      <c r="T27" s="638"/>
      <c r="U27" s="14" t="s">
        <v>168</v>
      </c>
      <c r="V27" s="197"/>
      <c r="X27" s="291"/>
      <c r="Y27" s="291"/>
    </row>
    <row r="28" spans="1:25" ht="18" customHeight="1">
      <c r="A28" s="180"/>
      <c r="B28" s="5"/>
      <c r="C28" s="47" t="s">
        <v>560</v>
      </c>
      <c r="D28" s="14"/>
      <c r="E28" s="14"/>
      <c r="F28" s="14"/>
      <c r="G28" s="14"/>
      <c r="H28" s="291"/>
      <c r="I28" s="120"/>
      <c r="J28" s="291"/>
      <c r="K28" s="291"/>
      <c r="L28" s="14"/>
      <c r="M28" s="14"/>
      <c r="N28" s="14"/>
      <c r="O28" s="14"/>
      <c r="P28" s="14"/>
      <c r="Q28" s="120" t="s">
        <v>522</v>
      </c>
      <c r="R28" s="102" t="s">
        <v>138</v>
      </c>
      <c r="S28" s="638">
        <f>O10</f>
        <v>1</v>
      </c>
      <c r="T28" s="638"/>
      <c r="U28" s="14" t="s">
        <v>9</v>
      </c>
      <c r="V28" s="197"/>
      <c r="X28" s="291"/>
      <c r="Y28" s="291"/>
    </row>
    <row r="29" spans="1:25" ht="18" customHeight="1">
      <c r="A29" s="180"/>
      <c r="B29" s="5"/>
      <c r="C29" s="47" t="s">
        <v>561</v>
      </c>
      <c r="D29" s="14"/>
      <c r="E29" s="14"/>
      <c r="F29" s="14"/>
      <c r="G29" s="14"/>
      <c r="H29" s="291"/>
      <c r="I29" s="120"/>
      <c r="J29" s="291"/>
      <c r="K29" s="291"/>
      <c r="L29" s="14"/>
      <c r="M29" s="14"/>
      <c r="N29" s="14"/>
      <c r="O29" s="14"/>
      <c r="P29" s="14"/>
      <c r="Q29" s="120" t="s">
        <v>506</v>
      </c>
      <c r="R29" s="102" t="s">
        <v>138</v>
      </c>
      <c r="S29" s="638">
        <f>I11</f>
        <v>20</v>
      </c>
      <c r="T29" s="638"/>
      <c r="U29" s="47"/>
      <c r="V29" s="197"/>
    </row>
    <row r="30" spans="1:25" ht="18" customHeight="1">
      <c r="A30" s="311"/>
      <c r="B30" s="291"/>
      <c r="C30" s="47" t="s">
        <v>562</v>
      </c>
      <c r="D30" s="14"/>
      <c r="E30" s="14"/>
      <c r="F30" s="14"/>
      <c r="G30" s="14"/>
      <c r="H30" s="291"/>
      <c r="I30" s="120"/>
      <c r="J30" s="291"/>
      <c r="K30" s="291"/>
      <c r="L30" s="14"/>
      <c r="M30" s="14"/>
      <c r="N30" s="291"/>
      <c r="O30" s="291"/>
      <c r="P30" s="14"/>
      <c r="Q30" s="120" t="s">
        <v>504</v>
      </c>
      <c r="R30" s="102" t="s">
        <v>138</v>
      </c>
      <c r="S30" s="638">
        <f>H13</f>
        <v>7.5</v>
      </c>
      <c r="T30" s="638"/>
      <c r="U30" s="14" t="s">
        <v>168</v>
      </c>
      <c r="V30" s="312"/>
      <c r="W30" s="291"/>
      <c r="X30" s="291"/>
      <c r="Y30" s="291"/>
    </row>
    <row r="31" spans="1:25" ht="18" customHeight="1">
      <c r="A31" s="196"/>
      <c r="V31" s="197"/>
    </row>
    <row r="32" spans="1:25" ht="18" customHeight="1">
      <c r="A32" s="196"/>
      <c r="E32" s="256" t="s">
        <v>123</v>
      </c>
      <c r="F32" s="27" t="s">
        <v>138</v>
      </c>
      <c r="G32" s="638" t="s">
        <v>555</v>
      </c>
      <c r="H32" s="638"/>
      <c r="I32" s="203" t="s">
        <v>353</v>
      </c>
      <c r="J32" s="639" t="s">
        <v>434</v>
      </c>
      <c r="K32" s="639"/>
      <c r="V32" s="197"/>
    </row>
    <row r="33" spans="1:22" ht="18" customHeight="1">
      <c r="A33" s="196"/>
      <c r="F33" s="27" t="s">
        <v>138</v>
      </c>
      <c r="G33" s="639">
        <f>S24</f>
        <v>31500</v>
      </c>
      <c r="H33" s="639"/>
      <c r="I33" s="203" t="s">
        <v>353</v>
      </c>
      <c r="J33" s="639">
        <f>S25</f>
        <v>3150</v>
      </c>
      <c r="K33" s="639"/>
      <c r="V33" s="197"/>
    </row>
    <row r="34" spans="1:22" ht="18" customHeight="1">
      <c r="A34" s="196"/>
      <c r="F34" s="27" t="s">
        <v>138</v>
      </c>
      <c r="G34" s="637">
        <f>G33/J33</f>
        <v>10</v>
      </c>
      <c r="H34" s="637"/>
      <c r="I34" s="27"/>
      <c r="J34" s="27"/>
      <c r="K34" s="27"/>
      <c r="V34" s="197"/>
    </row>
    <row r="35" spans="1:22" ht="18" customHeight="1">
      <c r="A35" s="196"/>
      <c r="V35" s="197"/>
    </row>
    <row r="36" spans="1:22" ht="18" customHeight="1">
      <c r="A36" s="196"/>
      <c r="E36" s="256" t="s">
        <v>564</v>
      </c>
      <c r="F36" s="27" t="s">
        <v>138</v>
      </c>
      <c r="G36" s="27" t="s">
        <v>506</v>
      </c>
      <c r="H36" s="27" t="s">
        <v>565</v>
      </c>
      <c r="I36" s="120" t="s">
        <v>502</v>
      </c>
      <c r="J36" s="28" t="s">
        <v>358</v>
      </c>
      <c r="K36" s="120" t="s">
        <v>504</v>
      </c>
      <c r="L36" s="28" t="s">
        <v>550</v>
      </c>
      <c r="M36" s="120" t="s">
        <v>502</v>
      </c>
      <c r="N36" s="28" t="s">
        <v>358</v>
      </c>
      <c r="O36" s="120" t="s">
        <v>523</v>
      </c>
      <c r="P36" s="308" t="s">
        <v>361</v>
      </c>
      <c r="Q36" s="14"/>
      <c r="V36" s="197"/>
    </row>
    <row r="37" spans="1:22" ht="18" customHeight="1">
      <c r="A37" s="196"/>
      <c r="F37" s="27" t="s">
        <v>138</v>
      </c>
      <c r="G37" s="254">
        <f>S29</f>
        <v>20</v>
      </c>
      <c r="H37" s="257" t="s">
        <v>565</v>
      </c>
      <c r="I37" s="313">
        <f>S26</f>
        <v>9</v>
      </c>
      <c r="J37" s="257" t="s">
        <v>358</v>
      </c>
      <c r="K37" s="254">
        <f>S30</f>
        <v>7.5</v>
      </c>
      <c r="L37" s="257" t="s">
        <v>550</v>
      </c>
      <c r="M37" s="313">
        <f>S26</f>
        <v>9</v>
      </c>
      <c r="N37" s="257" t="s">
        <v>358</v>
      </c>
      <c r="O37" s="313">
        <f>S27</f>
        <v>1.73986744</v>
      </c>
      <c r="P37" s="308" t="s">
        <v>361</v>
      </c>
      <c r="V37" s="197"/>
    </row>
    <row r="38" spans="1:22" ht="18" customHeight="1">
      <c r="A38" s="196"/>
      <c r="F38" s="27" t="s">
        <v>138</v>
      </c>
      <c r="G38" s="640">
        <f>G37*((I37+K37)/(M37+O37))</f>
        <v>30.726636231182386</v>
      </c>
      <c r="H38" s="640"/>
      <c r="I38" s="254"/>
      <c r="J38" s="254"/>
      <c r="K38" s="254"/>
      <c r="L38" s="254"/>
      <c r="M38" s="254"/>
      <c r="N38" s="254"/>
      <c r="O38" s="254"/>
      <c r="V38" s="197"/>
    </row>
    <row r="39" spans="1:22" ht="18" customHeight="1">
      <c r="A39" s="196"/>
      <c r="V39" s="197"/>
    </row>
    <row r="40" spans="1:22" ht="18" customHeight="1">
      <c r="A40" s="196"/>
      <c r="E40" s="256" t="s">
        <v>566</v>
      </c>
      <c r="F40" s="27" t="str">
        <f>IF(D41&gt;G41,"&gt;","&lt;")</f>
        <v>&gt;</v>
      </c>
      <c r="G40" s="308" t="s">
        <v>123</v>
      </c>
      <c r="V40" s="197"/>
    </row>
    <row r="41" spans="1:22" ht="18" customHeight="1">
      <c r="A41" s="196"/>
      <c r="D41" s="637">
        <f>G38</f>
        <v>30.726636231182386</v>
      </c>
      <c r="E41" s="637"/>
      <c r="F41" s="27" t="str">
        <f>F40</f>
        <v>&gt;</v>
      </c>
      <c r="G41" s="637">
        <f>G34</f>
        <v>10</v>
      </c>
      <c r="H41" s="637"/>
      <c r="V41" s="197"/>
    </row>
    <row r="42" spans="1:22" ht="18" customHeight="1">
      <c r="A42" s="196"/>
      <c r="E42" s="256" t="s">
        <v>489</v>
      </c>
      <c r="G42" s="18" t="str">
        <f>IF(F40="&gt;","Suitably Dimensioned","Under Dimensioned")</f>
        <v>Suitably Dimensioned</v>
      </c>
      <c r="V42" s="197"/>
    </row>
    <row r="43" spans="1:22" ht="18" customHeight="1">
      <c r="A43" s="196"/>
      <c r="V43" s="197"/>
    </row>
    <row r="44" spans="1:22" ht="18" customHeight="1">
      <c r="A44" s="196"/>
      <c r="V44" s="197"/>
    </row>
    <row r="45" spans="1:22" ht="18" customHeight="1">
      <c r="A45" s="196"/>
      <c r="J45" s="14" t="s">
        <v>270</v>
      </c>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2"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2" ht="18" customHeight="1">
      <c r="A48" s="196"/>
      <c r="B48" s="667" t="str">
        <f>B7</f>
        <v>T1</v>
      </c>
      <c r="C48" s="668"/>
      <c r="D48" s="680" t="str">
        <f>D7</f>
        <v>Core3</v>
      </c>
      <c r="E48" s="681"/>
      <c r="F48" s="267"/>
      <c r="H48" s="639" t="str">
        <f>H7</f>
        <v>(OC +BCU)</v>
      </c>
      <c r="I48" s="639"/>
      <c r="J48" s="639"/>
      <c r="K48" s="639"/>
      <c r="L48" s="639"/>
      <c r="M48" s="639"/>
      <c r="P48" s="198"/>
      <c r="S48" s="199" t="s">
        <v>398</v>
      </c>
      <c r="T48" s="677" t="str">
        <f>T7</f>
        <v>7SJ85</v>
      </c>
      <c r="U48" s="678"/>
      <c r="V48" s="197"/>
    </row>
    <row r="49" spans="1:23" ht="18" customHeight="1">
      <c r="A49" s="196"/>
      <c r="B49" s="679">
        <f>B8</f>
        <v>0</v>
      </c>
      <c r="C49" s="679"/>
      <c r="D49" s="682"/>
      <c r="E49" s="683"/>
      <c r="F49" s="267"/>
      <c r="T49" s="677" t="str">
        <f>T8</f>
        <v>SEL751</v>
      </c>
      <c r="U49" s="678"/>
      <c r="V49" s="197"/>
    </row>
    <row r="50" spans="1:23" ht="18" customHeight="1">
      <c r="A50" s="196"/>
      <c r="H50" s="661" t="s">
        <v>401</v>
      </c>
      <c r="I50" s="661"/>
      <c r="J50" s="662" t="s">
        <v>402</v>
      </c>
      <c r="K50" s="662"/>
      <c r="L50" s="661" t="s">
        <v>403</v>
      </c>
      <c r="M50" s="661"/>
      <c r="T50" s="677" t="str">
        <f>T9</f>
        <v>FMS</v>
      </c>
      <c r="U50" s="678"/>
      <c r="V50" s="197"/>
    </row>
    <row r="51" spans="1:23" ht="18" customHeight="1">
      <c r="A51" s="196"/>
      <c r="B51" s="47" t="s">
        <v>404</v>
      </c>
      <c r="H51" s="667">
        <f>H10</f>
        <v>3150</v>
      </c>
      <c r="I51" s="668"/>
      <c r="J51" s="669">
        <f>J10</f>
        <v>2000</v>
      </c>
      <c r="K51" s="670"/>
      <c r="L51" s="667" t="str">
        <f>L10</f>
        <v>-</v>
      </c>
      <c r="M51" s="668"/>
      <c r="N51" s="203" t="s">
        <v>353</v>
      </c>
      <c r="O51" s="501">
        <f>O10</f>
        <v>1</v>
      </c>
      <c r="P51" s="27" t="s">
        <v>9</v>
      </c>
      <c r="R51" s="267"/>
      <c r="S51" s="267"/>
      <c r="T51" s="677" t="str">
        <f>T10</f>
        <v>AVR</v>
      </c>
      <c r="U51" s="678"/>
      <c r="V51" s="197"/>
    </row>
    <row r="52" spans="1:23" ht="18" customHeight="1">
      <c r="A52" s="196"/>
      <c r="B52" s="47" t="s">
        <v>405</v>
      </c>
      <c r="J52" s="503" t="str">
        <f>H11</f>
        <v>5P</v>
      </c>
      <c r="K52" s="502">
        <f>I11</f>
        <v>20</v>
      </c>
      <c r="V52" s="197"/>
    </row>
    <row r="53" spans="1:23" ht="18" customHeight="1">
      <c r="A53" s="196"/>
      <c r="B53" s="47" t="s">
        <v>407</v>
      </c>
      <c r="I53" s="120" t="s">
        <v>508</v>
      </c>
      <c r="J53" s="654">
        <v>5</v>
      </c>
      <c r="K53" s="655"/>
      <c r="L53" s="204" t="s">
        <v>344</v>
      </c>
      <c r="V53" s="197"/>
    </row>
    <row r="54" spans="1:23" ht="18" customHeight="1">
      <c r="A54" s="196"/>
      <c r="B54" s="47" t="s">
        <v>573</v>
      </c>
      <c r="I54" s="120" t="s">
        <v>504</v>
      </c>
      <c r="J54" s="656">
        <v>5</v>
      </c>
      <c r="K54" s="657"/>
      <c r="L54" s="14" t="s">
        <v>168</v>
      </c>
      <c r="T54" s="307"/>
      <c r="U54" s="18"/>
      <c r="V54" s="197"/>
      <c r="W54" s="30" t="str">
        <f>G83</f>
        <v>Suitably Dimentioned</v>
      </c>
    </row>
    <row r="55" spans="1:23" ht="18" customHeight="1">
      <c r="A55" s="196"/>
      <c r="V55" s="197"/>
    </row>
    <row r="56" spans="1:23" ht="18" customHeight="1">
      <c r="A56" s="205" t="s">
        <v>415</v>
      </c>
      <c r="V56" s="197"/>
    </row>
    <row r="57" spans="1:23" ht="18" customHeight="1">
      <c r="A57" s="196"/>
      <c r="V57" s="197"/>
    </row>
    <row r="58" spans="1:23" ht="18" customHeight="1">
      <c r="A58" s="196"/>
      <c r="B58" s="141" t="s">
        <v>416</v>
      </c>
      <c r="C58" s="285"/>
      <c r="D58" s="146" t="str">
        <f>T48</f>
        <v>7SJ85</v>
      </c>
      <c r="E58" s="239"/>
      <c r="F58" s="239"/>
      <c r="G58" s="239"/>
      <c r="H58" s="145"/>
      <c r="I58" s="272" t="s">
        <v>138</v>
      </c>
      <c r="J58" s="648">
        <f>J17</f>
        <v>0.02</v>
      </c>
      <c r="K58" s="649"/>
      <c r="L58" s="3" t="s">
        <v>168</v>
      </c>
      <c r="N58" s="209" t="s">
        <v>521</v>
      </c>
      <c r="V58" s="197"/>
    </row>
    <row r="59" spans="1:23" ht="18" customHeight="1">
      <c r="A59" s="196"/>
      <c r="B59" s="96" t="s">
        <v>416</v>
      </c>
      <c r="D59" s="308" t="str">
        <f>T49</f>
        <v>SEL751</v>
      </c>
      <c r="I59" s="189" t="s">
        <v>138</v>
      </c>
      <c r="J59" s="642">
        <f>J18</f>
        <v>0.02</v>
      </c>
      <c r="K59" s="643"/>
      <c r="L59" s="210" t="s">
        <v>168</v>
      </c>
      <c r="P59" s="256"/>
      <c r="V59" s="197"/>
    </row>
    <row r="60" spans="1:23" ht="18" customHeight="1">
      <c r="A60" s="196"/>
      <c r="B60" s="96" t="s">
        <v>416</v>
      </c>
      <c r="C60" s="14"/>
      <c r="D60" s="47" t="str">
        <f>T50</f>
        <v>FMS</v>
      </c>
      <c r="E60" s="14"/>
      <c r="G60" s="211"/>
      <c r="H60" s="27"/>
      <c r="I60" s="101" t="s">
        <v>138</v>
      </c>
      <c r="J60" s="644">
        <f>J19</f>
        <v>5.8000000000000003E-2</v>
      </c>
      <c r="K60" s="645"/>
      <c r="L60" s="214" t="s">
        <v>168</v>
      </c>
      <c r="V60" s="197"/>
    </row>
    <row r="61" spans="1:23" ht="18" customHeight="1">
      <c r="A61" s="196"/>
      <c r="B61" s="96" t="s">
        <v>416</v>
      </c>
      <c r="C61" s="14"/>
      <c r="D61" s="47" t="str">
        <f>T51</f>
        <v>AVR</v>
      </c>
      <c r="E61" s="14"/>
      <c r="G61" s="211"/>
      <c r="H61" s="27"/>
      <c r="I61" s="101"/>
      <c r="J61" s="644">
        <f>J20</f>
        <v>0.2</v>
      </c>
      <c r="K61" s="645"/>
      <c r="L61" s="214" t="s">
        <v>168</v>
      </c>
      <c r="N61" s="120" t="s">
        <v>502</v>
      </c>
      <c r="O61" s="27" t="s">
        <v>138</v>
      </c>
      <c r="P61" s="27" t="s">
        <v>522</v>
      </c>
      <c r="Q61" s="27" t="s">
        <v>326</v>
      </c>
      <c r="R61" s="27" t="s">
        <v>522</v>
      </c>
      <c r="S61" s="27" t="s">
        <v>326</v>
      </c>
      <c r="T61" s="27" t="s">
        <v>431</v>
      </c>
      <c r="V61" s="197"/>
    </row>
    <row r="62" spans="1:23" ht="18" customHeight="1">
      <c r="A62" s="196"/>
      <c r="B62" s="196" t="s">
        <v>423</v>
      </c>
      <c r="C62" s="14"/>
      <c r="D62" s="14"/>
      <c r="E62" s="14"/>
      <c r="H62" s="27"/>
      <c r="I62" s="101" t="s">
        <v>138</v>
      </c>
      <c r="J62" s="646">
        <f>J21</f>
        <v>1.44186744</v>
      </c>
      <c r="K62" s="647"/>
      <c r="L62" s="309" t="s">
        <v>168</v>
      </c>
      <c r="O62" s="27" t="s">
        <v>138</v>
      </c>
      <c r="P62" s="27">
        <f>O51</f>
        <v>1</v>
      </c>
      <c r="Q62" s="27" t="s">
        <v>326</v>
      </c>
      <c r="R62" s="27">
        <f>O51</f>
        <v>1</v>
      </c>
      <c r="S62" s="27" t="s">
        <v>326</v>
      </c>
      <c r="T62" s="27">
        <f>J53</f>
        <v>5</v>
      </c>
      <c r="V62" s="197"/>
    </row>
    <row r="63" spans="1:23" ht="18" customHeight="1">
      <c r="A63" s="196"/>
      <c r="B63" s="1" t="s">
        <v>424</v>
      </c>
      <c r="C63" s="2"/>
      <c r="D63" s="2"/>
      <c r="E63" s="2"/>
      <c r="F63" s="208"/>
      <c r="G63" s="208"/>
      <c r="H63" s="236" t="s">
        <v>523</v>
      </c>
      <c r="I63" s="195" t="s">
        <v>138</v>
      </c>
      <c r="J63" s="648">
        <f>SUM(J58:J62)</f>
        <v>1.73986744</v>
      </c>
      <c r="K63" s="649"/>
      <c r="L63" s="3" t="s">
        <v>168</v>
      </c>
      <c r="O63" s="27" t="s">
        <v>138</v>
      </c>
      <c r="P63" s="637">
        <f>P62*R62*T62</f>
        <v>5</v>
      </c>
      <c r="Q63" s="639"/>
      <c r="R63" s="27" t="s">
        <v>168</v>
      </c>
      <c r="S63" s="27"/>
      <c r="T63" s="27"/>
      <c r="V63" s="197"/>
    </row>
    <row r="64" spans="1:23" ht="18" customHeight="1">
      <c r="A64" s="196"/>
      <c r="B64" s="47"/>
      <c r="C64" s="47"/>
      <c r="D64" s="47"/>
      <c r="E64" s="47"/>
      <c r="H64" s="27"/>
      <c r="I64" s="28"/>
      <c r="J64" s="211"/>
      <c r="L64" s="47"/>
      <c r="O64" s="27"/>
      <c r="P64" s="223"/>
      <c r="Q64" s="27"/>
      <c r="R64" s="216"/>
      <c r="S64" s="27"/>
      <c r="V64" s="197"/>
    </row>
    <row r="65" spans="1:25" ht="18" customHeight="1">
      <c r="A65" s="180"/>
      <c r="B65" s="5"/>
      <c r="C65" s="47" t="s">
        <v>554</v>
      </c>
      <c r="D65" s="14"/>
      <c r="E65" s="14"/>
      <c r="F65" s="14"/>
      <c r="G65" s="14"/>
      <c r="H65" s="291"/>
      <c r="I65" s="120"/>
      <c r="J65" s="291"/>
      <c r="K65" s="291"/>
      <c r="L65" s="14"/>
      <c r="M65" s="14"/>
      <c r="N65" s="14"/>
      <c r="O65" s="14"/>
      <c r="P65" s="14"/>
      <c r="Q65" s="120" t="s">
        <v>555</v>
      </c>
      <c r="R65" s="102" t="s">
        <v>138</v>
      </c>
      <c r="S65" s="638">
        <f>S24</f>
        <v>31500</v>
      </c>
      <c r="T65" s="638"/>
      <c r="U65" s="47" t="s">
        <v>9</v>
      </c>
      <c r="V65" s="197"/>
    </row>
    <row r="66" spans="1:25" ht="18" customHeight="1">
      <c r="A66" s="180"/>
      <c r="B66" s="5"/>
      <c r="C66" s="47" t="s">
        <v>556</v>
      </c>
      <c r="D66" s="14"/>
      <c r="E66" s="14"/>
      <c r="F66" s="18"/>
      <c r="G66" s="18"/>
      <c r="H66" s="291"/>
      <c r="I66" s="120"/>
      <c r="J66" s="291"/>
      <c r="K66" s="291"/>
      <c r="L66" s="14"/>
      <c r="M66" s="14"/>
      <c r="N66" s="14"/>
      <c r="O66" s="14"/>
      <c r="P66" s="14"/>
      <c r="Q66" s="120" t="s">
        <v>434</v>
      </c>
      <c r="R66" s="102" t="s">
        <v>138</v>
      </c>
      <c r="S66" s="638">
        <f>J51</f>
        <v>2000</v>
      </c>
      <c r="T66" s="638"/>
      <c r="U66" s="14" t="s">
        <v>9</v>
      </c>
      <c r="V66" s="197"/>
    </row>
    <row r="67" spans="1:25" ht="18" customHeight="1">
      <c r="A67" s="180"/>
      <c r="B67" s="5"/>
      <c r="C67" s="47" t="s">
        <v>558</v>
      </c>
      <c r="D67" s="14"/>
      <c r="E67" s="14"/>
      <c r="F67" s="18"/>
      <c r="G67" s="18"/>
      <c r="H67" s="291"/>
      <c r="I67" s="120"/>
      <c r="J67" s="291"/>
      <c r="K67" s="291"/>
      <c r="L67" s="14"/>
      <c r="M67" s="14"/>
      <c r="N67" s="14"/>
      <c r="O67" s="14"/>
      <c r="P67" s="14"/>
      <c r="Q67" s="120" t="s">
        <v>502</v>
      </c>
      <c r="R67" s="102" t="s">
        <v>138</v>
      </c>
      <c r="S67" s="641">
        <f>P63</f>
        <v>5</v>
      </c>
      <c r="T67" s="638"/>
      <c r="U67" s="14" t="s">
        <v>168</v>
      </c>
      <c r="V67" s="197"/>
      <c r="W67" s="291"/>
      <c r="X67" s="291"/>
      <c r="Y67" s="291"/>
    </row>
    <row r="68" spans="1:25" ht="18" customHeight="1">
      <c r="A68" s="180"/>
      <c r="B68" s="5"/>
      <c r="C68" s="47" t="s">
        <v>559</v>
      </c>
      <c r="D68" s="14"/>
      <c r="E68" s="14"/>
      <c r="F68" s="18"/>
      <c r="G68" s="18"/>
      <c r="H68" s="291"/>
      <c r="I68" s="120"/>
      <c r="J68" s="291"/>
      <c r="K68" s="291"/>
      <c r="L68" s="14"/>
      <c r="M68" s="14"/>
      <c r="N68" s="14"/>
      <c r="O68" s="14"/>
      <c r="P68" s="14"/>
      <c r="Q68" s="120" t="s">
        <v>523</v>
      </c>
      <c r="R68" s="102" t="s">
        <v>138</v>
      </c>
      <c r="S68" s="641">
        <f>J63</f>
        <v>1.73986744</v>
      </c>
      <c r="T68" s="638"/>
      <c r="U68" s="14" t="s">
        <v>168</v>
      </c>
      <c r="V68" s="197"/>
      <c r="X68" s="291"/>
      <c r="Y68" s="291"/>
    </row>
    <row r="69" spans="1:25" ht="18" customHeight="1">
      <c r="A69" s="180"/>
      <c r="B69" s="5"/>
      <c r="C69" s="47" t="s">
        <v>560</v>
      </c>
      <c r="D69" s="14"/>
      <c r="E69" s="14"/>
      <c r="F69" s="14"/>
      <c r="G69" s="14"/>
      <c r="H69" s="291"/>
      <c r="I69" s="120"/>
      <c r="J69" s="291"/>
      <c r="K69" s="291"/>
      <c r="L69" s="14"/>
      <c r="M69" s="14"/>
      <c r="N69" s="14"/>
      <c r="O69" s="14"/>
      <c r="P69" s="14"/>
      <c r="Q69" s="120" t="s">
        <v>522</v>
      </c>
      <c r="R69" s="102" t="s">
        <v>138</v>
      </c>
      <c r="S69" s="638">
        <f>O51</f>
        <v>1</v>
      </c>
      <c r="T69" s="638"/>
      <c r="U69" s="14" t="s">
        <v>9</v>
      </c>
      <c r="V69" s="197"/>
      <c r="X69" s="291"/>
      <c r="Y69" s="291"/>
    </row>
    <row r="70" spans="1:25" ht="18" customHeight="1">
      <c r="A70" s="180"/>
      <c r="B70" s="5"/>
      <c r="C70" s="47" t="s">
        <v>561</v>
      </c>
      <c r="D70" s="14"/>
      <c r="E70" s="14"/>
      <c r="F70" s="14"/>
      <c r="G70" s="14"/>
      <c r="H70" s="291"/>
      <c r="I70" s="120"/>
      <c r="J70" s="291"/>
      <c r="K70" s="291"/>
      <c r="L70" s="14"/>
      <c r="M70" s="14"/>
      <c r="N70" s="14"/>
      <c r="O70" s="14"/>
      <c r="P70" s="14"/>
      <c r="Q70" s="120" t="s">
        <v>506</v>
      </c>
      <c r="R70" s="102" t="s">
        <v>138</v>
      </c>
      <c r="S70" s="638">
        <f>K52</f>
        <v>20</v>
      </c>
      <c r="T70" s="638"/>
      <c r="U70" s="47"/>
      <c r="V70" s="197"/>
    </row>
    <row r="71" spans="1:25" ht="18" customHeight="1">
      <c r="A71" s="311"/>
      <c r="B71" s="291"/>
      <c r="C71" s="47" t="s">
        <v>562</v>
      </c>
      <c r="D71" s="14"/>
      <c r="E71" s="14"/>
      <c r="F71" s="14"/>
      <c r="G71" s="14"/>
      <c r="H71" s="291"/>
      <c r="I71" s="120"/>
      <c r="J71" s="291"/>
      <c r="K71" s="291"/>
      <c r="L71" s="14"/>
      <c r="M71" s="14"/>
      <c r="N71" s="291"/>
      <c r="O71" s="291"/>
      <c r="P71" s="14"/>
      <c r="Q71" s="120" t="s">
        <v>504</v>
      </c>
      <c r="R71" s="102" t="s">
        <v>138</v>
      </c>
      <c r="S71" s="638">
        <f>J54</f>
        <v>5</v>
      </c>
      <c r="T71" s="638"/>
      <c r="U71" s="14" t="s">
        <v>168</v>
      </c>
      <c r="V71" s="312"/>
      <c r="W71" s="291"/>
      <c r="X71" s="291"/>
      <c r="Y71" s="291"/>
    </row>
    <row r="72" spans="1:25" ht="18" customHeight="1">
      <c r="A72" s="196"/>
      <c r="V72" s="197"/>
    </row>
    <row r="73" spans="1:25" ht="18" customHeight="1">
      <c r="A73" s="196"/>
      <c r="E73" s="256" t="s">
        <v>123</v>
      </c>
      <c r="F73" s="27" t="s">
        <v>138</v>
      </c>
      <c r="G73" s="638" t="s">
        <v>555</v>
      </c>
      <c r="H73" s="638"/>
      <c r="I73" s="203" t="s">
        <v>353</v>
      </c>
      <c r="J73" s="639" t="s">
        <v>434</v>
      </c>
      <c r="K73" s="639"/>
      <c r="V73" s="197"/>
    </row>
    <row r="74" spans="1:25" ht="18" customHeight="1">
      <c r="A74" s="196"/>
      <c r="F74" s="27" t="s">
        <v>138</v>
      </c>
      <c r="G74" s="639">
        <f>S65</f>
        <v>31500</v>
      </c>
      <c r="H74" s="639"/>
      <c r="I74" s="203" t="s">
        <v>353</v>
      </c>
      <c r="J74" s="639">
        <f>S66</f>
        <v>2000</v>
      </c>
      <c r="K74" s="639"/>
      <c r="V74" s="197"/>
    </row>
    <row r="75" spans="1:25" ht="18" customHeight="1">
      <c r="A75" s="196"/>
      <c r="F75" s="27" t="s">
        <v>138</v>
      </c>
      <c r="G75" s="637">
        <f>G74/J74</f>
        <v>15.75</v>
      </c>
      <c r="H75" s="637"/>
      <c r="I75" s="27"/>
      <c r="J75" s="27"/>
      <c r="K75" s="27"/>
      <c r="V75" s="197"/>
    </row>
    <row r="76" spans="1:25" ht="18" customHeight="1">
      <c r="A76" s="196"/>
      <c r="V76" s="197"/>
    </row>
    <row r="77" spans="1:25" ht="18" customHeight="1">
      <c r="A77" s="196"/>
      <c r="E77" s="256" t="s">
        <v>564</v>
      </c>
      <c r="F77" s="27" t="s">
        <v>138</v>
      </c>
      <c r="G77" s="27" t="s">
        <v>506</v>
      </c>
      <c r="H77" s="27" t="s">
        <v>565</v>
      </c>
      <c r="I77" s="120" t="s">
        <v>502</v>
      </c>
      <c r="J77" s="28" t="s">
        <v>358</v>
      </c>
      <c r="K77" s="120" t="s">
        <v>504</v>
      </c>
      <c r="L77" s="28" t="s">
        <v>550</v>
      </c>
      <c r="M77" s="120" t="s">
        <v>502</v>
      </c>
      <c r="N77" s="28" t="s">
        <v>358</v>
      </c>
      <c r="O77" s="120" t="s">
        <v>523</v>
      </c>
      <c r="P77" s="308" t="s">
        <v>361</v>
      </c>
      <c r="V77" s="197"/>
    </row>
    <row r="78" spans="1:25" ht="18" customHeight="1">
      <c r="A78" s="196"/>
      <c r="F78" s="27" t="s">
        <v>138</v>
      </c>
      <c r="G78" s="254">
        <f>S70</f>
        <v>20</v>
      </c>
      <c r="H78" s="257" t="s">
        <v>565</v>
      </c>
      <c r="I78" s="313">
        <f>S67</f>
        <v>5</v>
      </c>
      <c r="J78" s="257" t="s">
        <v>358</v>
      </c>
      <c r="K78" s="254">
        <f>S71</f>
        <v>5</v>
      </c>
      <c r="L78" s="257" t="s">
        <v>550</v>
      </c>
      <c r="M78" s="313">
        <f>S67</f>
        <v>5</v>
      </c>
      <c r="N78" s="257" t="s">
        <v>358</v>
      </c>
      <c r="O78" s="313">
        <f>S68</f>
        <v>1.73986744</v>
      </c>
      <c r="P78" s="308" t="s">
        <v>361</v>
      </c>
      <c r="V78" s="197"/>
    </row>
    <row r="79" spans="1:25" ht="18" customHeight="1">
      <c r="A79" s="196"/>
      <c r="F79" s="27" t="s">
        <v>138</v>
      </c>
      <c r="G79" s="640">
        <f>G78*((I78+K78)/(M78+O78))</f>
        <v>29.67417412589349</v>
      </c>
      <c r="H79" s="640"/>
      <c r="I79" s="254"/>
      <c r="J79" s="254"/>
      <c r="K79" s="254"/>
      <c r="L79" s="254"/>
      <c r="M79" s="254"/>
      <c r="N79" s="254"/>
      <c r="O79" s="254"/>
      <c r="V79" s="197"/>
    </row>
    <row r="80" spans="1:25" ht="18" customHeight="1">
      <c r="A80" s="196"/>
      <c r="V80" s="197"/>
    </row>
    <row r="81" spans="1:23" ht="18" customHeight="1">
      <c r="A81" s="196"/>
      <c r="E81" s="256" t="s">
        <v>566</v>
      </c>
      <c r="F81" s="27" t="str">
        <f>IF(D82&gt;G82,"&gt;","&lt;")</f>
        <v>&gt;</v>
      </c>
      <c r="G81" s="308" t="s">
        <v>123</v>
      </c>
      <c r="V81" s="197"/>
    </row>
    <row r="82" spans="1:23" ht="18" customHeight="1">
      <c r="A82" s="196"/>
      <c r="D82" s="637">
        <f>G79</f>
        <v>29.67417412589349</v>
      </c>
      <c r="E82" s="637"/>
      <c r="F82" s="27" t="str">
        <f>F81</f>
        <v>&gt;</v>
      </c>
      <c r="G82" s="637">
        <f>G75</f>
        <v>15.75</v>
      </c>
      <c r="H82" s="637"/>
      <c r="V82" s="197"/>
    </row>
    <row r="83" spans="1:23" ht="18" customHeight="1">
      <c r="A83" s="196"/>
      <c r="E83" s="256" t="s">
        <v>489</v>
      </c>
      <c r="G83" s="18" t="str">
        <f>IF(F81="&gt;","Suitably Dimentioned","Under Dimentioned")</f>
        <v>Suitably Dimentioned</v>
      </c>
      <c r="V83" s="197"/>
    </row>
    <row r="84" spans="1:23" ht="18" customHeight="1">
      <c r="A84" s="196"/>
      <c r="E84" s="256"/>
      <c r="G84" s="18"/>
      <c r="V84" s="197"/>
    </row>
    <row r="85" spans="1:23" ht="18" customHeight="1">
      <c r="A85" s="196"/>
      <c r="E85" s="256"/>
      <c r="G85" s="18"/>
      <c r="V85" s="197"/>
    </row>
    <row r="86" spans="1:23" ht="18" customHeight="1">
      <c r="A86" s="196"/>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650" t="str">
        <f>B48</f>
        <v>T1</v>
      </c>
      <c r="C89" s="651"/>
      <c r="D89" s="663" t="str">
        <f>D48</f>
        <v>Core3</v>
      </c>
      <c r="E89" s="664"/>
      <c r="F89" s="267"/>
      <c r="H89" s="639" t="str">
        <f>H48</f>
        <v>(OC +BCU)</v>
      </c>
      <c r="I89" s="639"/>
      <c r="J89" s="639"/>
      <c r="K89" s="639"/>
      <c r="L89" s="639"/>
      <c r="M89" s="639"/>
      <c r="P89" s="198"/>
      <c r="S89" s="199" t="s">
        <v>398</v>
      </c>
      <c r="T89" s="658" t="str">
        <f>T48</f>
        <v>7SJ85</v>
      </c>
      <c r="U89" s="659"/>
      <c r="V89" s="197"/>
    </row>
    <row r="90" spans="1:23" ht="18" hidden="1" customHeight="1">
      <c r="A90" s="196"/>
      <c r="B90" s="660">
        <f>B49</f>
        <v>0</v>
      </c>
      <c r="C90" s="660"/>
      <c r="D90" s="665"/>
      <c r="E90" s="666"/>
      <c r="F90" s="267"/>
      <c r="T90" s="658" t="str">
        <f>T49</f>
        <v>SEL751</v>
      </c>
      <c r="U90" s="659"/>
      <c r="V90" s="197"/>
    </row>
    <row r="91" spans="1:23" ht="18" hidden="1" customHeight="1">
      <c r="A91" s="196"/>
      <c r="H91" s="661" t="s">
        <v>401</v>
      </c>
      <c r="I91" s="661"/>
      <c r="J91" s="661" t="s">
        <v>402</v>
      </c>
      <c r="K91" s="661"/>
      <c r="L91" s="662" t="s">
        <v>403</v>
      </c>
      <c r="M91" s="662"/>
      <c r="T91" s="658" t="str">
        <f>T50</f>
        <v>FMS</v>
      </c>
      <c r="U91" s="659"/>
      <c r="V91" s="197"/>
    </row>
    <row r="92" spans="1:23" ht="18" hidden="1" customHeight="1">
      <c r="A92" s="196"/>
      <c r="B92" s="47" t="s">
        <v>404</v>
      </c>
      <c r="H92" s="650">
        <f>H51</f>
        <v>3150</v>
      </c>
      <c r="I92" s="651"/>
      <c r="J92" s="650">
        <f>J51</f>
        <v>2000</v>
      </c>
      <c r="K92" s="651"/>
      <c r="L92" s="652" t="str">
        <f>L51</f>
        <v>-</v>
      </c>
      <c r="M92" s="653"/>
      <c r="N92" s="203" t="s">
        <v>353</v>
      </c>
      <c r="O92" s="268">
        <f>O51</f>
        <v>1</v>
      </c>
      <c r="P92" s="27" t="s">
        <v>9</v>
      </c>
      <c r="R92" s="267"/>
      <c r="S92" s="267"/>
      <c r="V92" s="197"/>
    </row>
    <row r="93" spans="1:23" ht="18" hidden="1" customHeight="1">
      <c r="A93" s="196"/>
      <c r="B93" s="47" t="s">
        <v>405</v>
      </c>
      <c r="L93" s="314" t="str">
        <f>J52</f>
        <v>5P</v>
      </c>
      <c r="M93" s="315">
        <f>K52</f>
        <v>20</v>
      </c>
      <c r="V93" s="197"/>
    </row>
    <row r="94" spans="1:23" ht="18" hidden="1" customHeight="1">
      <c r="A94" s="196"/>
      <c r="B94" s="47" t="s">
        <v>407</v>
      </c>
      <c r="K94" s="120" t="s">
        <v>508</v>
      </c>
      <c r="L94" s="654" t="s">
        <v>7</v>
      </c>
      <c r="M94" s="655"/>
      <c r="N94" s="204" t="s">
        <v>344</v>
      </c>
      <c r="V94" s="197"/>
    </row>
    <row r="95" spans="1:23" ht="18" hidden="1" customHeight="1">
      <c r="A95" s="196"/>
      <c r="B95" s="47" t="s">
        <v>573</v>
      </c>
      <c r="K95" s="120" t="s">
        <v>504</v>
      </c>
      <c r="L95" s="656" t="s">
        <v>7</v>
      </c>
      <c r="M95" s="657"/>
      <c r="N95" s="14" t="s">
        <v>168</v>
      </c>
      <c r="T95" s="307"/>
      <c r="U95" s="18"/>
      <c r="V95" s="197"/>
      <c r="W95" s="30" t="e">
        <f>G123</f>
        <v>#VALUE!</v>
      </c>
    </row>
    <row r="96" spans="1:23" ht="18" hidden="1" customHeight="1">
      <c r="A96" s="196"/>
      <c r="V96" s="197"/>
    </row>
    <row r="97" spans="1:25" ht="18" hidden="1" customHeight="1">
      <c r="A97" s="205" t="s">
        <v>415</v>
      </c>
      <c r="V97" s="197"/>
    </row>
    <row r="98" spans="1:25" ht="18" hidden="1" customHeight="1">
      <c r="A98" s="196"/>
      <c r="V98" s="197"/>
    </row>
    <row r="99" spans="1:25" ht="18" hidden="1" customHeight="1">
      <c r="A99" s="196"/>
      <c r="B99" s="141" t="s">
        <v>416</v>
      </c>
      <c r="C99" s="285"/>
      <c r="D99" s="146" t="str">
        <f>T89</f>
        <v>7SJ85</v>
      </c>
      <c r="E99" s="239"/>
      <c r="F99" s="239"/>
      <c r="G99" s="239"/>
      <c r="H99" s="145"/>
      <c r="I99" s="272" t="s">
        <v>138</v>
      </c>
      <c r="J99" s="648">
        <f>J58</f>
        <v>0.02</v>
      </c>
      <c r="K99" s="649"/>
      <c r="L99" s="3" t="s">
        <v>168</v>
      </c>
      <c r="N99" s="209" t="s">
        <v>521</v>
      </c>
      <c r="V99" s="197"/>
    </row>
    <row r="100" spans="1:25" ht="18" hidden="1" customHeight="1">
      <c r="A100" s="196"/>
      <c r="B100" s="96" t="s">
        <v>416</v>
      </c>
      <c r="D100" s="308" t="str">
        <f>T90</f>
        <v>SEL751</v>
      </c>
      <c r="I100" s="189" t="s">
        <v>138</v>
      </c>
      <c r="J100" s="642">
        <f>J59</f>
        <v>0.02</v>
      </c>
      <c r="K100" s="643"/>
      <c r="L100" s="210" t="s">
        <v>168</v>
      </c>
      <c r="P100" s="256"/>
      <c r="V100" s="197"/>
    </row>
    <row r="101" spans="1:25" ht="18" hidden="1" customHeight="1">
      <c r="A101" s="196"/>
      <c r="B101" s="96" t="s">
        <v>416</v>
      </c>
      <c r="C101" s="14"/>
      <c r="D101" s="47" t="str">
        <f>T91</f>
        <v>FMS</v>
      </c>
      <c r="E101" s="14"/>
      <c r="G101" s="211"/>
      <c r="H101" s="27"/>
      <c r="I101" s="101" t="s">
        <v>138</v>
      </c>
      <c r="J101" s="644">
        <f>J60</f>
        <v>5.8000000000000003E-2</v>
      </c>
      <c r="K101" s="645"/>
      <c r="L101" s="214" t="s">
        <v>168</v>
      </c>
      <c r="N101" s="120" t="s">
        <v>502</v>
      </c>
      <c r="O101" s="27" t="s">
        <v>138</v>
      </c>
      <c r="P101" s="27" t="s">
        <v>522</v>
      </c>
      <c r="Q101" s="27" t="s">
        <v>326</v>
      </c>
      <c r="R101" s="27" t="s">
        <v>522</v>
      </c>
      <c r="S101" s="27" t="s">
        <v>326</v>
      </c>
      <c r="T101" s="27" t="s">
        <v>431</v>
      </c>
      <c r="V101" s="197"/>
    </row>
    <row r="102" spans="1:25" ht="18" hidden="1" customHeight="1">
      <c r="A102" s="196"/>
      <c r="B102" s="196" t="s">
        <v>423</v>
      </c>
      <c r="C102" s="14"/>
      <c r="D102" s="14"/>
      <c r="E102" s="14"/>
      <c r="H102" s="27"/>
      <c r="I102" s="101" t="s">
        <v>138</v>
      </c>
      <c r="J102" s="646">
        <f>J62</f>
        <v>1.44186744</v>
      </c>
      <c r="K102" s="647"/>
      <c r="L102" s="309" t="s">
        <v>168</v>
      </c>
      <c r="O102" s="27" t="s">
        <v>138</v>
      </c>
      <c r="P102" s="27">
        <f>O92</f>
        <v>1</v>
      </c>
      <c r="Q102" s="27" t="s">
        <v>326</v>
      </c>
      <c r="R102" s="27">
        <f>O92</f>
        <v>1</v>
      </c>
      <c r="S102" s="27" t="s">
        <v>326</v>
      </c>
      <c r="T102" s="27" t="str">
        <f>L94</f>
        <v>-</v>
      </c>
      <c r="V102" s="197"/>
    </row>
    <row r="103" spans="1:25" ht="18" hidden="1" customHeight="1">
      <c r="A103" s="196"/>
      <c r="B103" s="1" t="s">
        <v>424</v>
      </c>
      <c r="C103" s="2"/>
      <c r="D103" s="2"/>
      <c r="E103" s="2"/>
      <c r="F103" s="208"/>
      <c r="G103" s="208"/>
      <c r="H103" s="236" t="s">
        <v>523</v>
      </c>
      <c r="I103" s="195" t="s">
        <v>138</v>
      </c>
      <c r="J103" s="648">
        <f>SUM(J99:J102)</f>
        <v>1.5398674400000001</v>
      </c>
      <c r="K103" s="649"/>
      <c r="L103" s="3" t="s">
        <v>168</v>
      </c>
      <c r="O103" s="27" t="s">
        <v>138</v>
      </c>
      <c r="P103" s="637" t="e">
        <f>P102*R102*T102</f>
        <v>#VALUE!</v>
      </c>
      <c r="Q103" s="639"/>
      <c r="R103" s="27" t="s">
        <v>168</v>
      </c>
      <c r="S103" s="27"/>
      <c r="T103" s="27"/>
      <c r="V103" s="197"/>
    </row>
    <row r="104" spans="1:25" ht="18" hidden="1" customHeight="1">
      <c r="A104" s="196"/>
      <c r="B104" s="47"/>
      <c r="C104" s="47"/>
      <c r="D104" s="47"/>
      <c r="E104" s="47"/>
      <c r="H104" s="27"/>
      <c r="I104" s="28"/>
      <c r="J104" s="211"/>
      <c r="L104" s="47"/>
      <c r="O104" s="27"/>
      <c r="P104" s="223"/>
      <c r="Q104" s="27"/>
      <c r="R104" s="216"/>
      <c r="S104" s="27"/>
      <c r="V104" s="197"/>
    </row>
    <row r="105" spans="1:25" ht="18" hidden="1" customHeight="1">
      <c r="A105" s="180"/>
      <c r="B105" s="5"/>
      <c r="C105" s="47" t="s">
        <v>554</v>
      </c>
      <c r="D105" s="14"/>
      <c r="E105" s="14"/>
      <c r="F105" s="14"/>
      <c r="G105" s="14"/>
      <c r="H105" s="291"/>
      <c r="I105" s="120"/>
      <c r="J105" s="291"/>
      <c r="K105" s="291"/>
      <c r="L105" s="14"/>
      <c r="M105" s="14"/>
      <c r="N105" s="14"/>
      <c r="O105" s="14"/>
      <c r="P105" s="14"/>
      <c r="Q105" s="120" t="s">
        <v>555</v>
      </c>
      <c r="R105" s="102" t="s">
        <v>138</v>
      </c>
      <c r="S105" s="638">
        <f>S65</f>
        <v>31500</v>
      </c>
      <c r="T105" s="638"/>
      <c r="U105" s="47" t="s">
        <v>9</v>
      </c>
      <c r="V105" s="197"/>
    </row>
    <row r="106" spans="1:25" ht="18" hidden="1" customHeight="1">
      <c r="A106" s="180"/>
      <c r="B106" s="5"/>
      <c r="C106" s="47" t="s">
        <v>556</v>
      </c>
      <c r="D106" s="14"/>
      <c r="E106" s="14"/>
      <c r="F106" s="18"/>
      <c r="G106" s="18"/>
      <c r="H106" s="291"/>
      <c r="I106" s="120"/>
      <c r="J106" s="291"/>
      <c r="K106" s="291"/>
      <c r="L106" s="14"/>
      <c r="M106" s="14"/>
      <c r="N106" s="14"/>
      <c r="O106" s="14"/>
      <c r="P106" s="14"/>
      <c r="Q106" s="120" t="s">
        <v>434</v>
      </c>
      <c r="R106" s="102" t="s">
        <v>138</v>
      </c>
      <c r="S106" s="638">
        <f>J92</f>
        <v>2000</v>
      </c>
      <c r="T106" s="638"/>
      <c r="U106" s="14" t="s">
        <v>9</v>
      </c>
      <c r="V106" s="197"/>
    </row>
    <row r="107" spans="1:25" ht="18" hidden="1" customHeight="1">
      <c r="A107" s="180"/>
      <c r="B107" s="5"/>
      <c r="C107" s="47" t="s">
        <v>558</v>
      </c>
      <c r="D107" s="14"/>
      <c r="E107" s="14"/>
      <c r="F107" s="18"/>
      <c r="G107" s="18"/>
      <c r="H107" s="291"/>
      <c r="I107" s="120"/>
      <c r="J107" s="291"/>
      <c r="K107" s="291"/>
      <c r="L107" s="14"/>
      <c r="M107" s="14"/>
      <c r="N107" s="14"/>
      <c r="O107" s="14"/>
      <c r="P107" s="14"/>
      <c r="Q107" s="120" t="s">
        <v>502</v>
      </c>
      <c r="R107" s="102" t="s">
        <v>138</v>
      </c>
      <c r="S107" s="641" t="e">
        <f>P103</f>
        <v>#VALUE!</v>
      </c>
      <c r="T107" s="638"/>
      <c r="U107" s="14" t="s">
        <v>168</v>
      </c>
      <c r="V107" s="197"/>
      <c r="W107" s="291"/>
      <c r="X107" s="291"/>
      <c r="Y107" s="291"/>
    </row>
    <row r="108" spans="1:25" ht="18" hidden="1" customHeight="1">
      <c r="A108" s="180"/>
      <c r="B108" s="5"/>
      <c r="C108" s="47" t="s">
        <v>559</v>
      </c>
      <c r="D108" s="14"/>
      <c r="E108" s="14"/>
      <c r="F108" s="18"/>
      <c r="G108" s="18"/>
      <c r="H108" s="291"/>
      <c r="I108" s="120"/>
      <c r="J108" s="291"/>
      <c r="K108" s="291"/>
      <c r="L108" s="14"/>
      <c r="M108" s="14"/>
      <c r="N108" s="14"/>
      <c r="O108" s="14"/>
      <c r="P108" s="14"/>
      <c r="Q108" s="120" t="s">
        <v>523</v>
      </c>
      <c r="R108" s="102" t="s">
        <v>138</v>
      </c>
      <c r="S108" s="641">
        <f>J103</f>
        <v>1.5398674400000001</v>
      </c>
      <c r="T108" s="638"/>
      <c r="U108" s="14" t="s">
        <v>168</v>
      </c>
      <c r="V108" s="197"/>
      <c r="X108" s="291"/>
      <c r="Y108" s="291"/>
    </row>
    <row r="109" spans="1:25" ht="18" hidden="1" customHeight="1">
      <c r="A109" s="180"/>
      <c r="B109" s="5"/>
      <c r="C109" s="47" t="s">
        <v>560</v>
      </c>
      <c r="D109" s="14"/>
      <c r="E109" s="14"/>
      <c r="F109" s="14"/>
      <c r="G109" s="14"/>
      <c r="H109" s="291"/>
      <c r="I109" s="120"/>
      <c r="J109" s="291"/>
      <c r="K109" s="291"/>
      <c r="L109" s="14"/>
      <c r="M109" s="14"/>
      <c r="N109" s="14"/>
      <c r="O109" s="14"/>
      <c r="P109" s="14"/>
      <c r="Q109" s="120" t="s">
        <v>522</v>
      </c>
      <c r="R109" s="102" t="s">
        <v>138</v>
      </c>
      <c r="S109" s="638">
        <f>O92</f>
        <v>1</v>
      </c>
      <c r="T109" s="638"/>
      <c r="U109" s="14" t="s">
        <v>9</v>
      </c>
      <c r="V109" s="197"/>
      <c r="X109" s="291"/>
      <c r="Y109" s="291"/>
    </row>
    <row r="110" spans="1:25" ht="18" hidden="1" customHeight="1">
      <c r="A110" s="180"/>
      <c r="B110" s="5"/>
      <c r="C110" s="47" t="s">
        <v>561</v>
      </c>
      <c r="D110" s="14"/>
      <c r="E110" s="14"/>
      <c r="F110" s="14"/>
      <c r="G110" s="14"/>
      <c r="H110" s="291"/>
      <c r="I110" s="120"/>
      <c r="J110" s="291"/>
      <c r="K110" s="291"/>
      <c r="L110" s="14"/>
      <c r="M110" s="14"/>
      <c r="N110" s="14"/>
      <c r="O110" s="14"/>
      <c r="P110" s="14"/>
      <c r="Q110" s="120" t="s">
        <v>506</v>
      </c>
      <c r="R110" s="102" t="s">
        <v>138</v>
      </c>
      <c r="S110" s="638">
        <f>M93</f>
        <v>20</v>
      </c>
      <c r="T110" s="638"/>
      <c r="U110" s="47"/>
      <c r="V110" s="197"/>
    </row>
    <row r="111" spans="1:25" ht="18" hidden="1" customHeight="1">
      <c r="A111" s="311"/>
      <c r="B111" s="291"/>
      <c r="C111" s="47" t="s">
        <v>562</v>
      </c>
      <c r="D111" s="14"/>
      <c r="E111" s="14"/>
      <c r="F111" s="14"/>
      <c r="G111" s="14"/>
      <c r="H111" s="291"/>
      <c r="I111" s="120"/>
      <c r="J111" s="291"/>
      <c r="K111" s="291"/>
      <c r="L111" s="14"/>
      <c r="M111" s="14"/>
      <c r="N111" s="291"/>
      <c r="O111" s="291"/>
      <c r="P111" s="14"/>
      <c r="Q111" s="120" t="s">
        <v>504</v>
      </c>
      <c r="R111" s="102" t="s">
        <v>138</v>
      </c>
      <c r="S111" s="638" t="str">
        <f>L95</f>
        <v>-</v>
      </c>
      <c r="T111" s="638"/>
      <c r="U111" s="14" t="s">
        <v>168</v>
      </c>
      <c r="V111" s="312"/>
      <c r="W111" s="291"/>
      <c r="X111" s="291"/>
      <c r="Y111" s="291"/>
    </row>
    <row r="112" spans="1:25" ht="18" hidden="1" customHeight="1">
      <c r="A112" s="196"/>
      <c r="V112" s="197"/>
    </row>
    <row r="113" spans="1:22" ht="18" hidden="1" customHeight="1">
      <c r="A113" s="196"/>
      <c r="E113" s="256" t="s">
        <v>123</v>
      </c>
      <c r="F113" s="27" t="s">
        <v>138</v>
      </c>
      <c r="G113" s="638" t="s">
        <v>555</v>
      </c>
      <c r="H113" s="638"/>
      <c r="I113" s="203" t="s">
        <v>353</v>
      </c>
      <c r="J113" s="639" t="s">
        <v>434</v>
      </c>
      <c r="K113" s="639"/>
      <c r="V113" s="197"/>
    </row>
    <row r="114" spans="1:22" ht="18" hidden="1" customHeight="1">
      <c r="A114" s="196"/>
      <c r="F114" s="27" t="s">
        <v>138</v>
      </c>
      <c r="G114" s="639">
        <f>S105</f>
        <v>31500</v>
      </c>
      <c r="H114" s="639"/>
      <c r="I114" s="203" t="s">
        <v>353</v>
      </c>
      <c r="J114" s="639">
        <f>S106</f>
        <v>2000</v>
      </c>
      <c r="K114" s="639"/>
      <c r="V114" s="197"/>
    </row>
    <row r="115" spans="1:22" ht="18" hidden="1" customHeight="1">
      <c r="A115" s="196"/>
      <c r="F115" s="27" t="s">
        <v>138</v>
      </c>
      <c r="G115" s="637">
        <f>G114/J114</f>
        <v>15.75</v>
      </c>
      <c r="H115" s="637"/>
      <c r="I115" s="27"/>
      <c r="J115" s="27"/>
      <c r="K115" s="27"/>
      <c r="V115" s="197"/>
    </row>
    <row r="116" spans="1:22" ht="18" hidden="1" customHeight="1">
      <c r="A116" s="196"/>
      <c r="V116" s="197"/>
    </row>
    <row r="117" spans="1:22" ht="18" hidden="1" customHeight="1">
      <c r="A117" s="196"/>
      <c r="E117" s="256" t="s">
        <v>564</v>
      </c>
      <c r="F117" s="27" t="s">
        <v>138</v>
      </c>
      <c r="G117" s="27" t="s">
        <v>506</v>
      </c>
      <c r="H117" s="27" t="s">
        <v>565</v>
      </c>
      <c r="I117" s="120" t="s">
        <v>502</v>
      </c>
      <c r="J117" s="28" t="s">
        <v>358</v>
      </c>
      <c r="K117" s="120" t="s">
        <v>504</v>
      </c>
      <c r="L117" s="28" t="s">
        <v>550</v>
      </c>
      <c r="M117" s="120" t="s">
        <v>502</v>
      </c>
      <c r="N117" s="28" t="s">
        <v>358</v>
      </c>
      <c r="O117" s="120" t="s">
        <v>523</v>
      </c>
      <c r="P117" s="308" t="s">
        <v>361</v>
      </c>
      <c r="V117" s="197"/>
    </row>
    <row r="118" spans="1:22" ht="18" hidden="1" customHeight="1">
      <c r="A118" s="196"/>
      <c r="F118" s="27" t="s">
        <v>138</v>
      </c>
      <c r="G118" s="254">
        <f>S110</f>
        <v>20</v>
      </c>
      <c r="H118" s="257" t="s">
        <v>565</v>
      </c>
      <c r="I118" s="313" t="e">
        <f>S107</f>
        <v>#VALUE!</v>
      </c>
      <c r="J118" s="257" t="s">
        <v>358</v>
      </c>
      <c r="K118" s="254" t="str">
        <f>S111</f>
        <v>-</v>
      </c>
      <c r="L118" s="257" t="s">
        <v>550</v>
      </c>
      <c r="M118" s="313" t="e">
        <f>S107</f>
        <v>#VALUE!</v>
      </c>
      <c r="N118" s="257" t="s">
        <v>358</v>
      </c>
      <c r="O118" s="313">
        <f>S108</f>
        <v>1.5398674400000001</v>
      </c>
      <c r="P118" s="308" t="s">
        <v>361</v>
      </c>
      <c r="V118" s="197"/>
    </row>
    <row r="119" spans="1:22" ht="18" hidden="1" customHeight="1">
      <c r="A119" s="196"/>
      <c r="F119" s="27" t="s">
        <v>138</v>
      </c>
      <c r="G119" s="640" t="e">
        <f>G118*((I118+K118)/(M118+O118))</f>
        <v>#VALUE!</v>
      </c>
      <c r="H119" s="640"/>
      <c r="I119" s="254"/>
      <c r="J119" s="254"/>
      <c r="K119" s="254"/>
      <c r="L119" s="254"/>
      <c r="M119" s="254"/>
      <c r="N119" s="254"/>
      <c r="O119" s="254"/>
      <c r="V119" s="197"/>
    </row>
    <row r="120" spans="1:22" ht="18" hidden="1" customHeight="1">
      <c r="A120" s="196"/>
      <c r="V120" s="197"/>
    </row>
    <row r="121" spans="1:22" ht="18" hidden="1" customHeight="1">
      <c r="A121" s="196"/>
      <c r="E121" s="256" t="s">
        <v>566</v>
      </c>
      <c r="F121" s="27" t="e">
        <f>IF(D122&gt;G122,"&gt;","&lt;")</f>
        <v>#VALUE!</v>
      </c>
      <c r="G121" s="308" t="s">
        <v>123</v>
      </c>
      <c r="V121" s="197"/>
    </row>
    <row r="122" spans="1:22" ht="18" hidden="1" customHeight="1">
      <c r="A122" s="196"/>
      <c r="D122" s="637" t="e">
        <f>G119</f>
        <v>#VALUE!</v>
      </c>
      <c r="E122" s="637"/>
      <c r="F122" s="27" t="e">
        <f>F121</f>
        <v>#VALUE!</v>
      </c>
      <c r="G122" s="637">
        <f>G115</f>
        <v>15.75</v>
      </c>
      <c r="H122" s="637"/>
      <c r="V122" s="197"/>
    </row>
    <row r="123" spans="1:22" ht="18" hidden="1" customHeight="1">
      <c r="A123" s="196"/>
      <c r="E123" s="256" t="s">
        <v>489</v>
      </c>
      <c r="G123" s="18" t="e">
        <f>IF(F121="&gt;","Suitably Dimentioned","Under Dimentioned")</f>
        <v>#VALUE!</v>
      </c>
      <c r="V123" s="197"/>
    </row>
    <row r="124" spans="1:22" ht="18" hidden="1" customHeight="1">
      <c r="A124" s="196"/>
      <c r="E124" s="256"/>
      <c r="G124" s="18"/>
      <c r="V124" s="197"/>
    </row>
    <row r="125" spans="1:22" ht="18" hidden="1" customHeight="1">
      <c r="A125" s="196"/>
      <c r="E125" s="256"/>
      <c r="G125" s="18"/>
      <c r="V125" s="197"/>
    </row>
    <row r="126" spans="1:22" ht="18" hidden="1" customHeight="1">
      <c r="A126" s="196"/>
      <c r="E126" s="256"/>
      <c r="G126" s="18"/>
      <c r="V126" s="197"/>
    </row>
    <row r="127" spans="1:22" ht="18" hidden="1" customHeight="1">
      <c r="A127" s="196"/>
      <c r="E127" s="256"/>
      <c r="G127" s="18"/>
      <c r="V127" s="197"/>
    </row>
    <row r="128" spans="1:22" ht="18" hidden="1" customHeight="1">
      <c r="A128" s="196"/>
      <c r="E128" s="256"/>
      <c r="G128" s="18"/>
      <c r="V128" s="197"/>
    </row>
    <row r="129" spans="1:22" ht="18" hidden="1" customHeight="1">
      <c r="A129" s="196"/>
      <c r="V129" s="197"/>
    </row>
    <row r="130" spans="1:22" ht="18" hidden="1" customHeight="1">
      <c r="A130" s="196"/>
      <c r="V130" s="197"/>
    </row>
    <row r="131" spans="1:22" s="14" customFormat="1" ht="18" hidden="1" customHeight="1">
      <c r="A131" s="206"/>
      <c r="B131" s="207"/>
      <c r="C131" s="207"/>
      <c r="D131" s="207"/>
      <c r="E131" s="207"/>
      <c r="F131" s="207"/>
      <c r="G131" s="207"/>
      <c r="H131" s="207"/>
      <c r="I131" s="207"/>
      <c r="J131" s="207"/>
      <c r="K131" s="207"/>
      <c r="L131" s="207"/>
      <c r="M131" s="207"/>
      <c r="N131" s="207"/>
      <c r="O131" s="207"/>
      <c r="P131" s="207"/>
      <c r="Q131" s="236"/>
      <c r="R131" s="194"/>
      <c r="S131" s="237"/>
      <c r="T131" s="207"/>
      <c r="U131" s="207"/>
      <c r="V131" s="140" t="s">
        <v>563</v>
      </c>
    </row>
    <row r="132" spans="1:22" ht="18" customHeight="1">
      <c r="A132" s="238"/>
      <c r="B132" s="239"/>
      <c r="C132" s="239"/>
      <c r="D132" s="239"/>
      <c r="E132" s="239"/>
      <c r="F132" s="239"/>
      <c r="G132" s="239"/>
      <c r="H132" s="239"/>
      <c r="I132" s="239"/>
      <c r="J132" s="239"/>
      <c r="K132" s="239"/>
      <c r="L132" s="239"/>
      <c r="M132" s="239"/>
      <c r="N132" s="239"/>
      <c r="O132" s="239"/>
      <c r="P132" s="239"/>
      <c r="Q132" s="239"/>
      <c r="R132" s="239"/>
      <c r="S132" s="239"/>
      <c r="T132" s="239"/>
      <c r="U132" s="239"/>
      <c r="V132" s="240"/>
    </row>
    <row r="133" spans="1:22" ht="18" customHeight="1">
      <c r="A133" s="274" t="s">
        <v>543</v>
      </c>
      <c r="B133" s="14"/>
      <c r="C133" s="14"/>
      <c r="D133" s="120"/>
      <c r="E133" s="120"/>
      <c r="F133" s="18"/>
      <c r="G133" s="18"/>
      <c r="H133" s="14"/>
      <c r="I133" s="14"/>
      <c r="J133" s="14"/>
      <c r="K133" s="14"/>
      <c r="L133" s="14"/>
      <c r="M133" s="14"/>
      <c r="N133" s="14"/>
      <c r="O133" s="14"/>
      <c r="P133" s="28"/>
      <c r="Q133" s="120"/>
      <c r="R133" s="47"/>
      <c r="S133" s="218"/>
      <c r="T133" s="271"/>
      <c r="U133" s="14"/>
      <c r="V133" s="97"/>
    </row>
    <row r="134" spans="1:22" ht="18" customHeight="1">
      <c r="A134" s="614" t="s">
        <v>97</v>
      </c>
      <c r="B134" s="620"/>
      <c r="C134" s="615"/>
      <c r="D134" s="614" t="s">
        <v>98</v>
      </c>
      <c r="E134" s="620"/>
      <c r="F134" s="615"/>
      <c r="G134" s="614" t="s">
        <v>99</v>
      </c>
      <c r="H134" s="615"/>
      <c r="I134" s="614" t="s">
        <v>100</v>
      </c>
      <c r="J134" s="615"/>
      <c r="K134" s="614" t="s">
        <v>513</v>
      </c>
      <c r="L134" s="615"/>
      <c r="M134" s="614" t="s">
        <v>575</v>
      </c>
      <c r="N134" s="615"/>
      <c r="O134" s="614"/>
      <c r="P134" s="615"/>
      <c r="Q134" s="614" t="s">
        <v>516</v>
      </c>
      <c r="R134" s="615"/>
      <c r="S134" s="614" t="s">
        <v>105</v>
      </c>
      <c r="T134" s="620"/>
      <c r="U134" s="620"/>
      <c r="V134" s="615"/>
    </row>
    <row r="135" spans="1:22" ht="18" customHeight="1">
      <c r="A135" s="616"/>
      <c r="B135" s="621"/>
      <c r="C135" s="617"/>
      <c r="D135" s="616"/>
      <c r="E135" s="621"/>
      <c r="F135" s="617"/>
      <c r="G135" s="616"/>
      <c r="H135" s="617"/>
      <c r="I135" s="616"/>
      <c r="J135" s="617"/>
      <c r="K135" s="616"/>
      <c r="L135" s="617"/>
      <c r="M135" s="616"/>
      <c r="N135" s="617"/>
      <c r="O135" s="616"/>
      <c r="P135" s="617"/>
      <c r="Q135" s="616"/>
      <c r="R135" s="617"/>
      <c r="S135" s="616"/>
      <c r="T135" s="621"/>
      <c r="U135" s="621"/>
      <c r="V135" s="617"/>
    </row>
    <row r="136" spans="1:22" ht="18" customHeight="1">
      <c r="A136" s="616"/>
      <c r="B136" s="621"/>
      <c r="C136" s="617"/>
      <c r="D136" s="616"/>
      <c r="E136" s="621"/>
      <c r="F136" s="617"/>
      <c r="G136" s="616"/>
      <c r="H136" s="617"/>
      <c r="I136" s="616"/>
      <c r="J136" s="617"/>
      <c r="K136" s="616"/>
      <c r="L136" s="617"/>
      <c r="M136" s="616"/>
      <c r="N136" s="617"/>
      <c r="O136" s="616"/>
      <c r="P136" s="617"/>
      <c r="Q136" s="616"/>
      <c r="R136" s="617"/>
      <c r="S136" s="616"/>
      <c r="T136" s="621"/>
      <c r="U136" s="621"/>
      <c r="V136" s="617"/>
    </row>
    <row r="137" spans="1:22" ht="18" customHeight="1">
      <c r="A137" s="618"/>
      <c r="B137" s="622"/>
      <c r="C137" s="619"/>
      <c r="D137" s="618"/>
      <c r="E137" s="622"/>
      <c r="F137" s="619"/>
      <c r="G137" s="618"/>
      <c r="H137" s="619"/>
      <c r="I137" s="618"/>
      <c r="J137" s="619"/>
      <c r="K137" s="618"/>
      <c r="L137" s="619"/>
      <c r="M137" s="618"/>
      <c r="N137" s="619"/>
      <c r="O137" s="618"/>
      <c r="P137" s="619"/>
      <c r="Q137" s="618"/>
      <c r="R137" s="619"/>
      <c r="S137" s="618"/>
      <c r="T137" s="622"/>
      <c r="U137" s="622"/>
      <c r="V137" s="619"/>
    </row>
    <row r="138" spans="1:22" ht="18" customHeight="1">
      <c r="A138" s="623" t="str">
        <f>B89</f>
        <v>T1</v>
      </c>
      <c r="B138" s="623" t="str">
        <f>D89</f>
        <v>Core3</v>
      </c>
      <c r="C138" s="623"/>
      <c r="D138" s="613">
        <f>H92</f>
        <v>3150</v>
      </c>
      <c r="E138" s="613"/>
      <c r="F138" s="624">
        <f>O92</f>
        <v>1</v>
      </c>
      <c r="G138" s="627">
        <f>'CT-VT Burdens'!S19</f>
        <v>80</v>
      </c>
      <c r="H138" s="630">
        <f>'CT-VT Burdens'!S10</f>
        <v>2.5</v>
      </c>
      <c r="I138" s="631" t="str">
        <f>L93</f>
        <v>5P</v>
      </c>
      <c r="J138" s="634">
        <f>M93</f>
        <v>20</v>
      </c>
      <c r="K138" s="612">
        <f>H12</f>
        <v>9</v>
      </c>
      <c r="L138" s="612"/>
      <c r="M138" s="612">
        <f>H13</f>
        <v>7.5</v>
      </c>
      <c r="N138" s="612"/>
      <c r="O138" s="613" t="s">
        <v>7</v>
      </c>
      <c r="P138" s="613"/>
      <c r="Q138" s="629" t="str">
        <f>CONCATENATE(T7," ",T8," ",T9," ",T10)</f>
        <v>7SJ85 SEL751 FMS AVR</v>
      </c>
      <c r="R138" s="629"/>
      <c r="S138" s="628" t="str">
        <f>G42</f>
        <v>Suitably Dimensioned</v>
      </c>
      <c r="T138" s="628"/>
      <c r="U138" s="628"/>
      <c r="V138" s="628"/>
    </row>
    <row r="139" spans="1:22" ht="18" customHeight="1">
      <c r="A139" s="623"/>
      <c r="B139" s="623"/>
      <c r="C139" s="623"/>
      <c r="D139" s="613">
        <f>J92</f>
        <v>2000</v>
      </c>
      <c r="E139" s="613"/>
      <c r="F139" s="625"/>
      <c r="G139" s="627"/>
      <c r="H139" s="630"/>
      <c r="I139" s="632"/>
      <c r="J139" s="635"/>
      <c r="K139" s="612">
        <f>J53</f>
        <v>5</v>
      </c>
      <c r="L139" s="612"/>
      <c r="M139" s="612">
        <f>J54</f>
        <v>5</v>
      </c>
      <c r="N139" s="612"/>
      <c r="O139" s="613" t="s">
        <v>7</v>
      </c>
      <c r="P139" s="613"/>
      <c r="Q139" s="629"/>
      <c r="R139" s="629"/>
      <c r="S139" s="628" t="str">
        <f>G83</f>
        <v>Suitably Dimentioned</v>
      </c>
      <c r="T139" s="628"/>
      <c r="U139" s="628"/>
      <c r="V139" s="628"/>
    </row>
    <row r="140" spans="1:22" ht="18" customHeight="1">
      <c r="A140" s="623"/>
      <c r="B140" s="623"/>
      <c r="C140" s="623"/>
      <c r="D140" s="613" t="s">
        <v>7</v>
      </c>
      <c r="E140" s="613"/>
      <c r="F140" s="626"/>
      <c r="G140" s="627"/>
      <c r="H140" s="630"/>
      <c r="I140" s="633"/>
      <c r="J140" s="636"/>
      <c r="K140" s="612" t="s">
        <v>7</v>
      </c>
      <c r="L140" s="612"/>
      <c r="M140" s="612" t="s">
        <v>7</v>
      </c>
      <c r="N140" s="612"/>
      <c r="O140" s="613" t="s">
        <v>7</v>
      </c>
      <c r="P140" s="613"/>
      <c r="Q140" s="629"/>
      <c r="R140" s="629"/>
      <c r="S140" s="628" t="s">
        <v>7</v>
      </c>
      <c r="T140" s="628"/>
      <c r="U140" s="628"/>
      <c r="V140" s="628"/>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s="14" customFormat="1" ht="18" customHeight="1">
      <c r="A172" s="206"/>
      <c r="B172" s="207"/>
      <c r="C172" s="207"/>
      <c r="D172" s="207"/>
      <c r="E172" s="207"/>
      <c r="F172" s="207"/>
      <c r="G172" s="207"/>
      <c r="H172" s="207"/>
      <c r="I172" s="207"/>
      <c r="J172" s="207"/>
      <c r="K172" s="207"/>
      <c r="L172" s="207"/>
      <c r="M172" s="207"/>
      <c r="N172" s="207"/>
      <c r="O172" s="207"/>
      <c r="P172" s="207"/>
      <c r="Q172" s="236"/>
      <c r="R172" s="194"/>
      <c r="S172" s="237"/>
      <c r="T172" s="207"/>
      <c r="U172" s="207"/>
      <c r="V172" s="140"/>
    </row>
  </sheetData>
  <mergeCells count="160">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10:I10"/>
    <mergeCell ref="J10:K10"/>
    <mergeCell ref="L10:M10"/>
    <mergeCell ref="T10:U10"/>
    <mergeCell ref="H12:I12"/>
    <mergeCell ref="H13:I13"/>
    <mergeCell ref="B7:C8"/>
    <mergeCell ref="D7:E8"/>
    <mergeCell ref="H7:M7"/>
    <mergeCell ref="T7:U7"/>
    <mergeCell ref="T8:U8"/>
    <mergeCell ref="H9:I9"/>
    <mergeCell ref="J9:K9"/>
    <mergeCell ref="L9:M9"/>
    <mergeCell ref="T9:U9"/>
    <mergeCell ref="P22:Q22"/>
    <mergeCell ref="S24:T24"/>
    <mergeCell ref="S25:T25"/>
    <mergeCell ref="S26:T26"/>
    <mergeCell ref="S27:T27"/>
    <mergeCell ref="S28:T28"/>
    <mergeCell ref="J17:K17"/>
    <mergeCell ref="J18:K18"/>
    <mergeCell ref="J19:K19"/>
    <mergeCell ref="J20:K20"/>
    <mergeCell ref="J21:K21"/>
    <mergeCell ref="J22:K22"/>
    <mergeCell ref="G34:H34"/>
    <mergeCell ref="G38:H38"/>
    <mergeCell ref="D41:E41"/>
    <mergeCell ref="G41:H41"/>
    <mergeCell ref="B48:C48"/>
    <mergeCell ref="D48:E49"/>
    <mergeCell ref="H48:M48"/>
    <mergeCell ref="S29:T29"/>
    <mergeCell ref="S30:T30"/>
    <mergeCell ref="G32:H32"/>
    <mergeCell ref="J32:K32"/>
    <mergeCell ref="G33:H33"/>
    <mergeCell ref="J33:K33"/>
    <mergeCell ref="T51:U51"/>
    <mergeCell ref="J53:K53"/>
    <mergeCell ref="J54:K54"/>
    <mergeCell ref="T48:U48"/>
    <mergeCell ref="B49:C49"/>
    <mergeCell ref="T49:U49"/>
    <mergeCell ref="H50:I50"/>
    <mergeCell ref="J50:K50"/>
    <mergeCell ref="L50:M50"/>
    <mergeCell ref="T50:U50"/>
    <mergeCell ref="J58:K58"/>
    <mergeCell ref="J59:K59"/>
    <mergeCell ref="J60:K60"/>
    <mergeCell ref="J61:K61"/>
    <mergeCell ref="J62:K62"/>
    <mergeCell ref="J63:K63"/>
    <mergeCell ref="H51:I51"/>
    <mergeCell ref="J51:K51"/>
    <mergeCell ref="L51:M51"/>
    <mergeCell ref="S70:T70"/>
    <mergeCell ref="S71:T71"/>
    <mergeCell ref="G73:H73"/>
    <mergeCell ref="J73:K73"/>
    <mergeCell ref="G74:H74"/>
    <mergeCell ref="J74:K74"/>
    <mergeCell ref="P63:Q63"/>
    <mergeCell ref="S65:T65"/>
    <mergeCell ref="S66:T66"/>
    <mergeCell ref="S67:T67"/>
    <mergeCell ref="S68:T68"/>
    <mergeCell ref="S69:T69"/>
    <mergeCell ref="T89:U89"/>
    <mergeCell ref="B90:C90"/>
    <mergeCell ref="T90:U90"/>
    <mergeCell ref="H91:I91"/>
    <mergeCell ref="J91:K91"/>
    <mergeCell ref="L91:M91"/>
    <mergeCell ref="T91:U91"/>
    <mergeCell ref="G75:H75"/>
    <mergeCell ref="G79:H79"/>
    <mergeCell ref="D82:E82"/>
    <mergeCell ref="G82:H82"/>
    <mergeCell ref="B89:C89"/>
    <mergeCell ref="D89:E90"/>
    <mergeCell ref="H89:M89"/>
    <mergeCell ref="J100:K100"/>
    <mergeCell ref="J101:K101"/>
    <mergeCell ref="J102:K102"/>
    <mergeCell ref="J103:K103"/>
    <mergeCell ref="P103:Q103"/>
    <mergeCell ref="S105:T105"/>
    <mergeCell ref="H92:I92"/>
    <mergeCell ref="J92:K92"/>
    <mergeCell ref="L92:M92"/>
    <mergeCell ref="L94:M94"/>
    <mergeCell ref="L95:M95"/>
    <mergeCell ref="J99:K99"/>
    <mergeCell ref="G113:H113"/>
    <mergeCell ref="J113:K113"/>
    <mergeCell ref="G114:H114"/>
    <mergeCell ref="J114:K114"/>
    <mergeCell ref="G115:H115"/>
    <mergeCell ref="G119:H119"/>
    <mergeCell ref="K134:L137"/>
    <mergeCell ref="S106:T106"/>
    <mergeCell ref="S107:T107"/>
    <mergeCell ref="S108:T108"/>
    <mergeCell ref="S109:T109"/>
    <mergeCell ref="S110:T110"/>
    <mergeCell ref="S111:T111"/>
    <mergeCell ref="I138:I140"/>
    <mergeCell ref="J138:J140"/>
    <mergeCell ref="K138:L138"/>
    <mergeCell ref="D122:E122"/>
    <mergeCell ref="G122:H122"/>
    <mergeCell ref="A134:C137"/>
    <mergeCell ref="D134:F137"/>
    <mergeCell ref="G134:H137"/>
    <mergeCell ref="I134:J137"/>
    <mergeCell ref="M138:N138"/>
    <mergeCell ref="O138:P138"/>
    <mergeCell ref="O140:P140"/>
    <mergeCell ref="M134:N137"/>
    <mergeCell ref="O134:P137"/>
    <mergeCell ref="Q134:R137"/>
    <mergeCell ref="S134:V137"/>
    <mergeCell ref="A138:A140"/>
    <mergeCell ref="B138:C140"/>
    <mergeCell ref="D138:E138"/>
    <mergeCell ref="F138:F140"/>
    <mergeCell ref="G138:G140"/>
    <mergeCell ref="S140:V140"/>
    <mergeCell ref="Q138:R140"/>
    <mergeCell ref="S138:V138"/>
    <mergeCell ref="D139:E139"/>
    <mergeCell ref="K139:L139"/>
    <mergeCell ref="M139:N139"/>
    <mergeCell ref="O139:P139"/>
    <mergeCell ref="S139:V139"/>
    <mergeCell ref="D140:E140"/>
    <mergeCell ref="K140:L140"/>
    <mergeCell ref="M140:N140"/>
    <mergeCell ref="H138:H140"/>
  </mergeCells>
  <conditionalFormatting sqref="G42 G83:G85 G123:G128">
    <cfRule type="cellIs" dxfId="65" priority="1" stopIfTrue="1" operator="equal">
      <formula>"Under Dimentioned"</formula>
    </cfRule>
  </conditionalFormatting>
  <dataValidations count="1">
    <dataValidation type="list" allowBlank="1" showInputMessage="1" showErrorMessage="1" sqref="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4 IZ65624 SV65624 ACR65624 AMN65624 AWJ65624 BGF65624 BQB65624 BZX65624 CJT65624 CTP65624 DDL65624 DNH65624 DXD65624 EGZ65624 EQV65624 FAR65624 FKN65624 FUJ65624 GEF65624 GOB65624 GXX65624 HHT65624 HRP65624 IBL65624 ILH65624 IVD65624 JEZ65624 JOV65624 JYR65624 KIN65624 KSJ65624 LCF65624 LMB65624 LVX65624 MFT65624 MPP65624 MZL65624 NJH65624 NTD65624 OCZ65624 OMV65624 OWR65624 PGN65624 PQJ65624 QAF65624 QKB65624 QTX65624 RDT65624 RNP65624 RXL65624 SHH65624 SRD65624 TAZ65624 TKV65624 TUR65624 UEN65624 UOJ65624 UYF65624 VIB65624 VRX65624 WBT65624 WLP65624 WVL65624 D131160 IZ131160 SV131160 ACR131160 AMN131160 AWJ131160 BGF131160 BQB131160 BZX131160 CJT131160 CTP131160 DDL131160 DNH131160 DXD131160 EGZ131160 EQV131160 FAR131160 FKN131160 FUJ131160 GEF131160 GOB131160 GXX131160 HHT131160 HRP131160 IBL131160 ILH131160 IVD131160 JEZ131160 JOV131160 JYR131160 KIN131160 KSJ131160 LCF131160 LMB131160 LVX131160 MFT131160 MPP131160 MZL131160 NJH131160 NTD131160 OCZ131160 OMV131160 OWR131160 PGN131160 PQJ131160 QAF131160 QKB131160 QTX131160 RDT131160 RNP131160 RXL131160 SHH131160 SRD131160 TAZ131160 TKV131160 TUR131160 UEN131160 UOJ131160 UYF131160 VIB131160 VRX131160 WBT131160 WLP131160 WVL131160 D196696 IZ196696 SV196696 ACR196696 AMN196696 AWJ196696 BGF196696 BQB196696 BZX196696 CJT196696 CTP196696 DDL196696 DNH196696 DXD196696 EGZ196696 EQV196696 FAR196696 FKN196696 FUJ196696 GEF196696 GOB196696 GXX196696 HHT196696 HRP196696 IBL196696 ILH196696 IVD196696 JEZ196696 JOV196696 JYR196696 KIN196696 KSJ196696 LCF196696 LMB196696 LVX196696 MFT196696 MPP196696 MZL196696 NJH196696 NTD196696 OCZ196696 OMV196696 OWR196696 PGN196696 PQJ196696 QAF196696 QKB196696 QTX196696 RDT196696 RNP196696 RXL196696 SHH196696 SRD196696 TAZ196696 TKV196696 TUR196696 UEN196696 UOJ196696 UYF196696 VIB196696 VRX196696 WBT196696 WLP196696 WVL196696 D262232 IZ262232 SV262232 ACR262232 AMN262232 AWJ262232 BGF262232 BQB262232 BZX262232 CJT262232 CTP262232 DDL262232 DNH262232 DXD262232 EGZ262232 EQV262232 FAR262232 FKN262232 FUJ262232 GEF262232 GOB262232 GXX262232 HHT262232 HRP262232 IBL262232 ILH262232 IVD262232 JEZ262232 JOV262232 JYR262232 KIN262232 KSJ262232 LCF262232 LMB262232 LVX262232 MFT262232 MPP262232 MZL262232 NJH262232 NTD262232 OCZ262232 OMV262232 OWR262232 PGN262232 PQJ262232 QAF262232 QKB262232 QTX262232 RDT262232 RNP262232 RXL262232 SHH262232 SRD262232 TAZ262232 TKV262232 TUR262232 UEN262232 UOJ262232 UYF262232 VIB262232 VRX262232 WBT262232 WLP262232 WVL262232 D327768 IZ327768 SV327768 ACR327768 AMN327768 AWJ327768 BGF327768 BQB327768 BZX327768 CJT327768 CTP327768 DDL327768 DNH327768 DXD327768 EGZ327768 EQV327768 FAR327768 FKN327768 FUJ327768 GEF327768 GOB327768 GXX327768 HHT327768 HRP327768 IBL327768 ILH327768 IVD327768 JEZ327768 JOV327768 JYR327768 KIN327768 KSJ327768 LCF327768 LMB327768 LVX327768 MFT327768 MPP327768 MZL327768 NJH327768 NTD327768 OCZ327768 OMV327768 OWR327768 PGN327768 PQJ327768 QAF327768 QKB327768 QTX327768 RDT327768 RNP327768 RXL327768 SHH327768 SRD327768 TAZ327768 TKV327768 TUR327768 UEN327768 UOJ327768 UYF327768 VIB327768 VRX327768 WBT327768 WLP327768 WVL327768 D393304 IZ393304 SV393304 ACR393304 AMN393304 AWJ393304 BGF393304 BQB393304 BZX393304 CJT393304 CTP393304 DDL393304 DNH393304 DXD393304 EGZ393304 EQV393304 FAR393304 FKN393304 FUJ393304 GEF393304 GOB393304 GXX393304 HHT393304 HRP393304 IBL393304 ILH393304 IVD393304 JEZ393304 JOV393304 JYR393304 KIN393304 KSJ393304 LCF393304 LMB393304 LVX393304 MFT393304 MPP393304 MZL393304 NJH393304 NTD393304 OCZ393304 OMV393304 OWR393304 PGN393304 PQJ393304 QAF393304 QKB393304 QTX393304 RDT393304 RNP393304 RXL393304 SHH393304 SRD393304 TAZ393304 TKV393304 TUR393304 UEN393304 UOJ393304 UYF393304 VIB393304 VRX393304 WBT393304 WLP393304 WVL393304 D458840 IZ458840 SV458840 ACR458840 AMN458840 AWJ458840 BGF458840 BQB458840 BZX458840 CJT458840 CTP458840 DDL458840 DNH458840 DXD458840 EGZ458840 EQV458840 FAR458840 FKN458840 FUJ458840 GEF458840 GOB458840 GXX458840 HHT458840 HRP458840 IBL458840 ILH458840 IVD458840 JEZ458840 JOV458840 JYR458840 KIN458840 KSJ458840 LCF458840 LMB458840 LVX458840 MFT458840 MPP458840 MZL458840 NJH458840 NTD458840 OCZ458840 OMV458840 OWR458840 PGN458840 PQJ458840 QAF458840 QKB458840 QTX458840 RDT458840 RNP458840 RXL458840 SHH458840 SRD458840 TAZ458840 TKV458840 TUR458840 UEN458840 UOJ458840 UYF458840 VIB458840 VRX458840 WBT458840 WLP458840 WVL458840 D524376 IZ524376 SV524376 ACR524376 AMN524376 AWJ524376 BGF524376 BQB524376 BZX524376 CJT524376 CTP524376 DDL524376 DNH524376 DXD524376 EGZ524376 EQV524376 FAR524376 FKN524376 FUJ524376 GEF524376 GOB524376 GXX524376 HHT524376 HRP524376 IBL524376 ILH524376 IVD524376 JEZ524376 JOV524376 JYR524376 KIN524376 KSJ524376 LCF524376 LMB524376 LVX524376 MFT524376 MPP524376 MZL524376 NJH524376 NTD524376 OCZ524376 OMV524376 OWR524376 PGN524376 PQJ524376 QAF524376 QKB524376 QTX524376 RDT524376 RNP524376 RXL524376 SHH524376 SRD524376 TAZ524376 TKV524376 TUR524376 UEN524376 UOJ524376 UYF524376 VIB524376 VRX524376 WBT524376 WLP524376 WVL524376 D589912 IZ589912 SV589912 ACR589912 AMN589912 AWJ589912 BGF589912 BQB589912 BZX589912 CJT589912 CTP589912 DDL589912 DNH589912 DXD589912 EGZ589912 EQV589912 FAR589912 FKN589912 FUJ589912 GEF589912 GOB589912 GXX589912 HHT589912 HRP589912 IBL589912 ILH589912 IVD589912 JEZ589912 JOV589912 JYR589912 KIN589912 KSJ589912 LCF589912 LMB589912 LVX589912 MFT589912 MPP589912 MZL589912 NJH589912 NTD589912 OCZ589912 OMV589912 OWR589912 PGN589912 PQJ589912 QAF589912 QKB589912 QTX589912 RDT589912 RNP589912 RXL589912 SHH589912 SRD589912 TAZ589912 TKV589912 TUR589912 UEN589912 UOJ589912 UYF589912 VIB589912 VRX589912 WBT589912 WLP589912 WVL589912 D655448 IZ655448 SV655448 ACR655448 AMN655448 AWJ655448 BGF655448 BQB655448 BZX655448 CJT655448 CTP655448 DDL655448 DNH655448 DXD655448 EGZ655448 EQV655448 FAR655448 FKN655448 FUJ655448 GEF655448 GOB655448 GXX655448 HHT655448 HRP655448 IBL655448 ILH655448 IVD655448 JEZ655448 JOV655448 JYR655448 KIN655448 KSJ655448 LCF655448 LMB655448 LVX655448 MFT655448 MPP655448 MZL655448 NJH655448 NTD655448 OCZ655448 OMV655448 OWR655448 PGN655448 PQJ655448 QAF655448 QKB655448 QTX655448 RDT655448 RNP655448 RXL655448 SHH655448 SRD655448 TAZ655448 TKV655448 TUR655448 UEN655448 UOJ655448 UYF655448 VIB655448 VRX655448 WBT655448 WLP655448 WVL655448 D720984 IZ720984 SV720984 ACR720984 AMN720984 AWJ720984 BGF720984 BQB720984 BZX720984 CJT720984 CTP720984 DDL720984 DNH720984 DXD720984 EGZ720984 EQV720984 FAR720984 FKN720984 FUJ720984 GEF720984 GOB720984 GXX720984 HHT720984 HRP720984 IBL720984 ILH720984 IVD720984 JEZ720984 JOV720984 JYR720984 KIN720984 KSJ720984 LCF720984 LMB720984 LVX720984 MFT720984 MPP720984 MZL720984 NJH720984 NTD720984 OCZ720984 OMV720984 OWR720984 PGN720984 PQJ720984 QAF720984 QKB720984 QTX720984 RDT720984 RNP720984 RXL720984 SHH720984 SRD720984 TAZ720984 TKV720984 TUR720984 UEN720984 UOJ720984 UYF720984 VIB720984 VRX720984 WBT720984 WLP720984 WVL720984 D786520 IZ786520 SV786520 ACR786520 AMN786520 AWJ786520 BGF786520 BQB786520 BZX786520 CJT786520 CTP786520 DDL786520 DNH786520 DXD786520 EGZ786520 EQV786520 FAR786520 FKN786520 FUJ786520 GEF786520 GOB786520 GXX786520 HHT786520 HRP786520 IBL786520 ILH786520 IVD786520 JEZ786520 JOV786520 JYR786520 KIN786520 KSJ786520 LCF786520 LMB786520 LVX786520 MFT786520 MPP786520 MZL786520 NJH786520 NTD786520 OCZ786520 OMV786520 OWR786520 PGN786520 PQJ786520 QAF786520 QKB786520 QTX786520 RDT786520 RNP786520 RXL786520 SHH786520 SRD786520 TAZ786520 TKV786520 TUR786520 UEN786520 UOJ786520 UYF786520 VIB786520 VRX786520 WBT786520 WLP786520 WVL786520 D852056 IZ852056 SV852056 ACR852056 AMN852056 AWJ852056 BGF852056 BQB852056 BZX852056 CJT852056 CTP852056 DDL852056 DNH852056 DXD852056 EGZ852056 EQV852056 FAR852056 FKN852056 FUJ852056 GEF852056 GOB852056 GXX852056 HHT852056 HRP852056 IBL852056 ILH852056 IVD852056 JEZ852056 JOV852056 JYR852056 KIN852056 KSJ852056 LCF852056 LMB852056 LVX852056 MFT852056 MPP852056 MZL852056 NJH852056 NTD852056 OCZ852056 OMV852056 OWR852056 PGN852056 PQJ852056 QAF852056 QKB852056 QTX852056 RDT852056 RNP852056 RXL852056 SHH852056 SRD852056 TAZ852056 TKV852056 TUR852056 UEN852056 UOJ852056 UYF852056 VIB852056 VRX852056 WBT852056 WLP852056 WVL852056 D917592 IZ917592 SV917592 ACR917592 AMN917592 AWJ917592 BGF917592 BQB917592 BZX917592 CJT917592 CTP917592 DDL917592 DNH917592 DXD917592 EGZ917592 EQV917592 FAR917592 FKN917592 FUJ917592 GEF917592 GOB917592 GXX917592 HHT917592 HRP917592 IBL917592 ILH917592 IVD917592 JEZ917592 JOV917592 JYR917592 KIN917592 KSJ917592 LCF917592 LMB917592 LVX917592 MFT917592 MPP917592 MZL917592 NJH917592 NTD917592 OCZ917592 OMV917592 OWR917592 PGN917592 PQJ917592 QAF917592 QKB917592 QTX917592 RDT917592 RNP917592 RXL917592 SHH917592 SRD917592 TAZ917592 TKV917592 TUR917592 UEN917592 UOJ917592 UYF917592 VIB917592 VRX917592 WBT917592 WLP917592 WVL917592 D983128 IZ983128 SV983128 ACR983128 AMN983128 AWJ983128 BGF983128 BQB983128 BZX983128 CJT983128 CTP983128 DDL983128 DNH983128 DXD983128 EGZ983128 EQV983128 FAR983128 FKN983128 FUJ983128 GEF983128 GOB983128 GXX983128 HHT983128 HRP983128 IBL983128 ILH983128 IVD983128 JEZ983128 JOV983128 JYR983128 KIN983128 KSJ983128 LCF983128 LMB983128 LVX983128 MFT983128 MPP983128 MZL983128 NJH983128 NTD983128 OCZ983128 OMV983128 OWR983128 PGN983128 PQJ983128 QAF983128 QKB983128 QTX983128 RDT983128 RNP983128 RXL983128 SHH983128 SRD983128 TAZ983128 TKV983128 TUR983128 UEN983128 UOJ983128 UYF983128 VIB983128 VRX983128 WBT983128 WLP983128 WVL983128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48 IZ48 SV48 ACR48 AMN48 AWJ48 BGF48 BQB48 BZX48 CJT48 CTP48 DDL48 DNH48 DXD48 EGZ48 EQV48 FAR48 FKN48 FUJ48 GEF48 GOB48 GXX48 HHT48 HRP48 IBL48 ILH48 IVD48 JEZ48 JOV48 JYR48 KIN48 KSJ48 LCF48 LMB48 LVX48 MFT48 MPP48 MZL48 NJH48 NTD48 OCZ48 OMV48 OWR48 PGN48 PQJ48 QAF48 QKB48 QTX48 RDT48 RNP48 RXL48 SHH48 SRD48 TAZ48 TKV48 TUR48 UEN48 UOJ48 UYF48 VIB48 VRX48 WBT48 WLP48 WVL48 D65582 IZ65582 SV65582 ACR65582 AMN65582 AWJ65582 BGF65582 BQB65582 BZX65582 CJT65582 CTP65582 DDL65582 DNH65582 DXD65582 EGZ65582 EQV65582 FAR65582 FKN65582 FUJ65582 GEF65582 GOB65582 GXX65582 HHT65582 HRP65582 IBL65582 ILH65582 IVD65582 JEZ65582 JOV65582 JYR65582 KIN65582 KSJ65582 LCF65582 LMB65582 LVX65582 MFT65582 MPP65582 MZL65582 NJH65582 NTD65582 OCZ65582 OMV65582 OWR65582 PGN65582 PQJ65582 QAF65582 QKB65582 QTX65582 RDT65582 RNP65582 RXL65582 SHH65582 SRD65582 TAZ65582 TKV65582 TUR65582 UEN65582 UOJ65582 UYF65582 VIB65582 VRX65582 WBT65582 WLP65582 WVL65582 D131118 IZ131118 SV131118 ACR131118 AMN131118 AWJ131118 BGF131118 BQB131118 BZX131118 CJT131118 CTP131118 DDL131118 DNH131118 DXD131118 EGZ131118 EQV131118 FAR131118 FKN131118 FUJ131118 GEF131118 GOB131118 GXX131118 HHT131118 HRP131118 IBL131118 ILH131118 IVD131118 JEZ131118 JOV131118 JYR131118 KIN131118 KSJ131118 LCF131118 LMB131118 LVX131118 MFT131118 MPP131118 MZL131118 NJH131118 NTD131118 OCZ131118 OMV131118 OWR131118 PGN131118 PQJ131118 QAF131118 QKB131118 QTX131118 RDT131118 RNP131118 RXL131118 SHH131118 SRD131118 TAZ131118 TKV131118 TUR131118 UEN131118 UOJ131118 UYF131118 VIB131118 VRX131118 WBT131118 WLP131118 WVL131118 D196654 IZ196654 SV196654 ACR196654 AMN196654 AWJ196654 BGF196654 BQB196654 BZX196654 CJT196654 CTP196654 DDL196654 DNH196654 DXD196654 EGZ196654 EQV196654 FAR196654 FKN196654 FUJ196654 GEF196654 GOB196654 GXX196654 HHT196654 HRP196654 IBL196654 ILH196654 IVD196654 JEZ196654 JOV196654 JYR196654 KIN196654 KSJ196654 LCF196654 LMB196654 LVX196654 MFT196654 MPP196654 MZL196654 NJH196654 NTD196654 OCZ196654 OMV196654 OWR196654 PGN196654 PQJ196654 QAF196654 QKB196654 QTX196654 RDT196654 RNP196654 RXL196654 SHH196654 SRD196654 TAZ196654 TKV196654 TUR196654 UEN196654 UOJ196654 UYF196654 VIB196654 VRX196654 WBT196654 WLP196654 WVL196654 D262190 IZ262190 SV262190 ACR262190 AMN262190 AWJ262190 BGF262190 BQB262190 BZX262190 CJT262190 CTP262190 DDL262190 DNH262190 DXD262190 EGZ262190 EQV262190 FAR262190 FKN262190 FUJ262190 GEF262190 GOB262190 GXX262190 HHT262190 HRP262190 IBL262190 ILH262190 IVD262190 JEZ262190 JOV262190 JYR262190 KIN262190 KSJ262190 LCF262190 LMB262190 LVX262190 MFT262190 MPP262190 MZL262190 NJH262190 NTD262190 OCZ262190 OMV262190 OWR262190 PGN262190 PQJ262190 QAF262190 QKB262190 QTX262190 RDT262190 RNP262190 RXL262190 SHH262190 SRD262190 TAZ262190 TKV262190 TUR262190 UEN262190 UOJ262190 UYF262190 VIB262190 VRX262190 WBT262190 WLP262190 WVL262190 D327726 IZ327726 SV327726 ACR327726 AMN327726 AWJ327726 BGF327726 BQB327726 BZX327726 CJT327726 CTP327726 DDL327726 DNH327726 DXD327726 EGZ327726 EQV327726 FAR327726 FKN327726 FUJ327726 GEF327726 GOB327726 GXX327726 HHT327726 HRP327726 IBL327726 ILH327726 IVD327726 JEZ327726 JOV327726 JYR327726 KIN327726 KSJ327726 LCF327726 LMB327726 LVX327726 MFT327726 MPP327726 MZL327726 NJH327726 NTD327726 OCZ327726 OMV327726 OWR327726 PGN327726 PQJ327726 QAF327726 QKB327726 QTX327726 RDT327726 RNP327726 RXL327726 SHH327726 SRD327726 TAZ327726 TKV327726 TUR327726 UEN327726 UOJ327726 UYF327726 VIB327726 VRX327726 WBT327726 WLP327726 WVL327726 D393262 IZ393262 SV393262 ACR393262 AMN393262 AWJ393262 BGF393262 BQB393262 BZX393262 CJT393262 CTP393262 DDL393262 DNH393262 DXD393262 EGZ393262 EQV393262 FAR393262 FKN393262 FUJ393262 GEF393262 GOB393262 GXX393262 HHT393262 HRP393262 IBL393262 ILH393262 IVD393262 JEZ393262 JOV393262 JYR393262 KIN393262 KSJ393262 LCF393262 LMB393262 LVX393262 MFT393262 MPP393262 MZL393262 NJH393262 NTD393262 OCZ393262 OMV393262 OWR393262 PGN393262 PQJ393262 QAF393262 QKB393262 QTX393262 RDT393262 RNP393262 RXL393262 SHH393262 SRD393262 TAZ393262 TKV393262 TUR393262 UEN393262 UOJ393262 UYF393262 VIB393262 VRX393262 WBT393262 WLP393262 WVL393262 D458798 IZ458798 SV458798 ACR458798 AMN458798 AWJ458798 BGF458798 BQB458798 BZX458798 CJT458798 CTP458798 DDL458798 DNH458798 DXD458798 EGZ458798 EQV458798 FAR458798 FKN458798 FUJ458798 GEF458798 GOB458798 GXX458798 HHT458798 HRP458798 IBL458798 ILH458798 IVD458798 JEZ458798 JOV458798 JYR458798 KIN458798 KSJ458798 LCF458798 LMB458798 LVX458798 MFT458798 MPP458798 MZL458798 NJH458798 NTD458798 OCZ458798 OMV458798 OWR458798 PGN458798 PQJ458798 QAF458798 QKB458798 QTX458798 RDT458798 RNP458798 RXL458798 SHH458798 SRD458798 TAZ458798 TKV458798 TUR458798 UEN458798 UOJ458798 UYF458798 VIB458798 VRX458798 WBT458798 WLP458798 WVL458798 D524334 IZ524334 SV524334 ACR524334 AMN524334 AWJ524334 BGF524334 BQB524334 BZX524334 CJT524334 CTP524334 DDL524334 DNH524334 DXD524334 EGZ524334 EQV524334 FAR524334 FKN524334 FUJ524334 GEF524334 GOB524334 GXX524334 HHT524334 HRP524334 IBL524334 ILH524334 IVD524334 JEZ524334 JOV524334 JYR524334 KIN524334 KSJ524334 LCF524334 LMB524334 LVX524334 MFT524334 MPP524334 MZL524334 NJH524334 NTD524334 OCZ524334 OMV524334 OWR524334 PGN524334 PQJ524334 QAF524334 QKB524334 QTX524334 RDT524334 RNP524334 RXL524334 SHH524334 SRD524334 TAZ524334 TKV524334 TUR524334 UEN524334 UOJ524334 UYF524334 VIB524334 VRX524334 WBT524334 WLP524334 WVL524334 D589870 IZ589870 SV589870 ACR589870 AMN589870 AWJ589870 BGF589870 BQB589870 BZX589870 CJT589870 CTP589870 DDL589870 DNH589870 DXD589870 EGZ589870 EQV589870 FAR589870 FKN589870 FUJ589870 GEF589870 GOB589870 GXX589870 HHT589870 HRP589870 IBL589870 ILH589870 IVD589870 JEZ589870 JOV589870 JYR589870 KIN589870 KSJ589870 LCF589870 LMB589870 LVX589870 MFT589870 MPP589870 MZL589870 NJH589870 NTD589870 OCZ589870 OMV589870 OWR589870 PGN589870 PQJ589870 QAF589870 QKB589870 QTX589870 RDT589870 RNP589870 RXL589870 SHH589870 SRD589870 TAZ589870 TKV589870 TUR589870 UEN589870 UOJ589870 UYF589870 VIB589870 VRX589870 WBT589870 WLP589870 WVL589870 D655406 IZ655406 SV655406 ACR655406 AMN655406 AWJ655406 BGF655406 BQB655406 BZX655406 CJT655406 CTP655406 DDL655406 DNH655406 DXD655406 EGZ655406 EQV655406 FAR655406 FKN655406 FUJ655406 GEF655406 GOB655406 GXX655406 HHT655406 HRP655406 IBL655406 ILH655406 IVD655406 JEZ655406 JOV655406 JYR655406 KIN655406 KSJ655406 LCF655406 LMB655406 LVX655406 MFT655406 MPP655406 MZL655406 NJH655406 NTD655406 OCZ655406 OMV655406 OWR655406 PGN655406 PQJ655406 QAF655406 QKB655406 QTX655406 RDT655406 RNP655406 RXL655406 SHH655406 SRD655406 TAZ655406 TKV655406 TUR655406 UEN655406 UOJ655406 UYF655406 VIB655406 VRX655406 WBT655406 WLP655406 WVL655406 D720942 IZ720942 SV720942 ACR720942 AMN720942 AWJ720942 BGF720942 BQB720942 BZX720942 CJT720942 CTP720942 DDL720942 DNH720942 DXD720942 EGZ720942 EQV720942 FAR720942 FKN720942 FUJ720942 GEF720942 GOB720942 GXX720942 HHT720942 HRP720942 IBL720942 ILH720942 IVD720942 JEZ720942 JOV720942 JYR720942 KIN720942 KSJ720942 LCF720942 LMB720942 LVX720942 MFT720942 MPP720942 MZL720942 NJH720942 NTD720942 OCZ720942 OMV720942 OWR720942 PGN720942 PQJ720942 QAF720942 QKB720942 QTX720942 RDT720942 RNP720942 RXL720942 SHH720942 SRD720942 TAZ720942 TKV720942 TUR720942 UEN720942 UOJ720942 UYF720942 VIB720942 VRX720942 WBT720942 WLP720942 WVL720942 D786478 IZ786478 SV786478 ACR786478 AMN786478 AWJ786478 BGF786478 BQB786478 BZX786478 CJT786478 CTP786478 DDL786478 DNH786478 DXD786478 EGZ786478 EQV786478 FAR786478 FKN786478 FUJ786478 GEF786478 GOB786478 GXX786478 HHT786478 HRP786478 IBL786478 ILH786478 IVD786478 JEZ786478 JOV786478 JYR786478 KIN786478 KSJ786478 LCF786478 LMB786478 LVX786478 MFT786478 MPP786478 MZL786478 NJH786478 NTD786478 OCZ786478 OMV786478 OWR786478 PGN786478 PQJ786478 QAF786478 QKB786478 QTX786478 RDT786478 RNP786478 RXL786478 SHH786478 SRD786478 TAZ786478 TKV786478 TUR786478 UEN786478 UOJ786478 UYF786478 VIB786478 VRX786478 WBT786478 WLP786478 WVL786478 D852014 IZ852014 SV852014 ACR852014 AMN852014 AWJ852014 BGF852014 BQB852014 BZX852014 CJT852014 CTP852014 DDL852014 DNH852014 DXD852014 EGZ852014 EQV852014 FAR852014 FKN852014 FUJ852014 GEF852014 GOB852014 GXX852014 HHT852014 HRP852014 IBL852014 ILH852014 IVD852014 JEZ852014 JOV852014 JYR852014 KIN852014 KSJ852014 LCF852014 LMB852014 LVX852014 MFT852014 MPP852014 MZL852014 NJH852014 NTD852014 OCZ852014 OMV852014 OWR852014 PGN852014 PQJ852014 QAF852014 QKB852014 QTX852014 RDT852014 RNP852014 RXL852014 SHH852014 SRD852014 TAZ852014 TKV852014 TUR852014 UEN852014 UOJ852014 UYF852014 VIB852014 VRX852014 WBT852014 WLP852014 WVL852014 D917550 IZ917550 SV917550 ACR917550 AMN917550 AWJ917550 BGF917550 BQB917550 BZX917550 CJT917550 CTP917550 DDL917550 DNH917550 DXD917550 EGZ917550 EQV917550 FAR917550 FKN917550 FUJ917550 GEF917550 GOB917550 GXX917550 HHT917550 HRP917550 IBL917550 ILH917550 IVD917550 JEZ917550 JOV917550 JYR917550 KIN917550 KSJ917550 LCF917550 LMB917550 LVX917550 MFT917550 MPP917550 MZL917550 NJH917550 NTD917550 OCZ917550 OMV917550 OWR917550 PGN917550 PQJ917550 QAF917550 QKB917550 QTX917550 RDT917550 RNP917550 RXL917550 SHH917550 SRD917550 TAZ917550 TKV917550 TUR917550 UEN917550 UOJ917550 UYF917550 VIB917550 VRX917550 WBT917550 WLP917550 WVL917550 D983086 IZ983086 SV983086 ACR983086 AMN983086 AWJ983086 BGF983086 BQB983086 BZX983086 CJT983086 CTP983086 DDL983086 DNH983086 DXD983086 EGZ983086 EQV983086 FAR983086 FKN983086 FUJ983086 GEF983086 GOB983086 GXX983086 HHT983086 HRP983086 IBL983086 ILH983086 IVD983086 JEZ983086 JOV983086 JYR983086 KIN983086 KSJ983086 LCF983086 LMB983086 LVX983086 MFT983086 MPP983086 MZL983086 NJH983086 NTD983086 OCZ983086 OMV983086 OWR983086 PGN983086 PQJ983086 QAF983086 QKB983086 QTX983086 RDT983086 RNP983086 RXL983086 SHH983086 SRD983086 TAZ983086 TKV983086 TUR983086 UEN983086 UOJ983086 UYF983086 VIB983086 VRX983086 WBT983086 WLP983086 WVL983086" xr:uid="{D2A82016-9EB7-4F7E-924D-F92AC8C83FCE}">
      <formula1>"Core1,Core2,Core3"</formula1>
    </dataValidation>
  </dataValidations>
  <printOptions horizontalCentered="1" verticalCentered="1"/>
  <pageMargins left="0.5" right="0.5" top="0.5" bottom="0.5" header="0" footer="0"/>
  <pageSetup paperSize="9" scale="99" orientation="portrait" r:id="rId1"/>
  <headerFooter alignWithMargins="0"/>
  <rowBreaks count="1" manualBreakCount="1">
    <brk id="131" max="21"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DF3C0-002C-4D45-971B-16D6A9B9389A}">
  <sheetPr codeName="Sheet134">
    <tabColor indexed="45"/>
  </sheetPr>
  <dimension ref="A1:AE179"/>
  <sheetViews>
    <sheetView showZeros="0" view="pageBreakPreview" topLeftCell="A72" zoomScale="145" zoomScaleNormal="100" zoomScaleSheetLayoutView="145" workbookViewId="0">
      <selection activeCell="C28" sqref="C28"/>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Title!H2</f>
        <v>ADEQUACY CHECK</v>
      </c>
      <c r="I2" s="730"/>
      <c r="J2" s="730"/>
      <c r="K2" s="730"/>
      <c r="L2" s="730"/>
      <c r="M2" s="730"/>
      <c r="N2" s="731"/>
      <c r="O2" s="702" t="str">
        <f>Title!O2</f>
        <v>Date</v>
      </c>
      <c r="P2" s="703"/>
      <c r="Q2" s="704"/>
      <c r="R2" s="732">
        <f>Title!R2</f>
        <v>46106</v>
      </c>
      <c r="S2" s="733"/>
      <c r="T2" s="733"/>
      <c r="U2" s="733"/>
      <c r="V2" s="734"/>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14"/>
      <c r="X4" s="14"/>
    </row>
    <row r="5" spans="1:24" ht="18" customHeight="1">
      <c r="A5" s="708" t="str">
        <f>Title!A5</f>
        <v>Prep. By</v>
      </c>
      <c r="B5" s="709"/>
      <c r="C5" s="25" t="str">
        <f>Title!C5</f>
        <v>AP</v>
      </c>
      <c r="D5" s="708" t="str">
        <f>Title!D5</f>
        <v>Checked By</v>
      </c>
      <c r="E5" s="710"/>
      <c r="F5" s="709"/>
      <c r="G5" s="25" t="str">
        <f>Title!G5</f>
        <v>RB</v>
      </c>
      <c r="H5" s="711" t="s">
        <v>658</v>
      </c>
      <c r="I5" s="712"/>
      <c r="J5" s="712"/>
      <c r="K5" s="712"/>
      <c r="L5" s="712"/>
      <c r="M5" s="712"/>
      <c r="N5" s="713"/>
      <c r="O5" s="714" t="str">
        <f>Title!O5</f>
        <v>Contractor</v>
      </c>
      <c r="P5" s="715"/>
      <c r="Q5" s="716"/>
      <c r="R5" s="705" t="str">
        <f>Title!R5</f>
        <v>HITACHI</v>
      </c>
      <c r="S5" s="706"/>
      <c r="T5" s="706"/>
      <c r="U5" s="706"/>
      <c r="V5" s="707"/>
      <c r="W5" s="14"/>
      <c r="X5" s="14"/>
    </row>
    <row r="6" spans="1:24" ht="18" customHeight="1">
      <c r="A6" s="196"/>
      <c r="V6" s="197"/>
    </row>
    <row r="7" spans="1:24" ht="18" customHeight="1">
      <c r="A7" s="196"/>
      <c r="B7" s="696" t="s">
        <v>120</v>
      </c>
      <c r="C7" s="697"/>
      <c r="D7" s="696" t="s">
        <v>125</v>
      </c>
      <c r="E7" s="698"/>
      <c r="F7" s="267"/>
      <c r="H7" s="638" t="s">
        <v>677</v>
      </c>
      <c r="I7" s="639"/>
      <c r="J7" s="639"/>
      <c r="K7" s="639"/>
      <c r="L7" s="639"/>
      <c r="M7" s="639"/>
      <c r="P7" s="198"/>
      <c r="R7" s="267"/>
      <c r="S7" s="199" t="s">
        <v>398</v>
      </c>
      <c r="T7" s="1051" t="s">
        <v>255</v>
      </c>
      <c r="U7" s="1052"/>
      <c r="V7" s="197"/>
    </row>
    <row r="8" spans="1:24" ht="18" customHeight="1">
      <c r="A8" s="196"/>
      <c r="B8" s="654"/>
      <c r="C8" s="655"/>
      <c r="D8" s="699"/>
      <c r="E8" s="700"/>
      <c r="F8" s="267"/>
      <c r="T8" s="1051"/>
      <c r="U8" s="1052"/>
      <c r="V8" s="197"/>
    </row>
    <row r="9" spans="1:24" ht="18" customHeight="1">
      <c r="A9" s="196"/>
      <c r="H9" s="662" t="s">
        <v>401</v>
      </c>
      <c r="I9" s="662"/>
      <c r="J9" s="701" t="s">
        <v>402</v>
      </c>
      <c r="K9" s="701"/>
      <c r="L9" s="701" t="s">
        <v>403</v>
      </c>
      <c r="M9" s="701"/>
      <c r="T9" s="1051"/>
      <c r="U9" s="1052"/>
      <c r="V9" s="197"/>
    </row>
    <row r="10" spans="1:24" ht="18" customHeight="1">
      <c r="A10" s="196"/>
      <c r="B10" s="47" t="s">
        <v>404</v>
      </c>
      <c r="H10" s="692">
        <v>3150</v>
      </c>
      <c r="I10" s="693"/>
      <c r="J10" s="656">
        <v>2000</v>
      </c>
      <c r="K10" s="657"/>
      <c r="L10" s="656" t="s">
        <v>7</v>
      </c>
      <c r="M10" s="657"/>
      <c r="N10" s="203" t="s">
        <v>353</v>
      </c>
      <c r="O10" s="125">
        <v>1</v>
      </c>
      <c r="P10" s="27" t="s">
        <v>9</v>
      </c>
      <c r="T10" s="1051"/>
      <c r="U10" s="1052"/>
      <c r="V10" s="197"/>
    </row>
    <row r="11" spans="1:24" ht="18" customHeight="1">
      <c r="A11" s="196"/>
      <c r="B11" s="47" t="s">
        <v>405</v>
      </c>
      <c r="H11" s="656" t="s">
        <v>678</v>
      </c>
      <c r="I11" s="657"/>
      <c r="T11" s="1053"/>
      <c r="U11" s="1053"/>
      <c r="V11" s="197"/>
    </row>
    <row r="12" spans="1:24" ht="18" customHeight="1">
      <c r="A12" s="196"/>
      <c r="B12" s="47" t="s">
        <v>407</v>
      </c>
      <c r="G12" s="120" t="s">
        <v>508</v>
      </c>
      <c r="H12" s="656">
        <v>9</v>
      </c>
      <c r="I12" s="657"/>
      <c r="J12" s="204" t="s">
        <v>344</v>
      </c>
      <c r="T12" s="307"/>
      <c r="U12" s="18"/>
      <c r="V12" s="197"/>
    </row>
    <row r="13" spans="1:24" ht="18" customHeight="1">
      <c r="A13" s="196"/>
      <c r="B13" s="30" t="s">
        <v>579</v>
      </c>
      <c r="G13" s="120" t="s">
        <v>580</v>
      </c>
      <c r="H13" s="656">
        <v>5</v>
      </c>
      <c r="I13" s="657"/>
      <c r="T13" s="307"/>
      <c r="U13" s="18"/>
      <c r="V13" s="197"/>
      <c r="W13" s="30" t="str">
        <f>J47</f>
        <v>Suitable Dimensions</v>
      </c>
    </row>
    <row r="14" spans="1:24" ht="18" customHeight="1">
      <c r="A14" s="196"/>
      <c r="B14" s="47" t="s">
        <v>573</v>
      </c>
      <c r="G14" s="120" t="s">
        <v>504</v>
      </c>
      <c r="H14" s="656">
        <v>10</v>
      </c>
      <c r="I14" s="657"/>
      <c r="J14" s="14"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686"/>
      <c r="K19" s="687"/>
      <c r="L19" s="210" t="s">
        <v>168</v>
      </c>
      <c r="P19" s="256"/>
      <c r="V19" s="197"/>
    </row>
    <row r="20" spans="1:31" ht="18" customHeight="1">
      <c r="A20" s="196"/>
      <c r="B20" s="96" t="s">
        <v>416</v>
      </c>
      <c r="C20" s="14"/>
      <c r="D20" s="47">
        <f>T9</f>
        <v>0</v>
      </c>
      <c r="E20" s="14"/>
      <c r="G20" s="211"/>
      <c r="H20" s="27"/>
      <c r="I20" s="101" t="s">
        <v>138</v>
      </c>
      <c r="J20" s="688"/>
      <c r="K20" s="689"/>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688"/>
      <c r="K21" s="689"/>
      <c r="L21" s="214" t="s">
        <v>168</v>
      </c>
      <c r="O21" s="27" t="s">
        <v>138</v>
      </c>
      <c r="P21" s="27">
        <f>O10</f>
        <v>1</v>
      </c>
      <c r="Q21" s="27" t="s">
        <v>326</v>
      </c>
      <c r="R21" s="27">
        <f>O10</f>
        <v>1</v>
      </c>
      <c r="S21" s="27" t="s">
        <v>326</v>
      </c>
      <c r="T21" s="27">
        <f>H12</f>
        <v>9</v>
      </c>
      <c r="V21" s="197"/>
    </row>
    <row r="22" spans="1:31" ht="18" customHeight="1">
      <c r="A22" s="196"/>
      <c r="B22" s="196" t="s">
        <v>423</v>
      </c>
      <c r="C22" s="14"/>
      <c r="D22" s="47"/>
      <c r="E22" s="14"/>
      <c r="H22" s="27"/>
      <c r="I22" s="101" t="s">
        <v>138</v>
      </c>
      <c r="J22" s="690">
        <f>'CT-VT Burdens'!S22</f>
        <v>1.44186744</v>
      </c>
      <c r="K22" s="691"/>
      <c r="L22" s="309" t="s">
        <v>168</v>
      </c>
      <c r="O22" s="27" t="s">
        <v>138</v>
      </c>
      <c r="P22" s="637">
        <f>P21*R21*T21</f>
        <v>9</v>
      </c>
      <c r="Q22" s="639"/>
      <c r="R22" s="27" t="s">
        <v>168</v>
      </c>
      <c r="S22" s="27"/>
      <c r="T22" s="27"/>
      <c r="V22" s="197"/>
    </row>
    <row r="23" spans="1:31" ht="18" customHeight="1">
      <c r="A23" s="196"/>
      <c r="B23" s="1" t="s">
        <v>424</v>
      </c>
      <c r="C23" s="2"/>
      <c r="D23" s="2"/>
      <c r="E23" s="2"/>
      <c r="F23" s="208"/>
      <c r="G23" s="208"/>
      <c r="H23" s="236" t="s">
        <v>523</v>
      </c>
      <c r="I23" s="195" t="s">
        <v>138</v>
      </c>
      <c r="J23" s="648">
        <f>SUM(J18:K22)</f>
        <v>1.44986744</v>
      </c>
      <c r="K23" s="649"/>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86">
        <f>H10</f>
        <v>3150</v>
      </c>
      <c r="Q25" s="986"/>
      <c r="R25" s="204" t="s">
        <v>9</v>
      </c>
      <c r="V25" s="197"/>
    </row>
    <row r="26" spans="1:31" ht="18" customHeight="1">
      <c r="A26" s="196"/>
      <c r="B26" s="47" t="s">
        <v>558</v>
      </c>
      <c r="C26" s="47"/>
      <c r="D26" s="47"/>
      <c r="E26" s="47"/>
      <c r="H26" s="27"/>
      <c r="I26" s="28"/>
      <c r="J26" s="211"/>
      <c r="L26" s="47"/>
      <c r="N26" s="120" t="s">
        <v>583</v>
      </c>
      <c r="O26" s="28" t="s">
        <v>138</v>
      </c>
      <c r="P26" s="986">
        <f>H12</f>
        <v>9</v>
      </c>
      <c r="Q26" s="986"/>
      <c r="R26" s="316" t="s">
        <v>168</v>
      </c>
      <c r="V26" s="197"/>
    </row>
    <row r="27" spans="1:31" ht="18" customHeight="1">
      <c r="A27" s="196"/>
      <c r="B27" s="47" t="s">
        <v>559</v>
      </c>
      <c r="C27" s="47"/>
      <c r="D27" s="47"/>
      <c r="E27" s="47"/>
      <c r="H27" s="27"/>
      <c r="I27" s="28"/>
      <c r="J27" s="211"/>
      <c r="L27" s="47"/>
      <c r="N27" s="120" t="s">
        <v>584</v>
      </c>
      <c r="O27" s="28" t="s">
        <v>138</v>
      </c>
      <c r="P27" s="960">
        <f>J23</f>
        <v>1.44986744</v>
      </c>
      <c r="Q27" s="986"/>
      <c r="R27" s="316" t="s">
        <v>168</v>
      </c>
      <c r="V27" s="197"/>
    </row>
    <row r="28" spans="1:31" ht="18" customHeight="1">
      <c r="A28" s="196"/>
      <c r="B28" s="47" t="s">
        <v>560</v>
      </c>
      <c r="C28" s="47"/>
      <c r="D28" s="47"/>
      <c r="E28" s="47"/>
      <c r="H28" s="27"/>
      <c r="I28" s="28"/>
      <c r="J28" s="211"/>
      <c r="L28" s="47"/>
      <c r="N28" s="120" t="s">
        <v>522</v>
      </c>
      <c r="O28" s="28" t="s">
        <v>138</v>
      </c>
      <c r="P28" s="986">
        <f>O10</f>
        <v>1</v>
      </c>
      <c r="Q28" s="986"/>
      <c r="R28" s="204" t="s">
        <v>9</v>
      </c>
      <c r="V28" s="197"/>
    </row>
    <row r="29" spans="1:31" ht="18" customHeight="1">
      <c r="A29" s="196"/>
      <c r="B29" s="47" t="s">
        <v>585</v>
      </c>
      <c r="C29" s="47"/>
      <c r="D29" s="47"/>
      <c r="E29" s="47"/>
      <c r="H29" s="27"/>
      <c r="I29" s="28"/>
      <c r="J29" s="211"/>
      <c r="L29" s="47"/>
      <c r="N29" s="120" t="s">
        <v>506</v>
      </c>
      <c r="O29" s="28" t="s">
        <v>138</v>
      </c>
      <c r="P29" s="986">
        <v>10</v>
      </c>
      <c r="Q29" s="986"/>
      <c r="R29" s="204"/>
      <c r="V29" s="197"/>
    </row>
    <row r="30" spans="1:31" ht="18" customHeight="1">
      <c r="A30" s="196"/>
      <c r="B30" s="47" t="s">
        <v>588</v>
      </c>
      <c r="C30" s="47"/>
      <c r="D30" s="47"/>
      <c r="E30" s="47"/>
      <c r="H30" s="27"/>
      <c r="I30" s="28"/>
      <c r="J30" s="211"/>
      <c r="L30" s="47"/>
      <c r="O30" s="28" t="s">
        <v>138</v>
      </c>
      <c r="P30" s="960">
        <v>20</v>
      </c>
      <c r="Q30" s="960"/>
      <c r="R30" s="204" t="s">
        <v>140</v>
      </c>
      <c r="S30" s="14" t="s">
        <v>181</v>
      </c>
      <c r="V30" s="197"/>
    </row>
    <row r="31" spans="1:31" ht="18" customHeight="1">
      <c r="A31" s="196"/>
      <c r="B31" s="47"/>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656">
        <v>20</v>
      </c>
      <c r="T32" s="657"/>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637">
        <f>J23</f>
        <v>1.44986744</v>
      </c>
      <c r="K35" s="639"/>
      <c r="L35" s="28"/>
      <c r="M35" s="637"/>
      <c r="N35" s="639"/>
      <c r="V35" s="197"/>
    </row>
    <row r="36" spans="1:22" ht="18" customHeight="1">
      <c r="A36" s="196"/>
      <c r="I36" s="28"/>
      <c r="J36" s="637"/>
      <c r="K36" s="639"/>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9</v>
      </c>
      <c r="M38" s="257" t="s">
        <v>358</v>
      </c>
      <c r="N38" s="254">
        <f>H14</f>
        <v>10</v>
      </c>
      <c r="O38" s="257" t="s">
        <v>550</v>
      </c>
      <c r="P38" s="313">
        <f>P22</f>
        <v>9</v>
      </c>
      <c r="Q38" s="257" t="s">
        <v>358</v>
      </c>
      <c r="R38" s="313">
        <f>J23</f>
        <v>1.44986744</v>
      </c>
      <c r="S38" s="308" t="s">
        <v>361</v>
      </c>
      <c r="V38" s="197"/>
    </row>
    <row r="39" spans="1:22" ht="18" customHeight="1">
      <c r="A39" s="196"/>
      <c r="I39" s="27" t="s">
        <v>138</v>
      </c>
      <c r="J39" s="640">
        <f>J38*((L38+N38)/(P38+R38))</f>
        <v>9.0910244120761785</v>
      </c>
      <c r="K39" s="640"/>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308" t="s">
        <v>116</v>
      </c>
      <c r="S42" s="14" t="s">
        <v>596</v>
      </c>
      <c r="V42" s="197"/>
    </row>
    <row r="43" spans="1:22" ht="18" customHeight="1">
      <c r="A43" s="196"/>
      <c r="G43" s="639">
        <f>H14</f>
        <v>10</v>
      </c>
      <c r="H43" s="639"/>
      <c r="I43" s="27" t="str">
        <f>IF(G43&gt;J43,"&gt;","&lt;")</f>
        <v>&gt;</v>
      </c>
      <c r="J43" s="637">
        <f>J35</f>
        <v>1.44986744</v>
      </c>
      <c r="K43" s="639"/>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30" t="s">
        <v>117</v>
      </c>
      <c r="K45" s="14"/>
      <c r="S45" s="14" t="s">
        <v>598</v>
      </c>
      <c r="V45" s="197"/>
    </row>
    <row r="46" spans="1:22" ht="18" customHeight="1">
      <c r="A46" s="196"/>
      <c r="D46" s="14"/>
      <c r="G46" s="637">
        <f>P30</f>
        <v>20</v>
      </c>
      <c r="H46" s="637"/>
      <c r="I46" s="27" t="str">
        <f>IF(G46&gt;J46,"&gt;","&lt;")</f>
        <v>&gt;</v>
      </c>
      <c r="J46" s="637">
        <f>J39</f>
        <v>9.0910244120761785</v>
      </c>
      <c r="K46" s="637"/>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customHeight="1">
      <c r="A50" s="196"/>
      <c r="B50" s="667" t="str">
        <f>B7</f>
        <v>T1</v>
      </c>
      <c r="C50" s="668"/>
      <c r="D50" s="680" t="str">
        <f>D7</f>
        <v>Core4</v>
      </c>
      <c r="E50" s="681"/>
      <c r="F50" s="267"/>
      <c r="H50" s="639" t="str">
        <f>H7</f>
        <v>(Tariff Meter- Main)</v>
      </c>
      <c r="I50" s="639"/>
      <c r="J50" s="639"/>
      <c r="K50" s="639"/>
      <c r="L50" s="639"/>
      <c r="M50" s="639"/>
      <c r="P50" s="198"/>
      <c r="R50" s="267"/>
      <c r="S50" s="199" t="s">
        <v>398</v>
      </c>
      <c r="T50" s="1051" t="str">
        <f>T7</f>
        <v>XC-RACK</v>
      </c>
      <c r="U50" s="1052"/>
      <c r="V50" s="197"/>
    </row>
    <row r="51" spans="1:23" ht="18" customHeight="1">
      <c r="A51" s="196"/>
      <c r="B51" s="679">
        <f>B8</f>
        <v>0</v>
      </c>
      <c r="C51" s="679"/>
      <c r="D51" s="682"/>
      <c r="E51" s="683"/>
      <c r="F51" s="267"/>
      <c r="T51" s="1051"/>
      <c r="U51" s="1052"/>
      <c r="V51" s="197"/>
    </row>
    <row r="52" spans="1:23" ht="18" customHeight="1">
      <c r="A52" s="196"/>
      <c r="H52" s="661" t="s">
        <v>401</v>
      </c>
      <c r="I52" s="661"/>
      <c r="J52" s="662" t="s">
        <v>402</v>
      </c>
      <c r="K52" s="662"/>
      <c r="L52" s="701" t="s">
        <v>403</v>
      </c>
      <c r="M52" s="701"/>
      <c r="T52" s="1051"/>
      <c r="U52" s="1052"/>
      <c r="V52" s="197"/>
    </row>
    <row r="53" spans="1:23" ht="18" customHeight="1">
      <c r="A53" s="196"/>
      <c r="B53" s="47" t="s">
        <v>404</v>
      </c>
      <c r="H53" s="667">
        <f>H10</f>
        <v>3150</v>
      </c>
      <c r="I53" s="668"/>
      <c r="J53" s="1030">
        <f>J10</f>
        <v>2000</v>
      </c>
      <c r="K53" s="1031"/>
      <c r="L53" s="667" t="str">
        <f>L10</f>
        <v>-</v>
      </c>
      <c r="M53" s="668"/>
      <c r="N53" s="203" t="s">
        <v>353</v>
      </c>
      <c r="O53" s="501">
        <f>O10</f>
        <v>1</v>
      </c>
      <c r="P53" s="27" t="s">
        <v>9</v>
      </c>
      <c r="T53" s="1051"/>
      <c r="U53" s="1052"/>
      <c r="V53" s="197"/>
    </row>
    <row r="54" spans="1:23" ht="18" customHeight="1">
      <c r="A54" s="196"/>
      <c r="B54" s="47" t="s">
        <v>405</v>
      </c>
      <c r="H54" s="14"/>
      <c r="I54" s="14"/>
      <c r="J54" s="667" t="str">
        <f>H11</f>
        <v>0.2sFS5</v>
      </c>
      <c r="K54" s="668"/>
      <c r="L54" s="14"/>
      <c r="M54" s="14"/>
      <c r="V54" s="197"/>
    </row>
    <row r="55" spans="1:23" ht="18" customHeight="1">
      <c r="A55" s="196"/>
      <c r="B55" s="47" t="s">
        <v>407</v>
      </c>
      <c r="I55" s="120" t="s">
        <v>508</v>
      </c>
      <c r="J55" s="656">
        <v>5</v>
      </c>
      <c r="K55" s="657"/>
      <c r="L55" s="204" t="s">
        <v>344</v>
      </c>
      <c r="T55" s="307"/>
      <c r="U55" s="18"/>
      <c r="V55" s="197"/>
    </row>
    <row r="56" spans="1:23" ht="18" customHeight="1">
      <c r="A56" s="196"/>
      <c r="B56" s="30" t="s">
        <v>579</v>
      </c>
      <c r="I56" s="120" t="s">
        <v>580</v>
      </c>
      <c r="J56" s="656">
        <v>5</v>
      </c>
      <c r="K56" s="657"/>
      <c r="T56" s="307"/>
      <c r="U56" s="18"/>
      <c r="V56" s="197"/>
      <c r="W56" s="30" t="str">
        <f>J90</f>
        <v>Suitable Dimensions</v>
      </c>
    </row>
    <row r="57" spans="1:23" ht="18" customHeight="1">
      <c r="A57" s="196"/>
      <c r="B57" s="47" t="s">
        <v>573</v>
      </c>
      <c r="I57" s="120" t="s">
        <v>504</v>
      </c>
      <c r="J57" s="656">
        <v>7.5</v>
      </c>
      <c r="K57" s="657"/>
      <c r="L57" s="14" t="s">
        <v>168</v>
      </c>
      <c r="T57" s="307"/>
      <c r="U57" s="18"/>
      <c r="V57" s="197"/>
    </row>
    <row r="58" spans="1:23" ht="18" customHeight="1">
      <c r="A58" s="196"/>
      <c r="V58" s="197"/>
    </row>
    <row r="59" spans="1:23" ht="18" customHeight="1">
      <c r="A59" s="205" t="s">
        <v>415</v>
      </c>
      <c r="V59" s="197"/>
    </row>
    <row r="60" spans="1:23" ht="18" customHeight="1">
      <c r="A60" s="196"/>
      <c r="V60" s="197"/>
    </row>
    <row r="61" spans="1:23" ht="18"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customHeight="1">
      <c r="A62" s="196"/>
      <c r="B62" s="96" t="s">
        <v>416</v>
      </c>
      <c r="D62" s="308">
        <f>D19</f>
        <v>0</v>
      </c>
      <c r="I62" s="189" t="s">
        <v>138</v>
      </c>
      <c r="J62" s="642">
        <f t="shared" si="0"/>
        <v>0</v>
      </c>
      <c r="K62" s="643"/>
      <c r="L62" s="210" t="s">
        <v>168</v>
      </c>
      <c r="P62" s="256"/>
      <c r="V62" s="197"/>
    </row>
    <row r="63" spans="1:23" ht="18" customHeight="1">
      <c r="A63" s="196"/>
      <c r="B63" s="96" t="s">
        <v>416</v>
      </c>
      <c r="C63" s="14"/>
      <c r="D63" s="47">
        <f>D20</f>
        <v>0</v>
      </c>
      <c r="E63" s="14"/>
      <c r="G63" s="211"/>
      <c r="H63" s="27"/>
      <c r="I63" s="101" t="s">
        <v>138</v>
      </c>
      <c r="J63" s="644">
        <f t="shared" si="0"/>
        <v>0</v>
      </c>
      <c r="K63" s="645"/>
      <c r="L63" s="214" t="s">
        <v>168</v>
      </c>
      <c r="N63" s="120" t="s">
        <v>502</v>
      </c>
      <c r="O63" s="27" t="s">
        <v>138</v>
      </c>
      <c r="P63" s="27" t="s">
        <v>522</v>
      </c>
      <c r="Q63" s="27" t="s">
        <v>326</v>
      </c>
      <c r="R63" s="27" t="s">
        <v>522</v>
      </c>
      <c r="S63" s="27" t="s">
        <v>326</v>
      </c>
      <c r="T63" s="27" t="s">
        <v>431</v>
      </c>
      <c r="V63" s="197"/>
    </row>
    <row r="64" spans="1:23" ht="18" customHeight="1">
      <c r="A64" s="196"/>
      <c r="B64" s="96" t="s">
        <v>416</v>
      </c>
      <c r="C64" s="14"/>
      <c r="D64" s="47">
        <f>T10</f>
        <v>0</v>
      </c>
      <c r="E64" s="14"/>
      <c r="G64" s="211"/>
      <c r="H64" s="27"/>
      <c r="I64" s="101" t="s">
        <v>138</v>
      </c>
      <c r="J64" s="644">
        <f t="shared" si="0"/>
        <v>0</v>
      </c>
      <c r="K64" s="645"/>
      <c r="L64" s="214" t="s">
        <v>168</v>
      </c>
      <c r="O64" s="27" t="s">
        <v>138</v>
      </c>
      <c r="P64" s="27">
        <f>O53</f>
        <v>1</v>
      </c>
      <c r="Q64" s="27" t="s">
        <v>326</v>
      </c>
      <c r="R64" s="27">
        <f>O53</f>
        <v>1</v>
      </c>
      <c r="S64" s="27" t="s">
        <v>326</v>
      </c>
      <c r="T64" s="27">
        <f>J55</f>
        <v>5</v>
      </c>
      <c r="V64" s="197"/>
    </row>
    <row r="65" spans="1:22" ht="18" customHeight="1">
      <c r="A65" s="196"/>
      <c r="B65" s="196" t="s">
        <v>423</v>
      </c>
      <c r="C65" s="14"/>
      <c r="D65" s="47"/>
      <c r="E65" s="14"/>
      <c r="H65" s="27"/>
      <c r="I65" s="101" t="s">
        <v>138</v>
      </c>
      <c r="J65" s="646">
        <f t="shared" si="0"/>
        <v>1.44186744</v>
      </c>
      <c r="K65" s="647"/>
      <c r="L65" s="309" t="s">
        <v>168</v>
      </c>
      <c r="O65" s="27" t="s">
        <v>138</v>
      </c>
      <c r="P65" s="637">
        <f>P64*R64*T64</f>
        <v>5</v>
      </c>
      <c r="Q65" s="639"/>
      <c r="R65" s="27" t="s">
        <v>168</v>
      </c>
      <c r="S65" s="27"/>
      <c r="T65" s="27"/>
      <c r="V65" s="197"/>
    </row>
    <row r="66" spans="1:22" ht="18" customHeight="1">
      <c r="A66" s="196"/>
      <c r="B66" s="1" t="s">
        <v>424</v>
      </c>
      <c r="C66" s="2"/>
      <c r="D66" s="2"/>
      <c r="E66" s="2"/>
      <c r="F66" s="208"/>
      <c r="G66" s="208"/>
      <c r="H66" s="236" t="s">
        <v>523</v>
      </c>
      <c r="I66" s="195" t="s">
        <v>138</v>
      </c>
      <c r="J66" s="648">
        <f t="shared" si="0"/>
        <v>1.44986744</v>
      </c>
      <c r="K66" s="649"/>
      <c r="L66" s="3" t="s">
        <v>168</v>
      </c>
      <c r="O66" s="27"/>
      <c r="P66" s="223"/>
      <c r="Q66" s="223"/>
      <c r="R66" s="204"/>
      <c r="V66" s="197"/>
    </row>
    <row r="67" spans="1:22" ht="18" customHeight="1">
      <c r="A67" s="196"/>
      <c r="B67" s="47"/>
      <c r="C67" s="47"/>
      <c r="D67" s="47"/>
      <c r="E67" s="47"/>
      <c r="H67" s="27"/>
      <c r="I67" s="28"/>
      <c r="J67" s="230"/>
      <c r="K67" s="27"/>
      <c r="L67" s="47"/>
      <c r="O67" s="27"/>
      <c r="P67" s="223"/>
      <c r="Q67" s="223"/>
      <c r="R67" s="204"/>
      <c r="V67" s="197"/>
    </row>
    <row r="68" spans="1:22" ht="18" customHeight="1">
      <c r="A68" s="196"/>
      <c r="B68" s="47" t="s">
        <v>556</v>
      </c>
      <c r="C68" s="47"/>
      <c r="D68" s="47"/>
      <c r="E68" s="47"/>
      <c r="H68" s="27"/>
      <c r="I68" s="28"/>
      <c r="J68" s="211"/>
      <c r="L68" s="47"/>
      <c r="N68" s="120" t="s">
        <v>434</v>
      </c>
      <c r="O68" s="28" t="s">
        <v>138</v>
      </c>
      <c r="P68" s="986">
        <f>J53</f>
        <v>2000</v>
      </c>
      <c r="Q68" s="986"/>
      <c r="R68" s="204" t="s">
        <v>9</v>
      </c>
      <c r="V68" s="197"/>
    </row>
    <row r="69" spans="1:22" ht="18" customHeight="1">
      <c r="A69" s="196"/>
      <c r="B69" s="47" t="s">
        <v>558</v>
      </c>
      <c r="C69" s="47"/>
      <c r="D69" s="47"/>
      <c r="E69" s="47"/>
      <c r="H69" s="27"/>
      <c r="I69" s="28"/>
      <c r="J69" s="211"/>
      <c r="L69" s="47"/>
      <c r="N69" s="120" t="s">
        <v>583</v>
      </c>
      <c r="O69" s="28" t="s">
        <v>138</v>
      </c>
      <c r="P69" s="986">
        <f>J55</f>
        <v>5</v>
      </c>
      <c r="Q69" s="986"/>
      <c r="R69" s="316" t="s">
        <v>168</v>
      </c>
      <c r="V69" s="197"/>
    </row>
    <row r="70" spans="1:22" ht="18" customHeight="1">
      <c r="A70" s="196"/>
      <c r="B70" s="47" t="s">
        <v>559</v>
      </c>
      <c r="C70" s="47"/>
      <c r="D70" s="47"/>
      <c r="E70" s="47"/>
      <c r="H70" s="27"/>
      <c r="I70" s="28"/>
      <c r="J70" s="211"/>
      <c r="L70" s="47"/>
      <c r="N70" s="120" t="s">
        <v>584</v>
      </c>
      <c r="O70" s="28" t="s">
        <v>138</v>
      </c>
      <c r="P70" s="960">
        <f>J66</f>
        <v>1.44986744</v>
      </c>
      <c r="Q70" s="986"/>
      <c r="R70" s="316" t="s">
        <v>168</v>
      </c>
      <c r="V70" s="197"/>
    </row>
    <row r="71" spans="1:22" ht="18" customHeight="1">
      <c r="A71" s="196"/>
      <c r="B71" s="47" t="s">
        <v>560</v>
      </c>
      <c r="C71" s="47"/>
      <c r="D71" s="47"/>
      <c r="E71" s="47"/>
      <c r="H71" s="27"/>
      <c r="I71" s="28"/>
      <c r="J71" s="211"/>
      <c r="L71" s="47"/>
      <c r="N71" s="120" t="s">
        <v>522</v>
      </c>
      <c r="O71" s="28" t="s">
        <v>138</v>
      </c>
      <c r="P71" s="986">
        <f>O53</f>
        <v>1</v>
      </c>
      <c r="Q71" s="986"/>
      <c r="R71" s="204" t="s">
        <v>9</v>
      </c>
      <c r="V71" s="197"/>
    </row>
    <row r="72" spans="1:22" ht="18" customHeight="1">
      <c r="A72" s="196"/>
      <c r="B72" s="47" t="s">
        <v>585</v>
      </c>
      <c r="C72" s="47"/>
      <c r="D72" s="47"/>
      <c r="E72" s="47"/>
      <c r="H72" s="27"/>
      <c r="I72" s="28"/>
      <c r="J72" s="211"/>
      <c r="L72" s="47"/>
      <c r="N72" s="120" t="s">
        <v>506</v>
      </c>
      <c r="O72" s="28" t="s">
        <v>138</v>
      </c>
      <c r="P72" s="986">
        <v>10</v>
      </c>
      <c r="Q72" s="986"/>
      <c r="R72" s="204"/>
      <c r="V72" s="197"/>
    </row>
    <row r="73" spans="1:22" ht="18" customHeight="1">
      <c r="A73" s="196"/>
      <c r="B73" s="47" t="s">
        <v>588</v>
      </c>
      <c r="C73" s="47"/>
      <c r="D73" s="47"/>
      <c r="E73" s="47"/>
      <c r="H73" s="27"/>
      <c r="I73" s="28"/>
      <c r="J73" s="211"/>
      <c r="L73" s="47"/>
      <c r="O73" s="28" t="s">
        <v>138</v>
      </c>
      <c r="P73" s="960">
        <v>20</v>
      </c>
      <c r="Q73" s="960"/>
      <c r="R73" s="204" t="s">
        <v>140</v>
      </c>
      <c r="S73" s="14" t="s">
        <v>181</v>
      </c>
      <c r="V73" s="197"/>
    </row>
    <row r="74" spans="1:22" ht="18"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705">
        <f>S32</f>
        <v>20</v>
      </c>
      <c r="T75" s="707"/>
      <c r="V75" s="197" t="s">
        <v>140</v>
      </c>
    </row>
    <row r="76" spans="1:22" ht="18" hidden="1" customHeight="1">
      <c r="A76" s="196"/>
      <c r="B76" s="47"/>
      <c r="C76" s="47"/>
      <c r="D76" s="47"/>
      <c r="E76" s="47"/>
      <c r="H76" s="27"/>
      <c r="I76" s="28"/>
      <c r="J76" s="211"/>
      <c r="L76" s="47"/>
      <c r="O76" s="27"/>
      <c r="P76" s="223"/>
      <c r="Q76" s="223"/>
      <c r="R76" s="204"/>
      <c r="V76" s="197"/>
    </row>
    <row r="77" spans="1:22" ht="18" customHeight="1">
      <c r="A77" s="196"/>
      <c r="B77" s="47"/>
      <c r="C77" s="47" t="s">
        <v>592</v>
      </c>
      <c r="D77" s="47"/>
      <c r="E77" s="47"/>
      <c r="H77" s="27"/>
      <c r="I77" s="28" t="s">
        <v>138</v>
      </c>
      <c r="J77" s="293" t="s">
        <v>593</v>
      </c>
      <c r="L77" s="47"/>
      <c r="O77" s="27"/>
      <c r="P77" s="28" t="s">
        <v>358</v>
      </c>
      <c r="Q77" s="14" t="s">
        <v>594</v>
      </c>
      <c r="R77" s="204"/>
      <c r="V77" s="197"/>
    </row>
    <row r="78" spans="1:22" ht="18" customHeight="1">
      <c r="A78" s="196"/>
      <c r="I78" s="28" t="s">
        <v>138</v>
      </c>
      <c r="J78" s="637">
        <f>J66</f>
        <v>1.44986744</v>
      </c>
      <c r="K78" s="639"/>
      <c r="L78" s="28"/>
      <c r="M78" s="637"/>
      <c r="N78" s="639"/>
      <c r="V78" s="197"/>
    </row>
    <row r="79" spans="1:22" ht="18" customHeight="1">
      <c r="A79" s="196"/>
      <c r="I79" s="28"/>
      <c r="J79" s="216"/>
      <c r="V79" s="197"/>
    </row>
    <row r="80" spans="1:22" ht="18"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customHeight="1">
      <c r="A81" s="196"/>
      <c r="I81" s="27" t="s">
        <v>138</v>
      </c>
      <c r="J81" s="257">
        <f>J56</f>
        <v>5</v>
      </c>
      <c r="K81" s="257" t="s">
        <v>565</v>
      </c>
      <c r="L81" s="313">
        <f>P65</f>
        <v>5</v>
      </c>
      <c r="M81" s="257" t="s">
        <v>358</v>
      </c>
      <c r="N81" s="254">
        <f>J57</f>
        <v>7.5</v>
      </c>
      <c r="O81" s="257" t="s">
        <v>550</v>
      </c>
      <c r="P81" s="313">
        <f>P65</f>
        <v>5</v>
      </c>
      <c r="Q81" s="257" t="s">
        <v>358</v>
      </c>
      <c r="R81" s="313">
        <f>J66</f>
        <v>1.44986744</v>
      </c>
      <c r="S81" s="308" t="s">
        <v>361</v>
      </c>
      <c r="V81" s="197"/>
    </row>
    <row r="82" spans="1:22" ht="18" customHeight="1">
      <c r="A82" s="196"/>
      <c r="I82" s="27" t="s">
        <v>138</v>
      </c>
      <c r="J82" s="640">
        <f>J81*((L81+N81)/(P81+R81))</f>
        <v>9.690121631398986</v>
      </c>
      <c r="K82" s="640"/>
      <c r="L82" s="254"/>
      <c r="M82" s="254"/>
      <c r="N82" s="254"/>
      <c r="O82" s="254"/>
      <c r="P82" s="254"/>
      <c r="Q82" s="254"/>
      <c r="R82" s="254"/>
      <c r="V82" s="197"/>
    </row>
    <row r="83" spans="1:22" ht="18" customHeight="1">
      <c r="A83" s="196"/>
      <c r="I83" s="28"/>
      <c r="J83" s="223"/>
      <c r="K83" s="27"/>
      <c r="V83" s="197"/>
    </row>
    <row r="84" spans="1:22" ht="18" customHeight="1">
      <c r="A84" s="96" t="s">
        <v>595</v>
      </c>
      <c r="I84" s="28"/>
      <c r="J84" s="223"/>
      <c r="K84" s="27"/>
      <c r="V84" s="197"/>
    </row>
    <row r="85" spans="1:22" ht="18" customHeight="1">
      <c r="A85" s="196"/>
      <c r="B85" s="28">
        <v>1</v>
      </c>
      <c r="D85" s="14"/>
      <c r="H85" s="120" t="s">
        <v>503</v>
      </c>
      <c r="I85" s="28" t="s">
        <v>487</v>
      </c>
      <c r="J85" s="47" t="s">
        <v>116</v>
      </c>
      <c r="S85" s="14" t="s">
        <v>596</v>
      </c>
      <c r="V85" s="197"/>
    </row>
    <row r="86" spans="1:22" ht="18" customHeight="1">
      <c r="A86" s="196"/>
      <c r="G86" s="639">
        <f>J57</f>
        <v>7.5</v>
      </c>
      <c r="H86" s="639"/>
      <c r="I86" s="27" t="str">
        <f>IF(G86&gt;J86,"&gt;","&lt;")</f>
        <v>&gt;</v>
      </c>
      <c r="J86" s="637">
        <f>J78</f>
        <v>1.44986744</v>
      </c>
      <c r="K86" s="639"/>
      <c r="S86" s="198" t="str">
        <f>IF(G86&gt;J86,"Satisfied","Not satisfied")</f>
        <v>Satisfied</v>
      </c>
      <c r="V86" s="197"/>
    </row>
    <row r="87" spans="1:22" ht="18" customHeight="1">
      <c r="A87" s="196"/>
      <c r="D87" s="14"/>
      <c r="H87" s="120"/>
      <c r="I87" s="27"/>
      <c r="R87" s="14"/>
      <c r="V87" s="197"/>
    </row>
    <row r="88" spans="1:22" ht="18" customHeight="1">
      <c r="A88" s="196"/>
      <c r="B88" s="28">
        <v>2</v>
      </c>
      <c r="D88" s="14"/>
      <c r="H88" s="256" t="s">
        <v>597</v>
      </c>
      <c r="I88" s="28" t="s">
        <v>487</v>
      </c>
      <c r="J88" s="14" t="s">
        <v>117</v>
      </c>
      <c r="K88" s="14"/>
      <c r="S88" s="14" t="s">
        <v>598</v>
      </c>
      <c r="V88" s="197"/>
    </row>
    <row r="89" spans="1:22" ht="18" customHeight="1">
      <c r="A89" s="196"/>
      <c r="D89" s="14"/>
      <c r="G89" s="637">
        <f>P73</f>
        <v>20</v>
      </c>
      <c r="H89" s="637"/>
      <c r="I89" s="27" t="str">
        <f>IF(G89&gt;J89,"&gt;","&lt;")</f>
        <v>&gt;</v>
      </c>
      <c r="J89" s="637">
        <f>J82</f>
        <v>9.690121631398986</v>
      </c>
      <c r="K89" s="637"/>
      <c r="R89" s="14"/>
      <c r="S89" s="198" t="str">
        <f>IF(G89&gt;J89,"Satisfied","Not satisfied")</f>
        <v>Satisfied</v>
      </c>
      <c r="V89" s="197"/>
    </row>
    <row r="90" spans="1:22" ht="18"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650" t="str">
        <f>B50</f>
        <v>T1</v>
      </c>
      <c r="C95" s="651"/>
      <c r="D95" s="663" t="str">
        <f>D50</f>
        <v>Core4</v>
      </c>
      <c r="E95" s="664"/>
      <c r="F95" s="267"/>
      <c r="H95" s="639" t="str">
        <f>H50</f>
        <v>(Tariff Meter- Main)</v>
      </c>
      <c r="I95" s="639"/>
      <c r="J95" s="639"/>
      <c r="K95" s="639"/>
      <c r="L95" s="639"/>
      <c r="M95" s="639"/>
      <c r="P95" s="198"/>
      <c r="V95" s="197"/>
    </row>
    <row r="96" spans="1:22" ht="18" hidden="1" customHeight="1">
      <c r="A96" s="196"/>
      <c r="B96" s="660">
        <f>B51</f>
        <v>0</v>
      </c>
      <c r="C96" s="660"/>
      <c r="D96" s="665"/>
      <c r="E96" s="666"/>
      <c r="F96" s="267"/>
      <c r="V96" s="197"/>
    </row>
    <row r="97" spans="1:23" ht="18" hidden="1" customHeight="1">
      <c r="A97" s="196"/>
      <c r="H97" s="661" t="s">
        <v>401</v>
      </c>
      <c r="I97" s="661"/>
      <c r="J97" s="661" t="s">
        <v>402</v>
      </c>
      <c r="K97" s="661"/>
      <c r="L97" s="662" t="s">
        <v>403</v>
      </c>
      <c r="M97" s="662"/>
      <c r="V97" s="197"/>
    </row>
    <row r="98" spans="1:23" ht="18" hidden="1" customHeight="1">
      <c r="A98" s="196"/>
      <c r="B98" s="47" t="s">
        <v>404</v>
      </c>
      <c r="H98" s="650">
        <f>H53</f>
        <v>3150</v>
      </c>
      <c r="I98" s="651"/>
      <c r="J98" s="650">
        <f>J53</f>
        <v>2000</v>
      </c>
      <c r="K98" s="651"/>
      <c r="L98" s="652" t="str">
        <f>L53</f>
        <v>-</v>
      </c>
      <c r="M98" s="653"/>
      <c r="N98" s="203" t="s">
        <v>353</v>
      </c>
      <c r="O98" s="268">
        <f>O53</f>
        <v>1</v>
      </c>
      <c r="P98" s="27" t="s">
        <v>9</v>
      </c>
      <c r="V98" s="197"/>
    </row>
    <row r="99" spans="1:23" ht="18" hidden="1" customHeight="1">
      <c r="A99" s="196"/>
      <c r="B99" s="47" t="s">
        <v>405</v>
      </c>
      <c r="H99" s="14"/>
      <c r="I99" s="14"/>
      <c r="K99" s="14"/>
      <c r="L99" s="650" t="str">
        <f>J54</f>
        <v>0.2sFS5</v>
      </c>
      <c r="M99" s="651"/>
      <c r="N99" s="14"/>
      <c r="V99" s="197"/>
    </row>
    <row r="100" spans="1:23" ht="18" hidden="1" customHeight="1">
      <c r="A100" s="196"/>
      <c r="B100" s="47" t="s">
        <v>407</v>
      </c>
      <c r="I100" s="120"/>
      <c r="K100" s="120" t="s">
        <v>508</v>
      </c>
      <c r="L100" s="656" t="s">
        <v>7</v>
      </c>
      <c r="M100" s="657"/>
      <c r="N100" s="204" t="s">
        <v>344</v>
      </c>
      <c r="T100" s="307"/>
      <c r="U100" s="18"/>
      <c r="V100" s="197"/>
    </row>
    <row r="101" spans="1:23" ht="18" hidden="1" customHeight="1">
      <c r="A101" s="196"/>
      <c r="B101" s="30" t="s">
        <v>579</v>
      </c>
      <c r="I101" s="120"/>
      <c r="K101" s="120" t="s">
        <v>580</v>
      </c>
      <c r="L101" s="656" t="s">
        <v>7</v>
      </c>
      <c r="M101" s="657"/>
      <c r="T101" s="307"/>
      <c r="U101" s="18"/>
      <c r="V101" s="197"/>
      <c r="W101" s="30" t="e">
        <f>J130</f>
        <v>#VALUE!</v>
      </c>
    </row>
    <row r="102" spans="1:23" ht="18" hidden="1" customHeight="1">
      <c r="A102" s="196"/>
      <c r="B102" s="47" t="s">
        <v>573</v>
      </c>
      <c r="I102" s="120"/>
      <c r="K102" s="120" t="s">
        <v>504</v>
      </c>
      <c r="L102" s="656" t="s">
        <v>7</v>
      </c>
      <c r="M102" s="657"/>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648">
        <f t="shared" ref="J106:J111" si="1">J61</f>
        <v>8.0000000000000002E-3</v>
      </c>
      <c r="K106" s="649"/>
      <c r="L106" s="3" t="s">
        <v>168</v>
      </c>
      <c r="N106" s="209" t="s">
        <v>521</v>
      </c>
      <c r="V106" s="197"/>
    </row>
    <row r="107" spans="1:23" ht="18" hidden="1" customHeight="1">
      <c r="A107" s="196"/>
      <c r="B107" s="96" t="s">
        <v>416</v>
      </c>
      <c r="D107" s="308">
        <f>D62</f>
        <v>0</v>
      </c>
      <c r="I107" s="189" t="s">
        <v>138</v>
      </c>
      <c r="J107" s="642">
        <f t="shared" si="1"/>
        <v>0</v>
      </c>
      <c r="K107" s="643"/>
      <c r="L107" s="210" t="s">
        <v>168</v>
      </c>
      <c r="P107" s="256"/>
      <c r="V107" s="197"/>
    </row>
    <row r="108" spans="1:23" ht="18" hidden="1" customHeight="1">
      <c r="A108" s="196"/>
      <c r="B108" s="96" t="s">
        <v>416</v>
      </c>
      <c r="C108" s="14"/>
      <c r="D108" s="47">
        <f>D63</f>
        <v>0</v>
      </c>
      <c r="E108" s="14"/>
      <c r="G108" s="211"/>
      <c r="H108" s="27"/>
      <c r="I108" s="101" t="s">
        <v>138</v>
      </c>
      <c r="J108" s="644">
        <f t="shared" si="1"/>
        <v>0</v>
      </c>
      <c r="K108" s="645"/>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644">
        <f t="shared" si="1"/>
        <v>0</v>
      </c>
      <c r="K109" s="645"/>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646">
        <f t="shared" si="1"/>
        <v>1.44186744</v>
      </c>
      <c r="K110" s="647"/>
      <c r="L110" s="309" t="s">
        <v>168</v>
      </c>
      <c r="O110" s="27" t="s">
        <v>138</v>
      </c>
      <c r="P110" s="637" t="e">
        <f>P109*R109*T109</f>
        <v>#VALUE!</v>
      </c>
      <c r="Q110" s="639"/>
      <c r="R110" s="27" t="s">
        <v>168</v>
      </c>
      <c r="S110" s="27"/>
      <c r="T110" s="27"/>
      <c r="V110" s="197"/>
    </row>
    <row r="111" spans="1:23" ht="18" hidden="1" customHeight="1">
      <c r="A111" s="196"/>
      <c r="B111" s="1" t="s">
        <v>424</v>
      </c>
      <c r="C111" s="2"/>
      <c r="D111" s="2"/>
      <c r="E111" s="2"/>
      <c r="F111" s="208"/>
      <c r="G111" s="208"/>
      <c r="H111" s="236" t="s">
        <v>523</v>
      </c>
      <c r="I111" s="195" t="s">
        <v>138</v>
      </c>
      <c r="J111" s="897">
        <f t="shared" si="1"/>
        <v>1.44986744</v>
      </c>
      <c r="K111" s="649"/>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705">
        <f>S75</f>
        <v>20</v>
      </c>
      <c r="T113" s="707"/>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637" t="e">
        <f>P110</f>
        <v>#VALUE!</v>
      </c>
      <c r="K116" s="639"/>
      <c r="L116" s="28" t="s">
        <v>358</v>
      </c>
      <c r="M116" s="637">
        <f>J111</f>
        <v>1.44986744</v>
      </c>
      <c r="N116" s="639"/>
      <c r="V116" s="197"/>
    </row>
    <row r="117" spans="1:22" ht="18" hidden="1" customHeight="1">
      <c r="A117" s="196"/>
      <c r="I117" s="28" t="s">
        <v>138</v>
      </c>
      <c r="J117" s="637" t="e">
        <f>J116+M116</f>
        <v>#VALUE!</v>
      </c>
      <c r="K117" s="639"/>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1.44986744</v>
      </c>
      <c r="S120" s="308" t="s">
        <v>361</v>
      </c>
      <c r="V120" s="197"/>
    </row>
    <row r="121" spans="1:22" ht="18" hidden="1" customHeight="1">
      <c r="A121" s="196"/>
      <c r="I121" s="27" t="s">
        <v>138</v>
      </c>
      <c r="J121" s="640" t="e">
        <f>J120*((L120+N120)/(P120+R120))</f>
        <v>#VALUE!</v>
      </c>
      <c r="K121" s="640"/>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639" t="str">
        <f>L102</f>
        <v>-</v>
      </c>
      <c r="H125" s="639"/>
      <c r="I125" s="27" t="e">
        <f>IF(G125&gt;J125,"&gt;","&lt;")</f>
        <v>#VALUE!</v>
      </c>
      <c r="J125" s="637" t="e">
        <f>J117</f>
        <v>#VALUE!</v>
      </c>
      <c r="K125" s="639"/>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637">
        <f>S113</f>
        <v>20</v>
      </c>
      <c r="H128" s="637"/>
      <c r="I128" s="27" t="e">
        <f>IF(G128&gt;J128,"&gt;","&lt;")</f>
        <v>#VALUE!</v>
      </c>
      <c r="J128" s="637" t="e">
        <f>J121</f>
        <v>#VALUE!</v>
      </c>
      <c r="K128" s="637"/>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614" t="s">
        <v>97</v>
      </c>
      <c r="B140" s="620"/>
      <c r="C140" s="615"/>
      <c r="D140" s="614" t="s">
        <v>98</v>
      </c>
      <c r="E140" s="620"/>
      <c r="F140" s="615"/>
      <c r="G140" s="614" t="s">
        <v>99</v>
      </c>
      <c r="H140" s="615"/>
      <c r="I140" s="614" t="s">
        <v>100</v>
      </c>
      <c r="J140" s="615"/>
      <c r="K140" s="614" t="s">
        <v>513</v>
      </c>
      <c r="L140" s="615"/>
      <c r="M140" s="614" t="s">
        <v>114</v>
      </c>
      <c r="N140" s="615"/>
      <c r="O140" s="614"/>
      <c r="P140" s="615"/>
      <c r="Q140" s="614" t="s">
        <v>516</v>
      </c>
      <c r="R140" s="615"/>
      <c r="S140" s="614" t="s">
        <v>105</v>
      </c>
      <c r="T140" s="620"/>
      <c r="U140" s="620"/>
      <c r="V140" s="615"/>
    </row>
    <row r="141" spans="1:22" ht="18" customHeight="1">
      <c r="A141" s="616"/>
      <c r="B141" s="621"/>
      <c r="C141" s="617"/>
      <c r="D141" s="616"/>
      <c r="E141" s="621"/>
      <c r="F141" s="617"/>
      <c r="G141" s="616"/>
      <c r="H141" s="617"/>
      <c r="I141" s="616"/>
      <c r="J141" s="617"/>
      <c r="K141" s="616"/>
      <c r="L141" s="617"/>
      <c r="M141" s="616"/>
      <c r="N141" s="617"/>
      <c r="O141" s="616"/>
      <c r="P141" s="617"/>
      <c r="Q141" s="616"/>
      <c r="R141" s="617"/>
      <c r="S141" s="616"/>
      <c r="T141" s="621"/>
      <c r="U141" s="621"/>
      <c r="V141" s="617"/>
    </row>
    <row r="142" spans="1:22" ht="18" customHeight="1">
      <c r="A142" s="616"/>
      <c r="B142" s="621"/>
      <c r="C142" s="617"/>
      <c r="D142" s="616"/>
      <c r="E142" s="621"/>
      <c r="F142" s="617"/>
      <c r="G142" s="616"/>
      <c r="H142" s="617"/>
      <c r="I142" s="616"/>
      <c r="J142" s="617"/>
      <c r="K142" s="616"/>
      <c r="L142" s="617"/>
      <c r="M142" s="616"/>
      <c r="N142" s="617"/>
      <c r="O142" s="616"/>
      <c r="P142" s="617"/>
      <c r="Q142" s="616"/>
      <c r="R142" s="617"/>
      <c r="S142" s="616"/>
      <c r="T142" s="621"/>
      <c r="U142" s="621"/>
      <c r="V142" s="617"/>
    </row>
    <row r="143" spans="1:22" ht="18" customHeight="1">
      <c r="A143" s="618"/>
      <c r="B143" s="622"/>
      <c r="C143" s="619"/>
      <c r="D143" s="618"/>
      <c r="E143" s="622"/>
      <c r="F143" s="619"/>
      <c r="G143" s="618"/>
      <c r="H143" s="619"/>
      <c r="I143" s="618"/>
      <c r="J143" s="619"/>
      <c r="K143" s="618"/>
      <c r="L143" s="619"/>
      <c r="M143" s="618"/>
      <c r="N143" s="619"/>
      <c r="O143" s="618"/>
      <c r="P143" s="619"/>
      <c r="Q143" s="618"/>
      <c r="R143" s="619"/>
      <c r="S143" s="618"/>
      <c r="T143" s="622"/>
      <c r="U143" s="622"/>
      <c r="V143" s="619"/>
    </row>
    <row r="144" spans="1:22" ht="18" customHeight="1">
      <c r="A144" s="623" t="str">
        <f>B95</f>
        <v>T1</v>
      </c>
      <c r="B144" s="623" t="str">
        <f>D95</f>
        <v>Core4</v>
      </c>
      <c r="C144" s="623"/>
      <c r="D144" s="613">
        <f>H98</f>
        <v>3150</v>
      </c>
      <c r="E144" s="613"/>
      <c r="F144" s="624">
        <f>O98</f>
        <v>1</v>
      </c>
      <c r="G144" s="627">
        <f>'CT-VT Burdens'!S19</f>
        <v>80</v>
      </c>
      <c r="H144" s="630">
        <f>'CT-VT Burdens'!S10</f>
        <v>2.5</v>
      </c>
      <c r="I144" s="783" t="str">
        <f>L99</f>
        <v>0.2sFS5</v>
      </c>
      <c r="J144" s="783"/>
      <c r="K144" s="612">
        <f>H12</f>
        <v>9</v>
      </c>
      <c r="L144" s="612"/>
      <c r="M144" s="612">
        <f>H14</f>
        <v>10</v>
      </c>
      <c r="N144" s="612"/>
      <c r="O144" s="613" t="s">
        <v>7</v>
      </c>
      <c r="P144" s="613"/>
      <c r="Q144" s="629" t="str">
        <f>CONCATENATE(T7," ",T8," ",T9," ",T10)</f>
        <v xml:space="preserve">XC-RACK   </v>
      </c>
      <c r="R144" s="629"/>
      <c r="S144" s="628" t="str">
        <f>J47</f>
        <v>Suitable Dimensions</v>
      </c>
      <c r="T144" s="628"/>
      <c r="U144" s="628"/>
      <c r="V144" s="628"/>
    </row>
    <row r="145" spans="1:22" ht="18" customHeight="1">
      <c r="A145" s="623"/>
      <c r="B145" s="623"/>
      <c r="C145" s="623"/>
      <c r="D145" s="613">
        <f>J98</f>
        <v>2000</v>
      </c>
      <c r="E145" s="613"/>
      <c r="F145" s="625"/>
      <c r="G145" s="627"/>
      <c r="H145" s="630"/>
      <c r="I145" s="783"/>
      <c r="J145" s="783"/>
      <c r="K145" s="612">
        <f>J55</f>
        <v>5</v>
      </c>
      <c r="L145" s="612"/>
      <c r="M145" s="612">
        <f>J57</f>
        <v>7.5</v>
      </c>
      <c r="N145" s="612"/>
      <c r="O145" s="613" t="s">
        <v>7</v>
      </c>
      <c r="P145" s="613"/>
      <c r="Q145" s="629"/>
      <c r="R145" s="629"/>
      <c r="S145" s="628" t="str">
        <f>J90</f>
        <v>Suitable Dimensions</v>
      </c>
      <c r="T145" s="628"/>
      <c r="U145" s="628"/>
      <c r="V145" s="628"/>
    </row>
    <row r="146" spans="1:22" ht="18" customHeight="1">
      <c r="A146" s="623"/>
      <c r="B146" s="623"/>
      <c r="C146" s="623"/>
      <c r="D146" s="613" t="s">
        <v>7</v>
      </c>
      <c r="E146" s="613"/>
      <c r="F146" s="626"/>
      <c r="G146" s="627"/>
      <c r="H146" s="630"/>
      <c r="I146" s="783"/>
      <c r="J146" s="783"/>
      <c r="K146" s="612" t="s">
        <v>7</v>
      </c>
      <c r="L146" s="612"/>
      <c r="M146" s="612" t="s">
        <v>7</v>
      </c>
      <c r="N146" s="612"/>
      <c r="O146" s="613" t="s">
        <v>7</v>
      </c>
      <c r="P146" s="613"/>
      <c r="Q146" s="629"/>
      <c r="R146" s="629"/>
      <c r="S146" s="628" t="s">
        <v>7</v>
      </c>
      <c r="T146" s="628"/>
      <c r="U146" s="628"/>
      <c r="V146" s="628"/>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277"/>
      <c r="B177" s="251"/>
      <c r="C177" s="251"/>
      <c r="D177" s="251"/>
      <c r="E177" s="251"/>
      <c r="F177" s="251"/>
      <c r="G177" s="251"/>
      <c r="H177" s="251"/>
      <c r="I177" s="251"/>
      <c r="J177" s="93"/>
      <c r="K177" s="93"/>
      <c r="L177" s="251"/>
      <c r="M177" s="251"/>
      <c r="N177" s="251"/>
      <c r="O177" s="251"/>
      <c r="P177" s="251"/>
      <c r="Q177" s="251"/>
      <c r="R177" s="251"/>
      <c r="S177" s="251"/>
      <c r="T177" s="251"/>
      <c r="U177" s="103"/>
      <c r="V177" s="322"/>
    </row>
    <row r="178" spans="1:22" ht="18" customHeight="1">
      <c r="A178" s="196"/>
      <c r="V178" s="197"/>
    </row>
    <row r="179" spans="1:22" s="14" customFormat="1" ht="18" customHeight="1">
      <c r="A179" s="206"/>
      <c r="B179" s="207"/>
      <c r="C179" s="207"/>
      <c r="D179" s="207"/>
      <c r="E179" s="207"/>
      <c r="F179" s="207"/>
      <c r="G179" s="207"/>
      <c r="H179" s="207"/>
      <c r="I179" s="207"/>
      <c r="J179" s="207"/>
      <c r="K179" s="207"/>
      <c r="L179" s="207"/>
      <c r="M179" s="207"/>
      <c r="N179" s="207"/>
      <c r="O179" s="207"/>
      <c r="P179" s="207"/>
      <c r="Q179" s="236"/>
      <c r="R179" s="194"/>
      <c r="S179" s="237"/>
      <c r="T179" s="207"/>
      <c r="U179" s="207"/>
      <c r="V179" s="140"/>
    </row>
  </sheetData>
  <mergeCells count="157">
    <mergeCell ref="T50:U50"/>
    <mergeCell ref="T51:U51"/>
    <mergeCell ref="T52:U52"/>
    <mergeCell ref="T53:U53"/>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B7:C8"/>
    <mergeCell ref="D7:E8"/>
    <mergeCell ref="H7:M7"/>
    <mergeCell ref="T7:U7"/>
    <mergeCell ref="T8:U8"/>
    <mergeCell ref="H9:I9"/>
    <mergeCell ref="J9:K9"/>
    <mergeCell ref="L9:M9"/>
    <mergeCell ref="T9:U9"/>
    <mergeCell ref="H12:I12"/>
    <mergeCell ref="H13:I13"/>
    <mergeCell ref="H14:I14"/>
    <mergeCell ref="J18:K18"/>
    <mergeCell ref="J19:K19"/>
    <mergeCell ref="J20:K20"/>
    <mergeCell ref="H10:I10"/>
    <mergeCell ref="J10:K10"/>
    <mergeCell ref="L10:M10"/>
    <mergeCell ref="S32:T32"/>
    <mergeCell ref="J35:K35"/>
    <mergeCell ref="M35:N35"/>
    <mergeCell ref="J21:K21"/>
    <mergeCell ref="J22:K22"/>
    <mergeCell ref="P22:Q22"/>
    <mergeCell ref="J23:K23"/>
    <mergeCell ref="P25:Q25"/>
    <mergeCell ref="P26:Q26"/>
    <mergeCell ref="J36:K36"/>
    <mergeCell ref="J39:K39"/>
    <mergeCell ref="G43:H43"/>
    <mergeCell ref="J43:K43"/>
    <mergeCell ref="G46:H46"/>
    <mergeCell ref="J46:K46"/>
    <mergeCell ref="P27:Q27"/>
    <mergeCell ref="P28:Q28"/>
    <mergeCell ref="P29:Q29"/>
    <mergeCell ref="P30:Q30"/>
    <mergeCell ref="H53:I53"/>
    <mergeCell ref="J53:K53"/>
    <mergeCell ref="L53:M53"/>
    <mergeCell ref="J54:K54"/>
    <mergeCell ref="J55:K55"/>
    <mergeCell ref="J56:K56"/>
    <mergeCell ref="B50:C50"/>
    <mergeCell ref="D50:E51"/>
    <mergeCell ref="H50:M50"/>
    <mergeCell ref="B51:C51"/>
    <mergeCell ref="H52:I52"/>
    <mergeCell ref="J52:K52"/>
    <mergeCell ref="L52:M52"/>
    <mergeCell ref="P65:Q65"/>
    <mergeCell ref="J66:K66"/>
    <mergeCell ref="P68:Q68"/>
    <mergeCell ref="P69:Q69"/>
    <mergeCell ref="P70:Q70"/>
    <mergeCell ref="P71:Q71"/>
    <mergeCell ref="J57:K57"/>
    <mergeCell ref="J61:K61"/>
    <mergeCell ref="J62:K62"/>
    <mergeCell ref="J63:K63"/>
    <mergeCell ref="J64:K64"/>
    <mergeCell ref="J65:K65"/>
    <mergeCell ref="B95:C95"/>
    <mergeCell ref="D95:E96"/>
    <mergeCell ref="H95:M95"/>
    <mergeCell ref="B96:C96"/>
    <mergeCell ref="P72:Q72"/>
    <mergeCell ref="P73:Q73"/>
    <mergeCell ref="S75:T75"/>
    <mergeCell ref="J78:K78"/>
    <mergeCell ref="M78:N78"/>
    <mergeCell ref="J82:K82"/>
    <mergeCell ref="H97:I97"/>
    <mergeCell ref="J97:K97"/>
    <mergeCell ref="L97:M97"/>
    <mergeCell ref="H98:I98"/>
    <mergeCell ref="J98:K98"/>
    <mergeCell ref="L98:M98"/>
    <mergeCell ref="G86:H86"/>
    <mergeCell ref="J86:K86"/>
    <mergeCell ref="G89:H89"/>
    <mergeCell ref="J89:K89"/>
    <mergeCell ref="J108:K108"/>
    <mergeCell ref="J109:K109"/>
    <mergeCell ref="J110:K110"/>
    <mergeCell ref="P110:Q110"/>
    <mergeCell ref="J111:K111"/>
    <mergeCell ref="S113:T113"/>
    <mergeCell ref="L99:M99"/>
    <mergeCell ref="L100:M100"/>
    <mergeCell ref="L101:M101"/>
    <mergeCell ref="L102:M102"/>
    <mergeCell ref="J106:K106"/>
    <mergeCell ref="J107:K107"/>
    <mergeCell ref="Q144:R146"/>
    <mergeCell ref="G128:H128"/>
    <mergeCell ref="J128:K128"/>
    <mergeCell ref="A140:C143"/>
    <mergeCell ref="D140:F143"/>
    <mergeCell ref="G140:H143"/>
    <mergeCell ref="I140:J143"/>
    <mergeCell ref="K140:L143"/>
    <mergeCell ref="J116:K116"/>
    <mergeCell ref="M116:N116"/>
    <mergeCell ref="J117:K117"/>
    <mergeCell ref="J121:K121"/>
    <mergeCell ref="G125:H125"/>
    <mergeCell ref="J125:K125"/>
    <mergeCell ref="M140:N143"/>
    <mergeCell ref="S144:V144"/>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s>
  <conditionalFormatting sqref="I47:J47 I90:J92 I129:J135">
    <cfRule type="cellIs" dxfId="64" priority="2" stopIfTrue="1" operator="equal">
      <formula>"Not suitable"</formula>
    </cfRule>
  </conditionalFormatting>
  <conditionalFormatting sqref="S43 S46 S86 S89 S125 S128">
    <cfRule type="cellIs" dxfId="63" priority="1" stopIfTrue="1" operator="equal">
      <formula>"Not satisfied"</formula>
    </cfRule>
  </conditionalFormatting>
  <dataValidations count="2">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30 IZ65630 SV65630 ACR65630 AMN65630 AWJ65630 BGF65630 BQB65630 BZX65630 CJT65630 CTP65630 DDL65630 DNH65630 DXD65630 EGZ65630 EQV65630 FAR65630 FKN65630 FUJ65630 GEF65630 GOB65630 GXX65630 HHT65630 HRP65630 IBL65630 ILH65630 IVD65630 JEZ65630 JOV65630 JYR65630 KIN65630 KSJ65630 LCF65630 LMB65630 LVX65630 MFT65630 MPP65630 MZL65630 NJH65630 NTD65630 OCZ65630 OMV65630 OWR65630 PGN65630 PQJ65630 QAF65630 QKB65630 QTX65630 RDT65630 RNP65630 RXL65630 SHH65630 SRD65630 TAZ65630 TKV65630 TUR65630 UEN65630 UOJ65630 UYF65630 VIB65630 VRX65630 WBT65630 WLP65630 WVL65630 D131166 IZ131166 SV131166 ACR131166 AMN131166 AWJ131166 BGF131166 BQB131166 BZX131166 CJT131166 CTP131166 DDL131166 DNH131166 DXD131166 EGZ131166 EQV131166 FAR131166 FKN131166 FUJ131166 GEF131166 GOB131166 GXX131166 HHT131166 HRP131166 IBL131166 ILH131166 IVD131166 JEZ131166 JOV131166 JYR131166 KIN131166 KSJ131166 LCF131166 LMB131166 LVX131166 MFT131166 MPP131166 MZL131166 NJH131166 NTD131166 OCZ131166 OMV131166 OWR131166 PGN131166 PQJ131166 QAF131166 QKB131166 QTX131166 RDT131166 RNP131166 RXL131166 SHH131166 SRD131166 TAZ131166 TKV131166 TUR131166 UEN131166 UOJ131166 UYF131166 VIB131166 VRX131166 WBT131166 WLP131166 WVL131166 D196702 IZ196702 SV196702 ACR196702 AMN196702 AWJ196702 BGF196702 BQB196702 BZX196702 CJT196702 CTP196702 DDL196702 DNH196702 DXD196702 EGZ196702 EQV196702 FAR196702 FKN196702 FUJ196702 GEF196702 GOB196702 GXX196702 HHT196702 HRP196702 IBL196702 ILH196702 IVD196702 JEZ196702 JOV196702 JYR196702 KIN196702 KSJ196702 LCF196702 LMB196702 LVX196702 MFT196702 MPP196702 MZL196702 NJH196702 NTD196702 OCZ196702 OMV196702 OWR196702 PGN196702 PQJ196702 QAF196702 QKB196702 QTX196702 RDT196702 RNP196702 RXL196702 SHH196702 SRD196702 TAZ196702 TKV196702 TUR196702 UEN196702 UOJ196702 UYF196702 VIB196702 VRX196702 WBT196702 WLP196702 WVL196702 D262238 IZ262238 SV262238 ACR262238 AMN262238 AWJ262238 BGF262238 BQB262238 BZX262238 CJT262238 CTP262238 DDL262238 DNH262238 DXD262238 EGZ262238 EQV262238 FAR262238 FKN262238 FUJ262238 GEF262238 GOB262238 GXX262238 HHT262238 HRP262238 IBL262238 ILH262238 IVD262238 JEZ262238 JOV262238 JYR262238 KIN262238 KSJ262238 LCF262238 LMB262238 LVX262238 MFT262238 MPP262238 MZL262238 NJH262238 NTD262238 OCZ262238 OMV262238 OWR262238 PGN262238 PQJ262238 QAF262238 QKB262238 QTX262238 RDT262238 RNP262238 RXL262238 SHH262238 SRD262238 TAZ262238 TKV262238 TUR262238 UEN262238 UOJ262238 UYF262238 VIB262238 VRX262238 WBT262238 WLP262238 WVL262238 D327774 IZ327774 SV327774 ACR327774 AMN327774 AWJ327774 BGF327774 BQB327774 BZX327774 CJT327774 CTP327774 DDL327774 DNH327774 DXD327774 EGZ327774 EQV327774 FAR327774 FKN327774 FUJ327774 GEF327774 GOB327774 GXX327774 HHT327774 HRP327774 IBL327774 ILH327774 IVD327774 JEZ327774 JOV327774 JYR327774 KIN327774 KSJ327774 LCF327774 LMB327774 LVX327774 MFT327774 MPP327774 MZL327774 NJH327774 NTD327774 OCZ327774 OMV327774 OWR327774 PGN327774 PQJ327774 QAF327774 QKB327774 QTX327774 RDT327774 RNP327774 RXL327774 SHH327774 SRD327774 TAZ327774 TKV327774 TUR327774 UEN327774 UOJ327774 UYF327774 VIB327774 VRX327774 WBT327774 WLP327774 WVL327774 D393310 IZ393310 SV393310 ACR393310 AMN393310 AWJ393310 BGF393310 BQB393310 BZX393310 CJT393310 CTP393310 DDL393310 DNH393310 DXD393310 EGZ393310 EQV393310 FAR393310 FKN393310 FUJ393310 GEF393310 GOB393310 GXX393310 HHT393310 HRP393310 IBL393310 ILH393310 IVD393310 JEZ393310 JOV393310 JYR393310 KIN393310 KSJ393310 LCF393310 LMB393310 LVX393310 MFT393310 MPP393310 MZL393310 NJH393310 NTD393310 OCZ393310 OMV393310 OWR393310 PGN393310 PQJ393310 QAF393310 QKB393310 QTX393310 RDT393310 RNP393310 RXL393310 SHH393310 SRD393310 TAZ393310 TKV393310 TUR393310 UEN393310 UOJ393310 UYF393310 VIB393310 VRX393310 WBT393310 WLP393310 WVL393310 D458846 IZ458846 SV458846 ACR458846 AMN458846 AWJ458846 BGF458846 BQB458846 BZX458846 CJT458846 CTP458846 DDL458846 DNH458846 DXD458846 EGZ458846 EQV458846 FAR458846 FKN458846 FUJ458846 GEF458846 GOB458846 GXX458846 HHT458846 HRP458846 IBL458846 ILH458846 IVD458846 JEZ458846 JOV458846 JYR458846 KIN458846 KSJ458846 LCF458846 LMB458846 LVX458846 MFT458846 MPP458846 MZL458846 NJH458846 NTD458846 OCZ458846 OMV458846 OWR458846 PGN458846 PQJ458846 QAF458846 QKB458846 QTX458846 RDT458846 RNP458846 RXL458846 SHH458846 SRD458846 TAZ458846 TKV458846 TUR458846 UEN458846 UOJ458846 UYF458846 VIB458846 VRX458846 WBT458846 WLP458846 WVL458846 D524382 IZ524382 SV524382 ACR524382 AMN524382 AWJ524382 BGF524382 BQB524382 BZX524382 CJT524382 CTP524382 DDL524382 DNH524382 DXD524382 EGZ524382 EQV524382 FAR524382 FKN524382 FUJ524382 GEF524382 GOB524382 GXX524382 HHT524382 HRP524382 IBL524382 ILH524382 IVD524382 JEZ524382 JOV524382 JYR524382 KIN524382 KSJ524382 LCF524382 LMB524382 LVX524382 MFT524382 MPP524382 MZL524382 NJH524382 NTD524382 OCZ524382 OMV524382 OWR524382 PGN524382 PQJ524382 QAF524382 QKB524382 QTX524382 RDT524382 RNP524382 RXL524382 SHH524382 SRD524382 TAZ524382 TKV524382 TUR524382 UEN524382 UOJ524382 UYF524382 VIB524382 VRX524382 WBT524382 WLP524382 WVL524382 D589918 IZ589918 SV589918 ACR589918 AMN589918 AWJ589918 BGF589918 BQB589918 BZX589918 CJT589918 CTP589918 DDL589918 DNH589918 DXD589918 EGZ589918 EQV589918 FAR589918 FKN589918 FUJ589918 GEF589918 GOB589918 GXX589918 HHT589918 HRP589918 IBL589918 ILH589918 IVD589918 JEZ589918 JOV589918 JYR589918 KIN589918 KSJ589918 LCF589918 LMB589918 LVX589918 MFT589918 MPP589918 MZL589918 NJH589918 NTD589918 OCZ589918 OMV589918 OWR589918 PGN589918 PQJ589918 QAF589918 QKB589918 QTX589918 RDT589918 RNP589918 RXL589918 SHH589918 SRD589918 TAZ589918 TKV589918 TUR589918 UEN589918 UOJ589918 UYF589918 VIB589918 VRX589918 WBT589918 WLP589918 WVL589918 D655454 IZ655454 SV655454 ACR655454 AMN655454 AWJ655454 BGF655454 BQB655454 BZX655454 CJT655454 CTP655454 DDL655454 DNH655454 DXD655454 EGZ655454 EQV655454 FAR655454 FKN655454 FUJ655454 GEF655454 GOB655454 GXX655454 HHT655454 HRP655454 IBL655454 ILH655454 IVD655454 JEZ655454 JOV655454 JYR655454 KIN655454 KSJ655454 LCF655454 LMB655454 LVX655454 MFT655454 MPP655454 MZL655454 NJH655454 NTD655454 OCZ655454 OMV655454 OWR655454 PGN655454 PQJ655454 QAF655454 QKB655454 QTX655454 RDT655454 RNP655454 RXL655454 SHH655454 SRD655454 TAZ655454 TKV655454 TUR655454 UEN655454 UOJ655454 UYF655454 VIB655454 VRX655454 WBT655454 WLP655454 WVL655454 D720990 IZ720990 SV720990 ACR720990 AMN720990 AWJ720990 BGF720990 BQB720990 BZX720990 CJT720990 CTP720990 DDL720990 DNH720990 DXD720990 EGZ720990 EQV720990 FAR720990 FKN720990 FUJ720990 GEF720990 GOB720990 GXX720990 HHT720990 HRP720990 IBL720990 ILH720990 IVD720990 JEZ720990 JOV720990 JYR720990 KIN720990 KSJ720990 LCF720990 LMB720990 LVX720990 MFT720990 MPP720990 MZL720990 NJH720990 NTD720990 OCZ720990 OMV720990 OWR720990 PGN720990 PQJ720990 QAF720990 QKB720990 QTX720990 RDT720990 RNP720990 RXL720990 SHH720990 SRD720990 TAZ720990 TKV720990 TUR720990 UEN720990 UOJ720990 UYF720990 VIB720990 VRX720990 WBT720990 WLP720990 WVL720990 D786526 IZ786526 SV786526 ACR786526 AMN786526 AWJ786526 BGF786526 BQB786526 BZX786526 CJT786526 CTP786526 DDL786526 DNH786526 DXD786526 EGZ786526 EQV786526 FAR786526 FKN786526 FUJ786526 GEF786526 GOB786526 GXX786526 HHT786526 HRP786526 IBL786526 ILH786526 IVD786526 JEZ786526 JOV786526 JYR786526 KIN786526 KSJ786526 LCF786526 LMB786526 LVX786526 MFT786526 MPP786526 MZL786526 NJH786526 NTD786526 OCZ786526 OMV786526 OWR786526 PGN786526 PQJ786526 QAF786526 QKB786526 QTX786526 RDT786526 RNP786526 RXL786526 SHH786526 SRD786526 TAZ786526 TKV786526 TUR786526 UEN786526 UOJ786526 UYF786526 VIB786526 VRX786526 WBT786526 WLP786526 WVL786526 D852062 IZ852062 SV852062 ACR852062 AMN852062 AWJ852062 BGF852062 BQB852062 BZX852062 CJT852062 CTP852062 DDL852062 DNH852062 DXD852062 EGZ852062 EQV852062 FAR852062 FKN852062 FUJ852062 GEF852062 GOB852062 GXX852062 HHT852062 HRP852062 IBL852062 ILH852062 IVD852062 JEZ852062 JOV852062 JYR852062 KIN852062 KSJ852062 LCF852062 LMB852062 LVX852062 MFT852062 MPP852062 MZL852062 NJH852062 NTD852062 OCZ852062 OMV852062 OWR852062 PGN852062 PQJ852062 QAF852062 QKB852062 QTX852062 RDT852062 RNP852062 RXL852062 SHH852062 SRD852062 TAZ852062 TKV852062 TUR852062 UEN852062 UOJ852062 UYF852062 VIB852062 VRX852062 WBT852062 WLP852062 WVL852062 D917598 IZ917598 SV917598 ACR917598 AMN917598 AWJ917598 BGF917598 BQB917598 BZX917598 CJT917598 CTP917598 DDL917598 DNH917598 DXD917598 EGZ917598 EQV917598 FAR917598 FKN917598 FUJ917598 GEF917598 GOB917598 GXX917598 HHT917598 HRP917598 IBL917598 ILH917598 IVD917598 JEZ917598 JOV917598 JYR917598 KIN917598 KSJ917598 LCF917598 LMB917598 LVX917598 MFT917598 MPP917598 MZL917598 NJH917598 NTD917598 OCZ917598 OMV917598 OWR917598 PGN917598 PQJ917598 QAF917598 QKB917598 QTX917598 RDT917598 RNP917598 RXL917598 SHH917598 SRD917598 TAZ917598 TKV917598 TUR917598 UEN917598 UOJ917598 UYF917598 VIB917598 VRX917598 WBT917598 WLP917598 WVL917598 D983134 IZ983134 SV983134 ACR983134 AMN983134 AWJ983134 BGF983134 BQB983134 BZX983134 CJT983134 CTP983134 DDL983134 DNH983134 DXD983134 EGZ983134 EQV983134 FAR983134 FKN983134 FUJ983134 GEF983134 GOB983134 GXX983134 HHT983134 HRP983134 IBL983134 ILH983134 IVD983134 JEZ983134 JOV983134 JYR983134 KIN983134 KSJ983134 LCF983134 LMB983134 LVX983134 MFT983134 MPP983134 MZL983134 NJH983134 NTD983134 OCZ983134 OMV983134 OWR983134 PGN983134 PQJ983134 QAF983134 QKB983134 QTX983134 RDT983134 RNP983134 RXL983134 SHH983134 SRD983134 TAZ983134 TKV983134 TUR983134 UEN983134 UOJ983134 UYF983134 VIB983134 VRX983134 WBT983134 WLP983134 WVL983134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4 IZ65584 SV65584 ACR65584 AMN65584 AWJ65584 BGF65584 BQB65584 BZX65584 CJT65584 CTP65584 DDL65584 DNH65584 DXD65584 EGZ65584 EQV65584 FAR65584 FKN65584 FUJ65584 GEF65584 GOB65584 GXX65584 HHT65584 HRP65584 IBL65584 ILH65584 IVD65584 JEZ65584 JOV65584 JYR65584 KIN65584 KSJ65584 LCF65584 LMB65584 LVX65584 MFT65584 MPP65584 MZL65584 NJH65584 NTD65584 OCZ65584 OMV65584 OWR65584 PGN65584 PQJ65584 QAF65584 QKB65584 QTX65584 RDT65584 RNP65584 RXL65584 SHH65584 SRD65584 TAZ65584 TKV65584 TUR65584 UEN65584 UOJ65584 UYF65584 VIB65584 VRX65584 WBT65584 WLP65584 WVL65584 D131120 IZ131120 SV131120 ACR131120 AMN131120 AWJ131120 BGF131120 BQB131120 BZX131120 CJT131120 CTP131120 DDL131120 DNH131120 DXD131120 EGZ131120 EQV131120 FAR131120 FKN131120 FUJ131120 GEF131120 GOB131120 GXX131120 HHT131120 HRP131120 IBL131120 ILH131120 IVD131120 JEZ131120 JOV131120 JYR131120 KIN131120 KSJ131120 LCF131120 LMB131120 LVX131120 MFT131120 MPP131120 MZL131120 NJH131120 NTD131120 OCZ131120 OMV131120 OWR131120 PGN131120 PQJ131120 QAF131120 QKB131120 QTX131120 RDT131120 RNP131120 RXL131120 SHH131120 SRD131120 TAZ131120 TKV131120 TUR131120 UEN131120 UOJ131120 UYF131120 VIB131120 VRX131120 WBT131120 WLP131120 WVL131120 D196656 IZ196656 SV196656 ACR196656 AMN196656 AWJ196656 BGF196656 BQB196656 BZX196656 CJT196656 CTP196656 DDL196656 DNH196656 DXD196656 EGZ196656 EQV196656 FAR196656 FKN196656 FUJ196656 GEF196656 GOB196656 GXX196656 HHT196656 HRP196656 IBL196656 ILH196656 IVD196656 JEZ196656 JOV196656 JYR196656 KIN196656 KSJ196656 LCF196656 LMB196656 LVX196656 MFT196656 MPP196656 MZL196656 NJH196656 NTD196656 OCZ196656 OMV196656 OWR196656 PGN196656 PQJ196656 QAF196656 QKB196656 QTX196656 RDT196656 RNP196656 RXL196656 SHH196656 SRD196656 TAZ196656 TKV196656 TUR196656 UEN196656 UOJ196656 UYF196656 VIB196656 VRX196656 WBT196656 WLP196656 WVL196656 D262192 IZ262192 SV262192 ACR262192 AMN262192 AWJ262192 BGF262192 BQB262192 BZX262192 CJT262192 CTP262192 DDL262192 DNH262192 DXD262192 EGZ262192 EQV262192 FAR262192 FKN262192 FUJ262192 GEF262192 GOB262192 GXX262192 HHT262192 HRP262192 IBL262192 ILH262192 IVD262192 JEZ262192 JOV262192 JYR262192 KIN262192 KSJ262192 LCF262192 LMB262192 LVX262192 MFT262192 MPP262192 MZL262192 NJH262192 NTD262192 OCZ262192 OMV262192 OWR262192 PGN262192 PQJ262192 QAF262192 QKB262192 QTX262192 RDT262192 RNP262192 RXL262192 SHH262192 SRD262192 TAZ262192 TKV262192 TUR262192 UEN262192 UOJ262192 UYF262192 VIB262192 VRX262192 WBT262192 WLP262192 WVL262192 D327728 IZ327728 SV327728 ACR327728 AMN327728 AWJ327728 BGF327728 BQB327728 BZX327728 CJT327728 CTP327728 DDL327728 DNH327728 DXD327728 EGZ327728 EQV327728 FAR327728 FKN327728 FUJ327728 GEF327728 GOB327728 GXX327728 HHT327728 HRP327728 IBL327728 ILH327728 IVD327728 JEZ327728 JOV327728 JYR327728 KIN327728 KSJ327728 LCF327728 LMB327728 LVX327728 MFT327728 MPP327728 MZL327728 NJH327728 NTD327728 OCZ327728 OMV327728 OWR327728 PGN327728 PQJ327728 QAF327728 QKB327728 QTX327728 RDT327728 RNP327728 RXL327728 SHH327728 SRD327728 TAZ327728 TKV327728 TUR327728 UEN327728 UOJ327728 UYF327728 VIB327728 VRX327728 WBT327728 WLP327728 WVL327728 D393264 IZ393264 SV393264 ACR393264 AMN393264 AWJ393264 BGF393264 BQB393264 BZX393264 CJT393264 CTP393264 DDL393264 DNH393264 DXD393264 EGZ393264 EQV393264 FAR393264 FKN393264 FUJ393264 GEF393264 GOB393264 GXX393264 HHT393264 HRP393264 IBL393264 ILH393264 IVD393264 JEZ393264 JOV393264 JYR393264 KIN393264 KSJ393264 LCF393264 LMB393264 LVX393264 MFT393264 MPP393264 MZL393264 NJH393264 NTD393264 OCZ393264 OMV393264 OWR393264 PGN393264 PQJ393264 QAF393264 QKB393264 QTX393264 RDT393264 RNP393264 RXL393264 SHH393264 SRD393264 TAZ393264 TKV393264 TUR393264 UEN393264 UOJ393264 UYF393264 VIB393264 VRX393264 WBT393264 WLP393264 WVL393264 D458800 IZ458800 SV458800 ACR458800 AMN458800 AWJ458800 BGF458800 BQB458800 BZX458800 CJT458800 CTP458800 DDL458800 DNH458800 DXD458800 EGZ458800 EQV458800 FAR458800 FKN458800 FUJ458800 GEF458800 GOB458800 GXX458800 HHT458800 HRP458800 IBL458800 ILH458800 IVD458800 JEZ458800 JOV458800 JYR458800 KIN458800 KSJ458800 LCF458800 LMB458800 LVX458800 MFT458800 MPP458800 MZL458800 NJH458800 NTD458800 OCZ458800 OMV458800 OWR458800 PGN458800 PQJ458800 QAF458800 QKB458800 QTX458800 RDT458800 RNP458800 RXL458800 SHH458800 SRD458800 TAZ458800 TKV458800 TUR458800 UEN458800 UOJ458800 UYF458800 VIB458800 VRX458800 WBT458800 WLP458800 WVL458800 D524336 IZ524336 SV524336 ACR524336 AMN524336 AWJ524336 BGF524336 BQB524336 BZX524336 CJT524336 CTP524336 DDL524336 DNH524336 DXD524336 EGZ524336 EQV524336 FAR524336 FKN524336 FUJ524336 GEF524336 GOB524336 GXX524336 HHT524336 HRP524336 IBL524336 ILH524336 IVD524336 JEZ524336 JOV524336 JYR524336 KIN524336 KSJ524336 LCF524336 LMB524336 LVX524336 MFT524336 MPP524336 MZL524336 NJH524336 NTD524336 OCZ524336 OMV524336 OWR524336 PGN524336 PQJ524336 QAF524336 QKB524336 QTX524336 RDT524336 RNP524336 RXL524336 SHH524336 SRD524336 TAZ524336 TKV524336 TUR524336 UEN524336 UOJ524336 UYF524336 VIB524336 VRX524336 WBT524336 WLP524336 WVL524336 D589872 IZ589872 SV589872 ACR589872 AMN589872 AWJ589872 BGF589872 BQB589872 BZX589872 CJT589872 CTP589872 DDL589872 DNH589872 DXD589872 EGZ589872 EQV589872 FAR589872 FKN589872 FUJ589872 GEF589872 GOB589872 GXX589872 HHT589872 HRP589872 IBL589872 ILH589872 IVD589872 JEZ589872 JOV589872 JYR589872 KIN589872 KSJ589872 LCF589872 LMB589872 LVX589872 MFT589872 MPP589872 MZL589872 NJH589872 NTD589872 OCZ589872 OMV589872 OWR589872 PGN589872 PQJ589872 QAF589872 QKB589872 QTX589872 RDT589872 RNP589872 RXL589872 SHH589872 SRD589872 TAZ589872 TKV589872 TUR589872 UEN589872 UOJ589872 UYF589872 VIB589872 VRX589872 WBT589872 WLP589872 WVL589872 D655408 IZ655408 SV655408 ACR655408 AMN655408 AWJ655408 BGF655408 BQB655408 BZX655408 CJT655408 CTP655408 DDL655408 DNH655408 DXD655408 EGZ655408 EQV655408 FAR655408 FKN655408 FUJ655408 GEF655408 GOB655408 GXX655408 HHT655408 HRP655408 IBL655408 ILH655408 IVD655408 JEZ655408 JOV655408 JYR655408 KIN655408 KSJ655408 LCF655408 LMB655408 LVX655408 MFT655408 MPP655408 MZL655408 NJH655408 NTD655408 OCZ655408 OMV655408 OWR655408 PGN655408 PQJ655408 QAF655408 QKB655408 QTX655408 RDT655408 RNP655408 RXL655408 SHH655408 SRD655408 TAZ655408 TKV655408 TUR655408 UEN655408 UOJ655408 UYF655408 VIB655408 VRX655408 WBT655408 WLP655408 WVL655408 D720944 IZ720944 SV720944 ACR720944 AMN720944 AWJ720944 BGF720944 BQB720944 BZX720944 CJT720944 CTP720944 DDL720944 DNH720944 DXD720944 EGZ720944 EQV720944 FAR720944 FKN720944 FUJ720944 GEF720944 GOB720944 GXX720944 HHT720944 HRP720944 IBL720944 ILH720944 IVD720944 JEZ720944 JOV720944 JYR720944 KIN720944 KSJ720944 LCF720944 LMB720944 LVX720944 MFT720944 MPP720944 MZL720944 NJH720944 NTD720944 OCZ720944 OMV720944 OWR720944 PGN720944 PQJ720944 QAF720944 QKB720944 QTX720944 RDT720944 RNP720944 RXL720944 SHH720944 SRD720944 TAZ720944 TKV720944 TUR720944 UEN720944 UOJ720944 UYF720944 VIB720944 VRX720944 WBT720944 WLP720944 WVL720944 D786480 IZ786480 SV786480 ACR786480 AMN786480 AWJ786480 BGF786480 BQB786480 BZX786480 CJT786480 CTP786480 DDL786480 DNH786480 DXD786480 EGZ786480 EQV786480 FAR786480 FKN786480 FUJ786480 GEF786480 GOB786480 GXX786480 HHT786480 HRP786480 IBL786480 ILH786480 IVD786480 JEZ786480 JOV786480 JYR786480 KIN786480 KSJ786480 LCF786480 LMB786480 LVX786480 MFT786480 MPP786480 MZL786480 NJH786480 NTD786480 OCZ786480 OMV786480 OWR786480 PGN786480 PQJ786480 QAF786480 QKB786480 QTX786480 RDT786480 RNP786480 RXL786480 SHH786480 SRD786480 TAZ786480 TKV786480 TUR786480 UEN786480 UOJ786480 UYF786480 VIB786480 VRX786480 WBT786480 WLP786480 WVL786480 D852016 IZ852016 SV852016 ACR852016 AMN852016 AWJ852016 BGF852016 BQB852016 BZX852016 CJT852016 CTP852016 DDL852016 DNH852016 DXD852016 EGZ852016 EQV852016 FAR852016 FKN852016 FUJ852016 GEF852016 GOB852016 GXX852016 HHT852016 HRP852016 IBL852016 ILH852016 IVD852016 JEZ852016 JOV852016 JYR852016 KIN852016 KSJ852016 LCF852016 LMB852016 LVX852016 MFT852016 MPP852016 MZL852016 NJH852016 NTD852016 OCZ852016 OMV852016 OWR852016 PGN852016 PQJ852016 QAF852016 QKB852016 QTX852016 RDT852016 RNP852016 RXL852016 SHH852016 SRD852016 TAZ852016 TKV852016 TUR852016 UEN852016 UOJ852016 UYF852016 VIB852016 VRX852016 WBT852016 WLP852016 WVL852016 D917552 IZ917552 SV917552 ACR917552 AMN917552 AWJ917552 BGF917552 BQB917552 BZX917552 CJT917552 CTP917552 DDL917552 DNH917552 DXD917552 EGZ917552 EQV917552 FAR917552 FKN917552 FUJ917552 GEF917552 GOB917552 GXX917552 HHT917552 HRP917552 IBL917552 ILH917552 IVD917552 JEZ917552 JOV917552 JYR917552 KIN917552 KSJ917552 LCF917552 LMB917552 LVX917552 MFT917552 MPP917552 MZL917552 NJH917552 NTD917552 OCZ917552 OMV917552 OWR917552 PGN917552 PQJ917552 QAF917552 QKB917552 QTX917552 RDT917552 RNP917552 RXL917552 SHH917552 SRD917552 TAZ917552 TKV917552 TUR917552 UEN917552 UOJ917552 UYF917552 VIB917552 VRX917552 WBT917552 WLP917552 WVL917552 D983088 IZ983088 SV983088 ACR983088 AMN983088 AWJ983088 BGF983088 BQB983088 BZX983088 CJT983088 CTP983088 DDL983088 DNH983088 DXD983088 EGZ983088 EQV983088 FAR983088 FKN983088 FUJ983088 GEF983088 GOB983088 GXX983088 HHT983088 HRP983088 IBL983088 ILH983088 IVD983088 JEZ983088 JOV983088 JYR983088 KIN983088 KSJ983088 LCF983088 LMB983088 LVX983088 MFT983088 MPP983088 MZL983088 NJH983088 NTD983088 OCZ983088 OMV983088 OWR983088 PGN983088 PQJ983088 QAF983088 QKB983088 QTX983088 RDT983088 RNP983088 RXL983088 SHH983088 SRD983088 TAZ983088 TKV983088 TUR983088 UEN983088 UOJ983088 UYF983088 VIB983088 VRX983088 WBT983088 WLP983088 WVL983088" xr:uid="{1846ECA9-F773-4F5D-81F5-B0A89E100413}">
      <formula1>"Core1,Core2,Core3"</formula1>
    </dataValidation>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40:E65541 IZ65540:JA65541 SV65540:SW65541 ACR65540:ACS65541 AMN65540:AMO65541 AWJ65540:AWK65541 BGF65540:BGG65541 BQB65540:BQC65541 BZX65540:BZY65541 CJT65540:CJU65541 CTP65540:CTQ65541 DDL65540:DDM65541 DNH65540:DNI65541 DXD65540:DXE65541 EGZ65540:EHA65541 EQV65540:EQW65541 FAR65540:FAS65541 FKN65540:FKO65541 FUJ65540:FUK65541 GEF65540:GEG65541 GOB65540:GOC65541 GXX65540:GXY65541 HHT65540:HHU65541 HRP65540:HRQ65541 IBL65540:IBM65541 ILH65540:ILI65541 IVD65540:IVE65541 JEZ65540:JFA65541 JOV65540:JOW65541 JYR65540:JYS65541 KIN65540:KIO65541 KSJ65540:KSK65541 LCF65540:LCG65541 LMB65540:LMC65541 LVX65540:LVY65541 MFT65540:MFU65541 MPP65540:MPQ65541 MZL65540:MZM65541 NJH65540:NJI65541 NTD65540:NTE65541 OCZ65540:ODA65541 OMV65540:OMW65541 OWR65540:OWS65541 PGN65540:PGO65541 PQJ65540:PQK65541 QAF65540:QAG65541 QKB65540:QKC65541 QTX65540:QTY65541 RDT65540:RDU65541 RNP65540:RNQ65541 RXL65540:RXM65541 SHH65540:SHI65541 SRD65540:SRE65541 TAZ65540:TBA65541 TKV65540:TKW65541 TUR65540:TUS65541 UEN65540:UEO65541 UOJ65540:UOK65541 UYF65540:UYG65541 VIB65540:VIC65541 VRX65540:VRY65541 WBT65540:WBU65541 WLP65540:WLQ65541 WVL65540:WVM65541 D131076:E131077 IZ131076:JA131077 SV131076:SW131077 ACR131076:ACS131077 AMN131076:AMO131077 AWJ131076:AWK131077 BGF131076:BGG131077 BQB131076:BQC131077 BZX131076:BZY131077 CJT131076:CJU131077 CTP131076:CTQ131077 DDL131076:DDM131077 DNH131076:DNI131077 DXD131076:DXE131077 EGZ131076:EHA131077 EQV131076:EQW131077 FAR131076:FAS131077 FKN131076:FKO131077 FUJ131076:FUK131077 GEF131076:GEG131077 GOB131076:GOC131077 GXX131076:GXY131077 HHT131076:HHU131077 HRP131076:HRQ131077 IBL131076:IBM131077 ILH131076:ILI131077 IVD131076:IVE131077 JEZ131076:JFA131077 JOV131076:JOW131077 JYR131076:JYS131077 KIN131076:KIO131077 KSJ131076:KSK131077 LCF131076:LCG131077 LMB131076:LMC131077 LVX131076:LVY131077 MFT131076:MFU131077 MPP131076:MPQ131077 MZL131076:MZM131077 NJH131076:NJI131077 NTD131076:NTE131077 OCZ131076:ODA131077 OMV131076:OMW131077 OWR131076:OWS131077 PGN131076:PGO131077 PQJ131076:PQK131077 QAF131076:QAG131077 QKB131076:QKC131077 QTX131076:QTY131077 RDT131076:RDU131077 RNP131076:RNQ131077 RXL131076:RXM131077 SHH131076:SHI131077 SRD131076:SRE131077 TAZ131076:TBA131077 TKV131076:TKW131077 TUR131076:TUS131077 UEN131076:UEO131077 UOJ131076:UOK131077 UYF131076:UYG131077 VIB131076:VIC131077 VRX131076:VRY131077 WBT131076:WBU131077 WLP131076:WLQ131077 WVL131076:WVM131077 D196612:E196613 IZ196612:JA196613 SV196612:SW196613 ACR196612:ACS196613 AMN196612:AMO196613 AWJ196612:AWK196613 BGF196612:BGG196613 BQB196612:BQC196613 BZX196612:BZY196613 CJT196612:CJU196613 CTP196612:CTQ196613 DDL196612:DDM196613 DNH196612:DNI196613 DXD196612:DXE196613 EGZ196612:EHA196613 EQV196612:EQW196613 FAR196612:FAS196613 FKN196612:FKO196613 FUJ196612:FUK196613 GEF196612:GEG196613 GOB196612:GOC196613 GXX196612:GXY196613 HHT196612:HHU196613 HRP196612:HRQ196613 IBL196612:IBM196613 ILH196612:ILI196613 IVD196612:IVE196613 JEZ196612:JFA196613 JOV196612:JOW196613 JYR196612:JYS196613 KIN196612:KIO196613 KSJ196612:KSK196613 LCF196612:LCG196613 LMB196612:LMC196613 LVX196612:LVY196613 MFT196612:MFU196613 MPP196612:MPQ196613 MZL196612:MZM196613 NJH196612:NJI196613 NTD196612:NTE196613 OCZ196612:ODA196613 OMV196612:OMW196613 OWR196612:OWS196613 PGN196612:PGO196613 PQJ196612:PQK196613 QAF196612:QAG196613 QKB196612:QKC196613 QTX196612:QTY196613 RDT196612:RDU196613 RNP196612:RNQ196613 RXL196612:RXM196613 SHH196612:SHI196613 SRD196612:SRE196613 TAZ196612:TBA196613 TKV196612:TKW196613 TUR196612:TUS196613 UEN196612:UEO196613 UOJ196612:UOK196613 UYF196612:UYG196613 VIB196612:VIC196613 VRX196612:VRY196613 WBT196612:WBU196613 WLP196612:WLQ196613 WVL196612:WVM196613 D262148:E262149 IZ262148:JA262149 SV262148:SW262149 ACR262148:ACS262149 AMN262148:AMO262149 AWJ262148:AWK262149 BGF262148:BGG262149 BQB262148:BQC262149 BZX262148:BZY262149 CJT262148:CJU262149 CTP262148:CTQ262149 DDL262148:DDM262149 DNH262148:DNI262149 DXD262148:DXE262149 EGZ262148:EHA262149 EQV262148:EQW262149 FAR262148:FAS262149 FKN262148:FKO262149 FUJ262148:FUK262149 GEF262148:GEG262149 GOB262148:GOC262149 GXX262148:GXY262149 HHT262148:HHU262149 HRP262148:HRQ262149 IBL262148:IBM262149 ILH262148:ILI262149 IVD262148:IVE262149 JEZ262148:JFA262149 JOV262148:JOW262149 JYR262148:JYS262149 KIN262148:KIO262149 KSJ262148:KSK262149 LCF262148:LCG262149 LMB262148:LMC262149 LVX262148:LVY262149 MFT262148:MFU262149 MPP262148:MPQ262149 MZL262148:MZM262149 NJH262148:NJI262149 NTD262148:NTE262149 OCZ262148:ODA262149 OMV262148:OMW262149 OWR262148:OWS262149 PGN262148:PGO262149 PQJ262148:PQK262149 QAF262148:QAG262149 QKB262148:QKC262149 QTX262148:QTY262149 RDT262148:RDU262149 RNP262148:RNQ262149 RXL262148:RXM262149 SHH262148:SHI262149 SRD262148:SRE262149 TAZ262148:TBA262149 TKV262148:TKW262149 TUR262148:TUS262149 UEN262148:UEO262149 UOJ262148:UOK262149 UYF262148:UYG262149 VIB262148:VIC262149 VRX262148:VRY262149 WBT262148:WBU262149 WLP262148:WLQ262149 WVL262148:WVM262149 D327684:E327685 IZ327684:JA327685 SV327684:SW327685 ACR327684:ACS327685 AMN327684:AMO327685 AWJ327684:AWK327685 BGF327684:BGG327685 BQB327684:BQC327685 BZX327684:BZY327685 CJT327684:CJU327685 CTP327684:CTQ327685 DDL327684:DDM327685 DNH327684:DNI327685 DXD327684:DXE327685 EGZ327684:EHA327685 EQV327684:EQW327685 FAR327684:FAS327685 FKN327684:FKO327685 FUJ327684:FUK327685 GEF327684:GEG327685 GOB327684:GOC327685 GXX327684:GXY327685 HHT327684:HHU327685 HRP327684:HRQ327685 IBL327684:IBM327685 ILH327684:ILI327685 IVD327684:IVE327685 JEZ327684:JFA327685 JOV327684:JOW327685 JYR327684:JYS327685 KIN327684:KIO327685 KSJ327684:KSK327685 LCF327684:LCG327685 LMB327684:LMC327685 LVX327684:LVY327685 MFT327684:MFU327685 MPP327684:MPQ327685 MZL327684:MZM327685 NJH327684:NJI327685 NTD327684:NTE327685 OCZ327684:ODA327685 OMV327684:OMW327685 OWR327684:OWS327685 PGN327684:PGO327685 PQJ327684:PQK327685 QAF327684:QAG327685 QKB327684:QKC327685 QTX327684:QTY327685 RDT327684:RDU327685 RNP327684:RNQ327685 RXL327684:RXM327685 SHH327684:SHI327685 SRD327684:SRE327685 TAZ327684:TBA327685 TKV327684:TKW327685 TUR327684:TUS327685 UEN327684:UEO327685 UOJ327684:UOK327685 UYF327684:UYG327685 VIB327684:VIC327685 VRX327684:VRY327685 WBT327684:WBU327685 WLP327684:WLQ327685 WVL327684:WVM327685 D393220:E393221 IZ393220:JA393221 SV393220:SW393221 ACR393220:ACS393221 AMN393220:AMO393221 AWJ393220:AWK393221 BGF393220:BGG393221 BQB393220:BQC393221 BZX393220:BZY393221 CJT393220:CJU393221 CTP393220:CTQ393221 DDL393220:DDM393221 DNH393220:DNI393221 DXD393220:DXE393221 EGZ393220:EHA393221 EQV393220:EQW393221 FAR393220:FAS393221 FKN393220:FKO393221 FUJ393220:FUK393221 GEF393220:GEG393221 GOB393220:GOC393221 GXX393220:GXY393221 HHT393220:HHU393221 HRP393220:HRQ393221 IBL393220:IBM393221 ILH393220:ILI393221 IVD393220:IVE393221 JEZ393220:JFA393221 JOV393220:JOW393221 JYR393220:JYS393221 KIN393220:KIO393221 KSJ393220:KSK393221 LCF393220:LCG393221 LMB393220:LMC393221 LVX393220:LVY393221 MFT393220:MFU393221 MPP393220:MPQ393221 MZL393220:MZM393221 NJH393220:NJI393221 NTD393220:NTE393221 OCZ393220:ODA393221 OMV393220:OMW393221 OWR393220:OWS393221 PGN393220:PGO393221 PQJ393220:PQK393221 QAF393220:QAG393221 QKB393220:QKC393221 QTX393220:QTY393221 RDT393220:RDU393221 RNP393220:RNQ393221 RXL393220:RXM393221 SHH393220:SHI393221 SRD393220:SRE393221 TAZ393220:TBA393221 TKV393220:TKW393221 TUR393220:TUS393221 UEN393220:UEO393221 UOJ393220:UOK393221 UYF393220:UYG393221 VIB393220:VIC393221 VRX393220:VRY393221 WBT393220:WBU393221 WLP393220:WLQ393221 WVL393220:WVM393221 D458756:E458757 IZ458756:JA458757 SV458756:SW458757 ACR458756:ACS458757 AMN458756:AMO458757 AWJ458756:AWK458757 BGF458756:BGG458757 BQB458756:BQC458757 BZX458756:BZY458757 CJT458756:CJU458757 CTP458756:CTQ458757 DDL458756:DDM458757 DNH458756:DNI458757 DXD458756:DXE458757 EGZ458756:EHA458757 EQV458756:EQW458757 FAR458756:FAS458757 FKN458756:FKO458757 FUJ458756:FUK458757 GEF458756:GEG458757 GOB458756:GOC458757 GXX458756:GXY458757 HHT458756:HHU458757 HRP458756:HRQ458757 IBL458756:IBM458757 ILH458756:ILI458757 IVD458756:IVE458757 JEZ458756:JFA458757 JOV458756:JOW458757 JYR458756:JYS458757 KIN458756:KIO458757 KSJ458756:KSK458757 LCF458756:LCG458757 LMB458756:LMC458757 LVX458756:LVY458757 MFT458756:MFU458757 MPP458756:MPQ458757 MZL458756:MZM458757 NJH458756:NJI458757 NTD458756:NTE458757 OCZ458756:ODA458757 OMV458756:OMW458757 OWR458756:OWS458757 PGN458756:PGO458757 PQJ458756:PQK458757 QAF458756:QAG458757 QKB458756:QKC458757 QTX458756:QTY458757 RDT458756:RDU458757 RNP458756:RNQ458757 RXL458756:RXM458757 SHH458756:SHI458757 SRD458756:SRE458757 TAZ458756:TBA458757 TKV458756:TKW458757 TUR458756:TUS458757 UEN458756:UEO458757 UOJ458756:UOK458757 UYF458756:UYG458757 VIB458756:VIC458757 VRX458756:VRY458757 WBT458756:WBU458757 WLP458756:WLQ458757 WVL458756:WVM458757 D524292:E524293 IZ524292:JA524293 SV524292:SW524293 ACR524292:ACS524293 AMN524292:AMO524293 AWJ524292:AWK524293 BGF524292:BGG524293 BQB524292:BQC524293 BZX524292:BZY524293 CJT524292:CJU524293 CTP524292:CTQ524293 DDL524292:DDM524293 DNH524292:DNI524293 DXD524292:DXE524293 EGZ524292:EHA524293 EQV524292:EQW524293 FAR524292:FAS524293 FKN524292:FKO524293 FUJ524292:FUK524293 GEF524292:GEG524293 GOB524292:GOC524293 GXX524292:GXY524293 HHT524292:HHU524293 HRP524292:HRQ524293 IBL524292:IBM524293 ILH524292:ILI524293 IVD524292:IVE524293 JEZ524292:JFA524293 JOV524292:JOW524293 JYR524292:JYS524293 KIN524292:KIO524293 KSJ524292:KSK524293 LCF524292:LCG524293 LMB524292:LMC524293 LVX524292:LVY524293 MFT524292:MFU524293 MPP524292:MPQ524293 MZL524292:MZM524293 NJH524292:NJI524293 NTD524292:NTE524293 OCZ524292:ODA524293 OMV524292:OMW524293 OWR524292:OWS524293 PGN524292:PGO524293 PQJ524292:PQK524293 QAF524292:QAG524293 QKB524292:QKC524293 QTX524292:QTY524293 RDT524292:RDU524293 RNP524292:RNQ524293 RXL524292:RXM524293 SHH524292:SHI524293 SRD524292:SRE524293 TAZ524292:TBA524293 TKV524292:TKW524293 TUR524292:TUS524293 UEN524292:UEO524293 UOJ524292:UOK524293 UYF524292:UYG524293 VIB524292:VIC524293 VRX524292:VRY524293 WBT524292:WBU524293 WLP524292:WLQ524293 WVL524292:WVM524293 D589828:E589829 IZ589828:JA589829 SV589828:SW589829 ACR589828:ACS589829 AMN589828:AMO589829 AWJ589828:AWK589829 BGF589828:BGG589829 BQB589828:BQC589829 BZX589828:BZY589829 CJT589828:CJU589829 CTP589828:CTQ589829 DDL589828:DDM589829 DNH589828:DNI589829 DXD589828:DXE589829 EGZ589828:EHA589829 EQV589828:EQW589829 FAR589828:FAS589829 FKN589828:FKO589829 FUJ589828:FUK589829 GEF589828:GEG589829 GOB589828:GOC589829 GXX589828:GXY589829 HHT589828:HHU589829 HRP589828:HRQ589829 IBL589828:IBM589829 ILH589828:ILI589829 IVD589828:IVE589829 JEZ589828:JFA589829 JOV589828:JOW589829 JYR589828:JYS589829 KIN589828:KIO589829 KSJ589828:KSK589829 LCF589828:LCG589829 LMB589828:LMC589829 LVX589828:LVY589829 MFT589828:MFU589829 MPP589828:MPQ589829 MZL589828:MZM589829 NJH589828:NJI589829 NTD589828:NTE589829 OCZ589828:ODA589829 OMV589828:OMW589829 OWR589828:OWS589829 PGN589828:PGO589829 PQJ589828:PQK589829 QAF589828:QAG589829 QKB589828:QKC589829 QTX589828:QTY589829 RDT589828:RDU589829 RNP589828:RNQ589829 RXL589828:RXM589829 SHH589828:SHI589829 SRD589828:SRE589829 TAZ589828:TBA589829 TKV589828:TKW589829 TUR589828:TUS589829 UEN589828:UEO589829 UOJ589828:UOK589829 UYF589828:UYG589829 VIB589828:VIC589829 VRX589828:VRY589829 WBT589828:WBU589829 WLP589828:WLQ589829 WVL589828:WVM589829 D655364:E655365 IZ655364:JA655365 SV655364:SW655365 ACR655364:ACS655365 AMN655364:AMO655365 AWJ655364:AWK655365 BGF655364:BGG655365 BQB655364:BQC655365 BZX655364:BZY655365 CJT655364:CJU655365 CTP655364:CTQ655365 DDL655364:DDM655365 DNH655364:DNI655365 DXD655364:DXE655365 EGZ655364:EHA655365 EQV655364:EQW655365 FAR655364:FAS655365 FKN655364:FKO655365 FUJ655364:FUK655365 GEF655364:GEG655365 GOB655364:GOC655365 GXX655364:GXY655365 HHT655364:HHU655365 HRP655364:HRQ655365 IBL655364:IBM655365 ILH655364:ILI655365 IVD655364:IVE655365 JEZ655364:JFA655365 JOV655364:JOW655365 JYR655364:JYS655365 KIN655364:KIO655365 KSJ655364:KSK655365 LCF655364:LCG655365 LMB655364:LMC655365 LVX655364:LVY655365 MFT655364:MFU655365 MPP655364:MPQ655365 MZL655364:MZM655365 NJH655364:NJI655365 NTD655364:NTE655365 OCZ655364:ODA655365 OMV655364:OMW655365 OWR655364:OWS655365 PGN655364:PGO655365 PQJ655364:PQK655365 QAF655364:QAG655365 QKB655364:QKC655365 QTX655364:QTY655365 RDT655364:RDU655365 RNP655364:RNQ655365 RXL655364:RXM655365 SHH655364:SHI655365 SRD655364:SRE655365 TAZ655364:TBA655365 TKV655364:TKW655365 TUR655364:TUS655365 UEN655364:UEO655365 UOJ655364:UOK655365 UYF655364:UYG655365 VIB655364:VIC655365 VRX655364:VRY655365 WBT655364:WBU655365 WLP655364:WLQ655365 WVL655364:WVM655365 D720900:E720901 IZ720900:JA720901 SV720900:SW720901 ACR720900:ACS720901 AMN720900:AMO720901 AWJ720900:AWK720901 BGF720900:BGG720901 BQB720900:BQC720901 BZX720900:BZY720901 CJT720900:CJU720901 CTP720900:CTQ720901 DDL720900:DDM720901 DNH720900:DNI720901 DXD720900:DXE720901 EGZ720900:EHA720901 EQV720900:EQW720901 FAR720900:FAS720901 FKN720900:FKO720901 FUJ720900:FUK720901 GEF720900:GEG720901 GOB720900:GOC720901 GXX720900:GXY720901 HHT720900:HHU720901 HRP720900:HRQ720901 IBL720900:IBM720901 ILH720900:ILI720901 IVD720900:IVE720901 JEZ720900:JFA720901 JOV720900:JOW720901 JYR720900:JYS720901 KIN720900:KIO720901 KSJ720900:KSK720901 LCF720900:LCG720901 LMB720900:LMC720901 LVX720900:LVY720901 MFT720900:MFU720901 MPP720900:MPQ720901 MZL720900:MZM720901 NJH720900:NJI720901 NTD720900:NTE720901 OCZ720900:ODA720901 OMV720900:OMW720901 OWR720900:OWS720901 PGN720900:PGO720901 PQJ720900:PQK720901 QAF720900:QAG720901 QKB720900:QKC720901 QTX720900:QTY720901 RDT720900:RDU720901 RNP720900:RNQ720901 RXL720900:RXM720901 SHH720900:SHI720901 SRD720900:SRE720901 TAZ720900:TBA720901 TKV720900:TKW720901 TUR720900:TUS720901 UEN720900:UEO720901 UOJ720900:UOK720901 UYF720900:UYG720901 VIB720900:VIC720901 VRX720900:VRY720901 WBT720900:WBU720901 WLP720900:WLQ720901 WVL720900:WVM720901 D786436:E786437 IZ786436:JA786437 SV786436:SW786437 ACR786436:ACS786437 AMN786436:AMO786437 AWJ786436:AWK786437 BGF786436:BGG786437 BQB786436:BQC786437 BZX786436:BZY786437 CJT786436:CJU786437 CTP786436:CTQ786437 DDL786436:DDM786437 DNH786436:DNI786437 DXD786436:DXE786437 EGZ786436:EHA786437 EQV786436:EQW786437 FAR786436:FAS786437 FKN786436:FKO786437 FUJ786436:FUK786437 GEF786436:GEG786437 GOB786436:GOC786437 GXX786436:GXY786437 HHT786436:HHU786437 HRP786436:HRQ786437 IBL786436:IBM786437 ILH786436:ILI786437 IVD786436:IVE786437 JEZ786436:JFA786437 JOV786436:JOW786437 JYR786436:JYS786437 KIN786436:KIO786437 KSJ786436:KSK786437 LCF786436:LCG786437 LMB786436:LMC786437 LVX786436:LVY786437 MFT786436:MFU786437 MPP786436:MPQ786437 MZL786436:MZM786437 NJH786436:NJI786437 NTD786436:NTE786437 OCZ786436:ODA786437 OMV786436:OMW786437 OWR786436:OWS786437 PGN786436:PGO786437 PQJ786436:PQK786437 QAF786436:QAG786437 QKB786436:QKC786437 QTX786436:QTY786437 RDT786436:RDU786437 RNP786436:RNQ786437 RXL786436:RXM786437 SHH786436:SHI786437 SRD786436:SRE786437 TAZ786436:TBA786437 TKV786436:TKW786437 TUR786436:TUS786437 UEN786436:UEO786437 UOJ786436:UOK786437 UYF786436:UYG786437 VIB786436:VIC786437 VRX786436:VRY786437 WBT786436:WBU786437 WLP786436:WLQ786437 WVL786436:WVM786437 D851972:E851973 IZ851972:JA851973 SV851972:SW851973 ACR851972:ACS851973 AMN851972:AMO851973 AWJ851972:AWK851973 BGF851972:BGG851973 BQB851972:BQC851973 BZX851972:BZY851973 CJT851972:CJU851973 CTP851972:CTQ851973 DDL851972:DDM851973 DNH851972:DNI851973 DXD851972:DXE851973 EGZ851972:EHA851973 EQV851972:EQW851973 FAR851972:FAS851973 FKN851972:FKO851973 FUJ851972:FUK851973 GEF851972:GEG851973 GOB851972:GOC851973 GXX851972:GXY851973 HHT851972:HHU851973 HRP851972:HRQ851973 IBL851972:IBM851973 ILH851972:ILI851973 IVD851972:IVE851973 JEZ851972:JFA851973 JOV851972:JOW851973 JYR851972:JYS851973 KIN851972:KIO851973 KSJ851972:KSK851973 LCF851972:LCG851973 LMB851972:LMC851973 LVX851972:LVY851973 MFT851972:MFU851973 MPP851972:MPQ851973 MZL851972:MZM851973 NJH851972:NJI851973 NTD851972:NTE851973 OCZ851972:ODA851973 OMV851972:OMW851973 OWR851972:OWS851973 PGN851972:PGO851973 PQJ851972:PQK851973 QAF851972:QAG851973 QKB851972:QKC851973 QTX851972:QTY851973 RDT851972:RDU851973 RNP851972:RNQ851973 RXL851972:RXM851973 SHH851972:SHI851973 SRD851972:SRE851973 TAZ851972:TBA851973 TKV851972:TKW851973 TUR851972:TUS851973 UEN851972:UEO851973 UOJ851972:UOK851973 UYF851972:UYG851973 VIB851972:VIC851973 VRX851972:VRY851973 WBT851972:WBU851973 WLP851972:WLQ851973 WVL851972:WVM851973 D917508:E917509 IZ917508:JA917509 SV917508:SW917509 ACR917508:ACS917509 AMN917508:AMO917509 AWJ917508:AWK917509 BGF917508:BGG917509 BQB917508:BQC917509 BZX917508:BZY917509 CJT917508:CJU917509 CTP917508:CTQ917509 DDL917508:DDM917509 DNH917508:DNI917509 DXD917508:DXE917509 EGZ917508:EHA917509 EQV917508:EQW917509 FAR917508:FAS917509 FKN917508:FKO917509 FUJ917508:FUK917509 GEF917508:GEG917509 GOB917508:GOC917509 GXX917508:GXY917509 HHT917508:HHU917509 HRP917508:HRQ917509 IBL917508:IBM917509 ILH917508:ILI917509 IVD917508:IVE917509 JEZ917508:JFA917509 JOV917508:JOW917509 JYR917508:JYS917509 KIN917508:KIO917509 KSJ917508:KSK917509 LCF917508:LCG917509 LMB917508:LMC917509 LVX917508:LVY917509 MFT917508:MFU917509 MPP917508:MPQ917509 MZL917508:MZM917509 NJH917508:NJI917509 NTD917508:NTE917509 OCZ917508:ODA917509 OMV917508:OMW917509 OWR917508:OWS917509 PGN917508:PGO917509 PQJ917508:PQK917509 QAF917508:QAG917509 QKB917508:QKC917509 QTX917508:QTY917509 RDT917508:RDU917509 RNP917508:RNQ917509 RXL917508:RXM917509 SHH917508:SHI917509 SRD917508:SRE917509 TAZ917508:TBA917509 TKV917508:TKW917509 TUR917508:TUS917509 UEN917508:UEO917509 UOJ917508:UOK917509 UYF917508:UYG917509 VIB917508:VIC917509 VRX917508:VRY917509 WBT917508:WBU917509 WLP917508:WLQ917509 WVL917508:WVM917509 D983044:E983045 IZ983044:JA983045 SV983044:SW983045 ACR983044:ACS983045 AMN983044:AMO983045 AWJ983044:AWK983045 BGF983044:BGG983045 BQB983044:BQC983045 BZX983044:BZY983045 CJT983044:CJU983045 CTP983044:CTQ983045 DDL983044:DDM983045 DNH983044:DNI983045 DXD983044:DXE983045 EGZ983044:EHA983045 EQV983044:EQW983045 FAR983044:FAS983045 FKN983044:FKO983045 FUJ983044:FUK983045 GEF983044:GEG983045 GOB983044:GOC983045 GXX983044:GXY983045 HHT983044:HHU983045 HRP983044:HRQ983045 IBL983044:IBM983045 ILH983044:ILI983045 IVD983044:IVE983045 JEZ983044:JFA983045 JOV983044:JOW983045 JYR983044:JYS983045 KIN983044:KIO983045 KSJ983044:KSK983045 LCF983044:LCG983045 LMB983044:LMC983045 LVX983044:LVY983045 MFT983044:MFU983045 MPP983044:MPQ983045 MZL983044:MZM983045 NJH983044:NJI983045 NTD983044:NTE983045 OCZ983044:ODA983045 OMV983044:OMW983045 OWR983044:OWS983045 PGN983044:PGO983045 PQJ983044:PQK983045 QAF983044:QAG983045 QKB983044:QKC983045 QTX983044:QTY983045 RDT983044:RDU983045 RNP983044:RNQ983045 RXL983044:RXM983045 SHH983044:SHI983045 SRD983044:SRE983045 TAZ983044:TBA983045 TKV983044:TKW983045 TUR983044:TUS983045 UEN983044:UEO983045 UOJ983044:UOK983045 UYF983044:UYG983045 VIB983044:VIC983045 VRX983044:VRY983045 WBT983044:WBU983045 WLP983044:WLQ983045 WVL983044:WVM983045" xr:uid="{BD0BF39A-2783-4A75-B98C-F587A43D0891}">
      <formula1>"Core1,Core2,Core3,Core4,Core5"</formula1>
    </dataValidation>
  </dataValidations>
  <printOptions horizontalCentered="1" verticalCentered="1"/>
  <pageMargins left="0.5" right="0.5" top="0.5" bottom="0.5" header="0" footer="0"/>
  <pageSetup paperSize="9" scale="99" orientation="portrait" r:id="rId1"/>
  <headerFooter alignWithMargins="0"/>
  <rowBreaks count="2" manualBreakCount="2">
    <brk id="48" max="21" man="1"/>
    <brk id="91" max="21"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4D728-4938-4118-9BD8-7E4CD5A2B261}">
  <sheetPr codeName="Sheet219">
    <tabColor indexed="45"/>
  </sheetPr>
  <dimension ref="A1:AE179"/>
  <sheetViews>
    <sheetView showZeros="0" view="pageBreakPreview" topLeftCell="A63" zoomScale="145" zoomScaleNormal="100" zoomScaleSheetLayoutView="145" workbookViewId="0">
      <selection activeCell="C28" sqref="C28"/>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Title!H2</f>
        <v>ADEQUACY CHECK</v>
      </c>
      <c r="I2" s="730"/>
      <c r="J2" s="730"/>
      <c r="K2" s="730"/>
      <c r="L2" s="730"/>
      <c r="M2" s="730"/>
      <c r="N2" s="731"/>
      <c r="O2" s="702" t="str">
        <f>Title!O2</f>
        <v>Date</v>
      </c>
      <c r="P2" s="703"/>
      <c r="Q2" s="704"/>
      <c r="R2" s="732">
        <f>Title!R2</f>
        <v>46106</v>
      </c>
      <c r="S2" s="733"/>
      <c r="T2" s="733"/>
      <c r="U2" s="733"/>
      <c r="V2" s="734"/>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14"/>
      <c r="X4" s="14"/>
    </row>
    <row r="5" spans="1:24" ht="18" customHeight="1">
      <c r="A5" s="708" t="str">
        <f>Title!A5</f>
        <v>Prep. By</v>
      </c>
      <c r="B5" s="709"/>
      <c r="C5" s="25" t="str">
        <f>Title!C5</f>
        <v>AP</v>
      </c>
      <c r="D5" s="708" t="str">
        <f>Title!D5</f>
        <v>Checked By</v>
      </c>
      <c r="E5" s="710"/>
      <c r="F5" s="709"/>
      <c r="G5" s="25" t="str">
        <f>Title!G5</f>
        <v>RB</v>
      </c>
      <c r="H5" s="711" t="s">
        <v>658</v>
      </c>
      <c r="I5" s="712"/>
      <c r="J5" s="712"/>
      <c r="K5" s="712"/>
      <c r="L5" s="712"/>
      <c r="M5" s="712"/>
      <c r="N5" s="713"/>
      <c r="O5" s="714" t="str">
        <f>Title!O5</f>
        <v>Contractor</v>
      </c>
      <c r="P5" s="715"/>
      <c r="Q5" s="716"/>
      <c r="R5" s="705" t="str">
        <f>Title!R5</f>
        <v>HITACHI</v>
      </c>
      <c r="S5" s="706"/>
      <c r="T5" s="706"/>
      <c r="U5" s="706"/>
      <c r="V5" s="707"/>
      <c r="W5" s="14"/>
      <c r="X5" s="14"/>
    </row>
    <row r="6" spans="1:24" ht="18" customHeight="1">
      <c r="A6" s="196"/>
      <c r="V6" s="197"/>
    </row>
    <row r="7" spans="1:24" ht="18" customHeight="1">
      <c r="A7" s="196"/>
      <c r="B7" s="696" t="s">
        <v>120</v>
      </c>
      <c r="C7" s="697"/>
      <c r="D7" s="696" t="s">
        <v>124</v>
      </c>
      <c r="E7" s="698"/>
      <c r="F7" s="267"/>
      <c r="H7" s="638" t="s">
        <v>602</v>
      </c>
      <c r="I7" s="639"/>
      <c r="J7" s="639"/>
      <c r="K7" s="639"/>
      <c r="L7" s="639"/>
      <c r="M7" s="639"/>
      <c r="P7" s="198"/>
      <c r="R7" s="267"/>
      <c r="S7" s="199" t="s">
        <v>398</v>
      </c>
      <c r="T7" s="1051" t="s">
        <v>255</v>
      </c>
      <c r="U7" s="1052"/>
      <c r="V7" s="197"/>
    </row>
    <row r="8" spans="1:24" ht="18" customHeight="1">
      <c r="A8" s="196"/>
      <c r="B8" s="654"/>
      <c r="C8" s="655"/>
      <c r="D8" s="699"/>
      <c r="E8" s="700"/>
      <c r="F8" s="267"/>
      <c r="T8" s="1051" t="s">
        <v>257</v>
      </c>
      <c r="U8" s="1052"/>
      <c r="V8" s="197"/>
    </row>
    <row r="9" spans="1:24" ht="18" customHeight="1">
      <c r="A9" s="196"/>
      <c r="H9" s="662" t="s">
        <v>401</v>
      </c>
      <c r="I9" s="662"/>
      <c r="J9" s="701" t="s">
        <v>402</v>
      </c>
      <c r="K9" s="701"/>
      <c r="L9" s="701" t="s">
        <v>403</v>
      </c>
      <c r="M9" s="701"/>
      <c r="T9" s="1051"/>
      <c r="U9" s="1052"/>
      <c r="V9" s="197"/>
    </row>
    <row r="10" spans="1:24" ht="18" customHeight="1">
      <c r="A10" s="196"/>
      <c r="B10" s="47" t="s">
        <v>404</v>
      </c>
      <c r="H10" s="692">
        <v>3150</v>
      </c>
      <c r="I10" s="693"/>
      <c r="J10" s="656">
        <v>2000</v>
      </c>
      <c r="K10" s="657"/>
      <c r="L10" s="656" t="s">
        <v>7</v>
      </c>
      <c r="M10" s="657"/>
      <c r="N10" s="203" t="s">
        <v>353</v>
      </c>
      <c r="O10" s="125">
        <v>1</v>
      </c>
      <c r="P10" s="27" t="s">
        <v>9</v>
      </c>
      <c r="T10" s="1051"/>
      <c r="U10" s="1052"/>
      <c r="V10" s="197"/>
    </row>
    <row r="11" spans="1:24" ht="18" customHeight="1">
      <c r="A11" s="196"/>
      <c r="B11" s="47" t="s">
        <v>405</v>
      </c>
      <c r="H11" s="656" t="s">
        <v>678</v>
      </c>
      <c r="I11" s="657"/>
      <c r="T11" s="1053"/>
      <c r="U11" s="1053"/>
      <c r="V11" s="197"/>
    </row>
    <row r="12" spans="1:24" ht="18" customHeight="1">
      <c r="A12" s="196"/>
      <c r="B12" s="47" t="s">
        <v>407</v>
      </c>
      <c r="G12" s="120" t="s">
        <v>508</v>
      </c>
      <c r="H12" s="656">
        <v>9</v>
      </c>
      <c r="I12" s="657"/>
      <c r="J12" s="204" t="s">
        <v>344</v>
      </c>
      <c r="T12" s="307"/>
      <c r="U12" s="18"/>
      <c r="V12" s="197"/>
    </row>
    <row r="13" spans="1:24" ht="18" customHeight="1">
      <c r="A13" s="196"/>
      <c r="B13" s="30" t="s">
        <v>579</v>
      </c>
      <c r="G13" s="120" t="s">
        <v>580</v>
      </c>
      <c r="H13" s="656">
        <v>5</v>
      </c>
      <c r="I13" s="657"/>
      <c r="T13" s="307"/>
      <c r="U13" s="18"/>
      <c r="V13" s="197"/>
      <c r="W13" s="30" t="str">
        <f>J47</f>
        <v>Suitable Dimensions</v>
      </c>
    </row>
    <row r="14" spans="1:24" ht="18" customHeight="1">
      <c r="A14" s="196"/>
      <c r="B14" s="47" t="s">
        <v>573</v>
      </c>
      <c r="G14" s="120" t="s">
        <v>504</v>
      </c>
      <c r="H14" s="656">
        <v>10</v>
      </c>
      <c r="I14" s="657"/>
      <c r="J14" s="14"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49">
        <f>'CT-VT Burdens'!Q85</f>
        <v>8.0000000000000002E-3</v>
      </c>
      <c r="K18" s="1050"/>
      <c r="L18" s="3" t="s">
        <v>168</v>
      </c>
      <c r="N18" s="209" t="s">
        <v>521</v>
      </c>
      <c r="V18" s="197"/>
      <c r="AC18" s="14" t="s">
        <v>581</v>
      </c>
      <c r="AE18" s="14" t="s">
        <v>582</v>
      </c>
    </row>
    <row r="19" spans="1:31" ht="18" customHeight="1">
      <c r="A19" s="196"/>
      <c r="B19" s="96" t="s">
        <v>416</v>
      </c>
      <c r="D19" s="308" t="str">
        <f>T8</f>
        <v>GOSSEN</v>
      </c>
      <c r="I19" s="189" t="s">
        <v>138</v>
      </c>
      <c r="J19" s="688">
        <f>'CT-VT Burdens'!Q86</f>
        <v>0.25</v>
      </c>
      <c r="K19" s="684"/>
      <c r="L19" s="210" t="s">
        <v>168</v>
      </c>
      <c r="P19" s="256"/>
      <c r="V19" s="197"/>
    </row>
    <row r="20" spans="1:31" ht="18" customHeight="1">
      <c r="A20" s="196"/>
      <c r="B20" s="96" t="s">
        <v>416</v>
      </c>
      <c r="C20" s="14"/>
      <c r="D20" s="47">
        <f>T9</f>
        <v>0</v>
      </c>
      <c r="E20" s="14"/>
      <c r="G20" s="211"/>
      <c r="H20" s="27"/>
      <c r="I20" s="101" t="s">
        <v>138</v>
      </c>
      <c r="J20" s="688"/>
      <c r="K20" s="689"/>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688"/>
      <c r="K21" s="689"/>
      <c r="L21" s="214" t="s">
        <v>168</v>
      </c>
      <c r="O21" s="27" t="s">
        <v>138</v>
      </c>
      <c r="P21" s="27">
        <f>O10</f>
        <v>1</v>
      </c>
      <c r="Q21" s="27" t="s">
        <v>326</v>
      </c>
      <c r="R21" s="27">
        <f>O10</f>
        <v>1</v>
      </c>
      <c r="S21" s="27" t="s">
        <v>326</v>
      </c>
      <c r="T21" s="27">
        <f>H12</f>
        <v>9</v>
      </c>
      <c r="V21" s="197"/>
    </row>
    <row r="22" spans="1:31" ht="18" customHeight="1">
      <c r="A22" s="196"/>
      <c r="B22" s="196" t="s">
        <v>423</v>
      </c>
      <c r="C22" s="14"/>
      <c r="D22" s="47"/>
      <c r="E22" s="14"/>
      <c r="H22" s="27"/>
      <c r="I22" s="101" t="s">
        <v>138</v>
      </c>
      <c r="J22" s="690">
        <f>'CT-VT Burdens'!S22</f>
        <v>1.44186744</v>
      </c>
      <c r="K22" s="691"/>
      <c r="L22" s="309" t="s">
        <v>168</v>
      </c>
      <c r="O22" s="27" t="s">
        <v>138</v>
      </c>
      <c r="P22" s="637">
        <f>P21*R21*T21</f>
        <v>9</v>
      </c>
      <c r="Q22" s="639"/>
      <c r="R22" s="27" t="s">
        <v>168</v>
      </c>
      <c r="S22" s="27"/>
      <c r="T22" s="27"/>
      <c r="V22" s="197"/>
    </row>
    <row r="23" spans="1:31" ht="18" customHeight="1">
      <c r="A23" s="196"/>
      <c r="B23" s="1" t="s">
        <v>424</v>
      </c>
      <c r="C23" s="2"/>
      <c r="D23" s="2"/>
      <c r="E23" s="2"/>
      <c r="F23" s="208"/>
      <c r="G23" s="208"/>
      <c r="H23" s="236" t="s">
        <v>523</v>
      </c>
      <c r="I23" s="195" t="s">
        <v>138</v>
      </c>
      <c r="J23" s="648">
        <f>SUM(J18:K22)</f>
        <v>1.69986744</v>
      </c>
      <c r="K23" s="649"/>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86">
        <f>H10</f>
        <v>3150</v>
      </c>
      <c r="Q25" s="986"/>
      <c r="R25" s="204" t="s">
        <v>9</v>
      </c>
      <c r="V25" s="197"/>
    </row>
    <row r="26" spans="1:31" ht="18" customHeight="1">
      <c r="A26" s="196"/>
      <c r="B26" s="47" t="s">
        <v>558</v>
      </c>
      <c r="C26" s="47"/>
      <c r="D26" s="47"/>
      <c r="E26" s="47"/>
      <c r="H26" s="27"/>
      <c r="I26" s="28"/>
      <c r="J26" s="211"/>
      <c r="L26" s="47"/>
      <c r="N26" s="120" t="s">
        <v>583</v>
      </c>
      <c r="O26" s="28" t="s">
        <v>138</v>
      </c>
      <c r="P26" s="986">
        <f>H12</f>
        <v>9</v>
      </c>
      <c r="Q26" s="986"/>
      <c r="R26" s="316" t="s">
        <v>168</v>
      </c>
      <c r="V26" s="197"/>
    </row>
    <row r="27" spans="1:31" ht="18" customHeight="1">
      <c r="A27" s="196"/>
      <c r="B27" s="47" t="s">
        <v>559</v>
      </c>
      <c r="C27" s="47"/>
      <c r="D27" s="47"/>
      <c r="E27" s="47"/>
      <c r="H27" s="27"/>
      <c r="I27" s="28"/>
      <c r="J27" s="211"/>
      <c r="L27" s="47"/>
      <c r="N27" s="120" t="s">
        <v>584</v>
      </c>
      <c r="O27" s="28" t="s">
        <v>138</v>
      </c>
      <c r="P27" s="960">
        <f>J23</f>
        <v>1.69986744</v>
      </c>
      <c r="Q27" s="986"/>
      <c r="R27" s="316" t="s">
        <v>168</v>
      </c>
      <c r="V27" s="197"/>
    </row>
    <row r="28" spans="1:31" ht="18" customHeight="1">
      <c r="A28" s="196"/>
      <c r="B28" s="47" t="s">
        <v>560</v>
      </c>
      <c r="C28" s="47"/>
      <c r="D28" s="47"/>
      <c r="E28" s="47"/>
      <c r="H28" s="27"/>
      <c r="I28" s="28"/>
      <c r="J28" s="211"/>
      <c r="L28" s="47"/>
      <c r="N28" s="120" t="s">
        <v>522</v>
      </c>
      <c r="O28" s="28" t="s">
        <v>138</v>
      </c>
      <c r="P28" s="986">
        <f>O10</f>
        <v>1</v>
      </c>
      <c r="Q28" s="986"/>
      <c r="R28" s="204" t="s">
        <v>9</v>
      </c>
      <c r="V28" s="197"/>
    </row>
    <row r="29" spans="1:31" ht="18" customHeight="1">
      <c r="A29" s="196"/>
      <c r="B29" s="47" t="s">
        <v>585</v>
      </c>
      <c r="C29" s="47"/>
      <c r="D29" s="47"/>
      <c r="E29" s="47"/>
      <c r="H29" s="27"/>
      <c r="I29" s="28"/>
      <c r="J29" s="211"/>
      <c r="L29" s="47"/>
      <c r="N29" s="120" t="s">
        <v>506</v>
      </c>
      <c r="O29" s="28" t="s">
        <v>138</v>
      </c>
      <c r="P29" s="986">
        <v>10</v>
      </c>
      <c r="Q29" s="986"/>
      <c r="R29" s="204"/>
      <c r="V29" s="197"/>
    </row>
    <row r="30" spans="1:31" ht="18" customHeight="1">
      <c r="A30" s="196"/>
      <c r="B30" s="47" t="s">
        <v>588</v>
      </c>
      <c r="C30" s="47"/>
      <c r="D30" s="47"/>
      <c r="E30" s="47"/>
      <c r="H30" s="27"/>
      <c r="I30" s="28"/>
      <c r="J30" s="211"/>
      <c r="L30" s="47"/>
      <c r="O30" s="28" t="s">
        <v>138</v>
      </c>
      <c r="P30" s="960">
        <v>20</v>
      </c>
      <c r="Q30" s="960"/>
      <c r="R30" s="204" t="s">
        <v>140</v>
      </c>
      <c r="S30" s="14" t="s">
        <v>181</v>
      </c>
      <c r="V30" s="197"/>
    </row>
    <row r="31" spans="1:31" ht="18" customHeight="1">
      <c r="A31" s="196"/>
      <c r="B31" s="47"/>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656">
        <v>20</v>
      </c>
      <c r="T32" s="657"/>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637">
        <f>J23</f>
        <v>1.69986744</v>
      </c>
      <c r="K35" s="639"/>
      <c r="L35" s="28"/>
      <c r="M35" s="637"/>
      <c r="N35" s="639"/>
      <c r="V35" s="197"/>
    </row>
    <row r="36" spans="1:22" ht="18" customHeight="1">
      <c r="A36" s="196"/>
      <c r="I36" s="28"/>
      <c r="J36" s="637"/>
      <c r="K36" s="639"/>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9</v>
      </c>
      <c r="M38" s="257" t="s">
        <v>358</v>
      </c>
      <c r="N38" s="254">
        <f>H14</f>
        <v>10</v>
      </c>
      <c r="O38" s="257" t="s">
        <v>550</v>
      </c>
      <c r="P38" s="313">
        <f>P22</f>
        <v>9</v>
      </c>
      <c r="Q38" s="257" t="s">
        <v>358</v>
      </c>
      <c r="R38" s="313">
        <f>J23</f>
        <v>1.69986744</v>
      </c>
      <c r="S38" s="308" t="s">
        <v>361</v>
      </c>
      <c r="V38" s="197"/>
    </row>
    <row r="39" spans="1:22" ht="18" customHeight="1">
      <c r="A39" s="196"/>
      <c r="I39" s="27" t="s">
        <v>138</v>
      </c>
      <c r="J39" s="640">
        <f>J38*((L38+N38)/(P38+R38))</f>
        <v>8.8786146681458327</v>
      </c>
      <c r="K39" s="640"/>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639">
        <f>H14</f>
        <v>10</v>
      </c>
      <c r="H43" s="639"/>
      <c r="I43" s="27" t="str">
        <f>IF(G43&gt;J43,"&gt;","&lt;")</f>
        <v>&gt;</v>
      </c>
      <c r="J43" s="637">
        <f>J35</f>
        <v>1.69986744</v>
      </c>
      <c r="K43" s="639"/>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637">
        <f>P30</f>
        <v>20</v>
      </c>
      <c r="H46" s="637"/>
      <c r="I46" s="27" t="str">
        <f>IF(G46&gt;J46,"&gt;","&lt;")</f>
        <v>&gt;</v>
      </c>
      <c r="J46" s="637">
        <f>J39</f>
        <v>8.8786146681458327</v>
      </c>
      <c r="K46" s="637"/>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customHeight="1">
      <c r="A50" s="196"/>
      <c r="B50" s="667" t="str">
        <f>B7</f>
        <v>T1</v>
      </c>
      <c r="C50" s="668"/>
      <c r="D50" s="680" t="str">
        <f>D7</f>
        <v>Core5</v>
      </c>
      <c r="E50" s="681"/>
      <c r="F50" s="267"/>
      <c r="H50" s="639" t="str">
        <f>H7</f>
        <v>(Tariff Meter- Check)</v>
      </c>
      <c r="I50" s="639"/>
      <c r="J50" s="639"/>
      <c r="K50" s="639"/>
      <c r="L50" s="639"/>
      <c r="M50" s="639"/>
      <c r="P50" s="198"/>
      <c r="R50" s="267"/>
      <c r="S50" s="199" t="s">
        <v>398</v>
      </c>
      <c r="T50" s="1051" t="str">
        <f>T7</f>
        <v>XC-RACK</v>
      </c>
      <c r="U50" s="1052"/>
      <c r="V50" s="197"/>
    </row>
    <row r="51" spans="1:23" ht="18" customHeight="1">
      <c r="A51" s="196"/>
      <c r="B51" s="679">
        <f>B8</f>
        <v>0</v>
      </c>
      <c r="C51" s="679"/>
      <c r="D51" s="682"/>
      <c r="E51" s="683"/>
      <c r="F51" s="267"/>
      <c r="T51" s="1051" t="str">
        <f>T8</f>
        <v>GOSSEN</v>
      </c>
      <c r="U51" s="1052"/>
      <c r="V51" s="197"/>
    </row>
    <row r="52" spans="1:23" ht="18" customHeight="1">
      <c r="A52" s="196"/>
      <c r="H52" s="661" t="s">
        <v>401</v>
      </c>
      <c r="I52" s="661"/>
      <c r="J52" s="662" t="s">
        <v>402</v>
      </c>
      <c r="K52" s="662"/>
      <c r="L52" s="701" t="s">
        <v>403</v>
      </c>
      <c r="M52" s="701"/>
      <c r="T52" s="1051"/>
      <c r="U52" s="1052"/>
      <c r="V52" s="197"/>
    </row>
    <row r="53" spans="1:23" ht="18" customHeight="1">
      <c r="A53" s="196"/>
      <c r="B53" s="47" t="s">
        <v>404</v>
      </c>
      <c r="H53" s="667">
        <f>H10</f>
        <v>3150</v>
      </c>
      <c r="I53" s="668"/>
      <c r="J53" s="1030">
        <f>J10</f>
        <v>2000</v>
      </c>
      <c r="K53" s="1031"/>
      <c r="L53" s="667" t="str">
        <f>L10</f>
        <v>-</v>
      </c>
      <c r="M53" s="668"/>
      <c r="N53" s="203" t="s">
        <v>353</v>
      </c>
      <c r="O53" s="501">
        <f>O10</f>
        <v>1</v>
      </c>
      <c r="P53" s="27" t="s">
        <v>9</v>
      </c>
      <c r="T53" s="1051"/>
      <c r="U53" s="1052"/>
      <c r="V53" s="197"/>
    </row>
    <row r="54" spans="1:23" ht="18" customHeight="1">
      <c r="A54" s="196"/>
      <c r="B54" s="47" t="s">
        <v>405</v>
      </c>
      <c r="H54" s="14"/>
      <c r="I54" s="14"/>
      <c r="J54" s="667" t="str">
        <f>H11</f>
        <v>0.2sFS5</v>
      </c>
      <c r="K54" s="668"/>
      <c r="L54" s="14"/>
      <c r="M54" s="14"/>
      <c r="V54" s="197"/>
    </row>
    <row r="55" spans="1:23" ht="18" customHeight="1">
      <c r="A55" s="196"/>
      <c r="B55" s="47" t="s">
        <v>407</v>
      </c>
      <c r="I55" s="120" t="s">
        <v>508</v>
      </c>
      <c r="J55" s="656">
        <v>5</v>
      </c>
      <c r="K55" s="657"/>
      <c r="L55" s="204" t="s">
        <v>344</v>
      </c>
      <c r="T55" s="307"/>
      <c r="U55" s="18"/>
      <c r="V55" s="197"/>
    </row>
    <row r="56" spans="1:23" ht="18" customHeight="1">
      <c r="A56" s="196"/>
      <c r="B56" s="30" t="s">
        <v>579</v>
      </c>
      <c r="I56" s="120" t="s">
        <v>580</v>
      </c>
      <c r="J56" s="656">
        <v>5</v>
      </c>
      <c r="K56" s="657"/>
      <c r="T56" s="307"/>
      <c r="U56" s="18"/>
      <c r="V56" s="197"/>
      <c r="W56" s="30" t="str">
        <f>J90</f>
        <v>Suitable Dimensions</v>
      </c>
    </row>
    <row r="57" spans="1:23" ht="18" customHeight="1">
      <c r="A57" s="196"/>
      <c r="B57" s="47" t="s">
        <v>573</v>
      </c>
      <c r="I57" s="120" t="s">
        <v>504</v>
      </c>
      <c r="J57" s="656">
        <v>7.5</v>
      </c>
      <c r="K57" s="657"/>
      <c r="L57" s="14" t="s">
        <v>168</v>
      </c>
      <c r="T57" s="307"/>
      <c r="U57" s="18"/>
      <c r="V57" s="197"/>
    </row>
    <row r="58" spans="1:23" ht="18" customHeight="1">
      <c r="A58" s="196"/>
      <c r="V58" s="197"/>
    </row>
    <row r="59" spans="1:23" ht="18" customHeight="1">
      <c r="A59" s="205" t="s">
        <v>415</v>
      </c>
      <c r="V59" s="197"/>
    </row>
    <row r="60" spans="1:23" ht="18" customHeight="1">
      <c r="A60" s="196"/>
      <c r="V60" s="197"/>
    </row>
    <row r="61" spans="1:23" ht="18"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customHeight="1">
      <c r="A62" s="196"/>
      <c r="B62" s="96" t="s">
        <v>416</v>
      </c>
      <c r="D62" s="308" t="str">
        <f>D19</f>
        <v>GOSSEN</v>
      </c>
      <c r="I62" s="189" t="s">
        <v>138</v>
      </c>
      <c r="J62" s="642">
        <f t="shared" si="0"/>
        <v>0.25</v>
      </c>
      <c r="K62" s="643"/>
      <c r="L62" s="210" t="s">
        <v>168</v>
      </c>
      <c r="P62" s="256"/>
      <c r="V62" s="197"/>
    </row>
    <row r="63" spans="1:23" ht="18" customHeight="1">
      <c r="A63" s="196"/>
      <c r="B63" s="96" t="s">
        <v>416</v>
      </c>
      <c r="C63" s="14"/>
      <c r="D63" s="47">
        <f>D20</f>
        <v>0</v>
      </c>
      <c r="E63" s="14"/>
      <c r="G63" s="211"/>
      <c r="H63" s="27"/>
      <c r="I63" s="101" t="s">
        <v>138</v>
      </c>
      <c r="J63" s="644">
        <f t="shared" si="0"/>
        <v>0</v>
      </c>
      <c r="K63" s="645"/>
      <c r="L63" s="214" t="s">
        <v>168</v>
      </c>
      <c r="N63" s="120" t="s">
        <v>502</v>
      </c>
      <c r="O63" s="27" t="s">
        <v>138</v>
      </c>
      <c r="P63" s="27" t="s">
        <v>522</v>
      </c>
      <c r="Q63" s="27" t="s">
        <v>326</v>
      </c>
      <c r="R63" s="27" t="s">
        <v>522</v>
      </c>
      <c r="S63" s="27" t="s">
        <v>326</v>
      </c>
      <c r="T63" s="27" t="s">
        <v>431</v>
      </c>
      <c r="V63" s="197"/>
    </row>
    <row r="64" spans="1:23" ht="18" customHeight="1">
      <c r="A64" s="196"/>
      <c r="B64" s="96" t="s">
        <v>416</v>
      </c>
      <c r="C64" s="14"/>
      <c r="D64" s="47">
        <f>T10</f>
        <v>0</v>
      </c>
      <c r="E64" s="14"/>
      <c r="G64" s="211"/>
      <c r="H64" s="27"/>
      <c r="I64" s="101" t="s">
        <v>138</v>
      </c>
      <c r="J64" s="644">
        <f t="shared" si="0"/>
        <v>0</v>
      </c>
      <c r="K64" s="645"/>
      <c r="L64" s="214" t="s">
        <v>168</v>
      </c>
      <c r="O64" s="27" t="s">
        <v>138</v>
      </c>
      <c r="P64" s="27">
        <f>O53</f>
        <v>1</v>
      </c>
      <c r="Q64" s="27" t="s">
        <v>326</v>
      </c>
      <c r="R64" s="27">
        <f>O53</f>
        <v>1</v>
      </c>
      <c r="S64" s="27" t="s">
        <v>326</v>
      </c>
      <c r="T64" s="27">
        <f>J55</f>
        <v>5</v>
      </c>
      <c r="V64" s="197"/>
    </row>
    <row r="65" spans="1:22" ht="18" customHeight="1">
      <c r="A65" s="196"/>
      <c r="B65" s="196" t="s">
        <v>423</v>
      </c>
      <c r="C65" s="14"/>
      <c r="D65" s="47"/>
      <c r="E65" s="14"/>
      <c r="H65" s="27"/>
      <c r="I65" s="101" t="s">
        <v>138</v>
      </c>
      <c r="J65" s="646">
        <f t="shared" si="0"/>
        <v>1.44186744</v>
      </c>
      <c r="K65" s="647"/>
      <c r="L65" s="309" t="s">
        <v>168</v>
      </c>
      <c r="O65" s="27" t="s">
        <v>138</v>
      </c>
      <c r="P65" s="637">
        <f>P64*R64*T64</f>
        <v>5</v>
      </c>
      <c r="Q65" s="639"/>
      <c r="R65" s="27" t="s">
        <v>168</v>
      </c>
      <c r="S65" s="27"/>
      <c r="T65" s="27"/>
      <c r="V65" s="197"/>
    </row>
    <row r="66" spans="1:22" ht="18" customHeight="1">
      <c r="A66" s="196"/>
      <c r="B66" s="1" t="s">
        <v>424</v>
      </c>
      <c r="C66" s="2"/>
      <c r="D66" s="2"/>
      <c r="E66" s="2"/>
      <c r="F66" s="208"/>
      <c r="G66" s="208"/>
      <c r="H66" s="236" t="s">
        <v>523</v>
      </c>
      <c r="I66" s="195" t="s">
        <v>138</v>
      </c>
      <c r="J66" s="648">
        <f t="shared" si="0"/>
        <v>1.69986744</v>
      </c>
      <c r="K66" s="649"/>
      <c r="L66" s="3" t="s">
        <v>168</v>
      </c>
      <c r="O66" s="27"/>
      <c r="P66" s="223"/>
      <c r="Q66" s="223"/>
      <c r="R66" s="204"/>
      <c r="V66" s="197"/>
    </row>
    <row r="67" spans="1:22" ht="18" customHeight="1">
      <c r="A67" s="196"/>
      <c r="B67" s="47"/>
      <c r="C67" s="47"/>
      <c r="D67" s="47"/>
      <c r="E67" s="47"/>
      <c r="H67" s="27"/>
      <c r="I67" s="28"/>
      <c r="J67" s="230"/>
      <c r="K67" s="27"/>
      <c r="L67" s="47"/>
      <c r="O67" s="27"/>
      <c r="P67" s="223"/>
      <c r="Q67" s="223"/>
      <c r="R67" s="204"/>
      <c r="V67" s="197"/>
    </row>
    <row r="68" spans="1:22" ht="18" customHeight="1">
      <c r="A68" s="196"/>
      <c r="B68" s="47" t="s">
        <v>556</v>
      </c>
      <c r="C68" s="47"/>
      <c r="D68" s="47"/>
      <c r="E68" s="47"/>
      <c r="H68" s="27"/>
      <c r="I68" s="28"/>
      <c r="J68" s="211"/>
      <c r="L68" s="47"/>
      <c r="N68" s="120" t="s">
        <v>434</v>
      </c>
      <c r="O68" s="28" t="s">
        <v>138</v>
      </c>
      <c r="P68" s="986">
        <f>J53</f>
        <v>2000</v>
      </c>
      <c r="Q68" s="986"/>
      <c r="R68" s="204" t="s">
        <v>9</v>
      </c>
      <c r="V68" s="197"/>
    </row>
    <row r="69" spans="1:22" ht="18" customHeight="1">
      <c r="A69" s="196"/>
      <c r="B69" s="47" t="s">
        <v>558</v>
      </c>
      <c r="C69" s="47"/>
      <c r="D69" s="47"/>
      <c r="E69" s="47"/>
      <c r="H69" s="27"/>
      <c r="I69" s="28"/>
      <c r="J69" s="211"/>
      <c r="L69" s="47"/>
      <c r="N69" s="120" t="s">
        <v>583</v>
      </c>
      <c r="O69" s="28" t="s">
        <v>138</v>
      </c>
      <c r="P69" s="986">
        <f>J55</f>
        <v>5</v>
      </c>
      <c r="Q69" s="986"/>
      <c r="R69" s="316" t="s">
        <v>168</v>
      </c>
      <c r="V69" s="197"/>
    </row>
    <row r="70" spans="1:22" ht="18" customHeight="1">
      <c r="A70" s="196"/>
      <c r="B70" s="47" t="s">
        <v>559</v>
      </c>
      <c r="C70" s="47"/>
      <c r="D70" s="47"/>
      <c r="E70" s="47"/>
      <c r="H70" s="27"/>
      <c r="I70" s="28"/>
      <c r="J70" s="211"/>
      <c r="L70" s="47"/>
      <c r="N70" s="120" t="s">
        <v>584</v>
      </c>
      <c r="O70" s="28" t="s">
        <v>138</v>
      </c>
      <c r="P70" s="960">
        <f>J66</f>
        <v>1.69986744</v>
      </c>
      <c r="Q70" s="986"/>
      <c r="R70" s="316" t="s">
        <v>168</v>
      </c>
      <c r="V70" s="197"/>
    </row>
    <row r="71" spans="1:22" ht="18" customHeight="1">
      <c r="A71" s="196"/>
      <c r="B71" s="47" t="s">
        <v>560</v>
      </c>
      <c r="C71" s="47"/>
      <c r="D71" s="47"/>
      <c r="E71" s="47"/>
      <c r="H71" s="27"/>
      <c r="I71" s="28"/>
      <c r="J71" s="211"/>
      <c r="L71" s="47"/>
      <c r="N71" s="120" t="s">
        <v>522</v>
      </c>
      <c r="O71" s="28" t="s">
        <v>138</v>
      </c>
      <c r="P71" s="986">
        <f>O53</f>
        <v>1</v>
      </c>
      <c r="Q71" s="986"/>
      <c r="R71" s="204" t="s">
        <v>9</v>
      </c>
      <c r="V71" s="197"/>
    </row>
    <row r="72" spans="1:22" ht="18" customHeight="1">
      <c r="A72" s="196"/>
      <c r="B72" s="47" t="s">
        <v>585</v>
      </c>
      <c r="C72" s="47"/>
      <c r="D72" s="47"/>
      <c r="E72" s="47"/>
      <c r="H72" s="27"/>
      <c r="I72" s="28"/>
      <c r="J72" s="211"/>
      <c r="L72" s="47"/>
      <c r="N72" s="120" t="s">
        <v>506</v>
      </c>
      <c r="O72" s="28" t="s">
        <v>138</v>
      </c>
      <c r="P72" s="986">
        <v>10</v>
      </c>
      <c r="Q72" s="986"/>
      <c r="R72" s="204"/>
      <c r="V72" s="197"/>
    </row>
    <row r="73" spans="1:22" ht="18" customHeight="1">
      <c r="A73" s="196"/>
      <c r="B73" s="47" t="s">
        <v>588</v>
      </c>
      <c r="C73" s="47"/>
      <c r="D73" s="47"/>
      <c r="E73" s="47"/>
      <c r="H73" s="27"/>
      <c r="I73" s="28"/>
      <c r="J73" s="211"/>
      <c r="L73" s="47"/>
      <c r="O73" s="28" t="s">
        <v>138</v>
      </c>
      <c r="P73" s="960">
        <v>20</v>
      </c>
      <c r="Q73" s="960"/>
      <c r="R73" s="204" t="s">
        <v>140</v>
      </c>
      <c r="S73" s="14" t="s">
        <v>181</v>
      </c>
      <c r="V73" s="197"/>
    </row>
    <row r="74" spans="1:22" ht="18"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705">
        <f>S32</f>
        <v>20</v>
      </c>
      <c r="T75" s="707"/>
      <c r="V75" s="197" t="s">
        <v>140</v>
      </c>
    </row>
    <row r="76" spans="1:22" ht="18" hidden="1" customHeight="1">
      <c r="A76" s="196"/>
      <c r="B76" s="47"/>
      <c r="C76" s="47"/>
      <c r="D76" s="47"/>
      <c r="E76" s="47"/>
      <c r="H76" s="27"/>
      <c r="I76" s="28"/>
      <c r="J76" s="211"/>
      <c r="L76" s="47"/>
      <c r="O76" s="27"/>
      <c r="P76" s="223"/>
      <c r="Q76" s="223"/>
      <c r="R76" s="204"/>
      <c r="V76" s="197"/>
    </row>
    <row r="77" spans="1:22" ht="18" customHeight="1">
      <c r="A77" s="196"/>
      <c r="B77" s="47"/>
      <c r="C77" s="47" t="s">
        <v>592</v>
      </c>
      <c r="D77" s="47"/>
      <c r="E77" s="47"/>
      <c r="H77" s="27"/>
      <c r="I77" s="28" t="s">
        <v>138</v>
      </c>
      <c r="J77" s="293" t="s">
        <v>593</v>
      </c>
      <c r="L77" s="47"/>
      <c r="O77" s="27"/>
      <c r="P77" s="28" t="s">
        <v>358</v>
      </c>
      <c r="Q77" s="14" t="s">
        <v>594</v>
      </c>
      <c r="R77" s="204"/>
      <c r="V77" s="197"/>
    </row>
    <row r="78" spans="1:22" ht="18" customHeight="1">
      <c r="A78" s="196"/>
      <c r="I78" s="28" t="s">
        <v>138</v>
      </c>
      <c r="J78" s="637">
        <f>J66</f>
        <v>1.69986744</v>
      </c>
      <c r="K78" s="639"/>
      <c r="L78" s="28"/>
      <c r="M78" s="637"/>
      <c r="N78" s="639"/>
      <c r="V78" s="197"/>
    </row>
    <row r="79" spans="1:22" ht="18" customHeight="1">
      <c r="A79" s="196"/>
      <c r="I79" s="28"/>
      <c r="J79" s="216"/>
      <c r="V79" s="197"/>
    </row>
    <row r="80" spans="1:22" ht="18"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customHeight="1">
      <c r="A81" s="196"/>
      <c r="I81" s="27" t="s">
        <v>138</v>
      </c>
      <c r="J81" s="257">
        <f>J56</f>
        <v>5</v>
      </c>
      <c r="K81" s="257" t="s">
        <v>565</v>
      </c>
      <c r="L81" s="313">
        <f>P65</f>
        <v>5</v>
      </c>
      <c r="M81" s="257" t="s">
        <v>358</v>
      </c>
      <c r="N81" s="254">
        <f>J57</f>
        <v>7.5</v>
      </c>
      <c r="O81" s="257" t="s">
        <v>550</v>
      </c>
      <c r="P81" s="313">
        <f>P65</f>
        <v>5</v>
      </c>
      <c r="Q81" s="257" t="s">
        <v>358</v>
      </c>
      <c r="R81" s="313">
        <f>J66</f>
        <v>1.69986744</v>
      </c>
      <c r="S81" s="308" t="s">
        <v>361</v>
      </c>
      <c r="V81" s="197"/>
    </row>
    <row r="82" spans="1:22" ht="18" customHeight="1">
      <c r="A82" s="196"/>
      <c r="I82" s="27" t="s">
        <v>138</v>
      </c>
      <c r="J82" s="640">
        <f>J81*((L81+N81)/(P81+R81))</f>
        <v>9.3285427748701846</v>
      </c>
      <c r="K82" s="640"/>
      <c r="L82" s="254"/>
      <c r="M82" s="254"/>
      <c r="N82" s="254"/>
      <c r="O82" s="254"/>
      <c r="P82" s="254"/>
      <c r="Q82" s="254"/>
      <c r="R82" s="254"/>
      <c r="V82" s="197"/>
    </row>
    <row r="83" spans="1:22" ht="18" customHeight="1">
      <c r="A83" s="196"/>
      <c r="I83" s="28"/>
      <c r="J83" s="223"/>
      <c r="K83" s="27"/>
      <c r="V83" s="197"/>
    </row>
    <row r="84" spans="1:22" ht="18" customHeight="1">
      <c r="A84" s="96" t="s">
        <v>595</v>
      </c>
      <c r="I84" s="28"/>
      <c r="J84" s="223"/>
      <c r="K84" s="27"/>
      <c r="V84" s="197"/>
    </row>
    <row r="85" spans="1:22" ht="18" customHeight="1">
      <c r="A85" s="196"/>
      <c r="B85" s="28">
        <v>1</v>
      </c>
      <c r="D85" s="14"/>
      <c r="H85" s="120" t="s">
        <v>503</v>
      </c>
      <c r="I85" s="28" t="s">
        <v>487</v>
      </c>
      <c r="J85" s="47" t="s">
        <v>116</v>
      </c>
      <c r="S85" s="14" t="s">
        <v>596</v>
      </c>
      <c r="V85" s="197"/>
    </row>
    <row r="86" spans="1:22" ht="18" customHeight="1">
      <c r="A86" s="196"/>
      <c r="G86" s="639">
        <f>J57</f>
        <v>7.5</v>
      </c>
      <c r="H86" s="639"/>
      <c r="I86" s="27" t="str">
        <f>IF(G86&gt;J86,"&gt;","&lt;")</f>
        <v>&gt;</v>
      </c>
      <c r="J86" s="637">
        <f>J78</f>
        <v>1.69986744</v>
      </c>
      <c r="K86" s="639"/>
      <c r="S86" s="198" t="str">
        <f>IF(G86&gt;J86,"Satisfied","Not satisfied")</f>
        <v>Satisfied</v>
      </c>
      <c r="V86" s="197"/>
    </row>
    <row r="87" spans="1:22" ht="18" customHeight="1">
      <c r="A87" s="196"/>
      <c r="D87" s="14"/>
      <c r="H87" s="120"/>
      <c r="I87" s="27"/>
      <c r="R87" s="14"/>
      <c r="V87" s="197"/>
    </row>
    <row r="88" spans="1:22" ht="18" customHeight="1">
      <c r="A88" s="196"/>
      <c r="B88" s="28">
        <v>2</v>
      </c>
      <c r="D88" s="14"/>
      <c r="H88" s="256" t="s">
        <v>597</v>
      </c>
      <c r="I88" s="28" t="s">
        <v>487</v>
      </c>
      <c r="J88" s="14" t="s">
        <v>117</v>
      </c>
      <c r="K88" s="14"/>
      <c r="S88" s="14" t="s">
        <v>598</v>
      </c>
      <c r="V88" s="197"/>
    </row>
    <row r="89" spans="1:22" ht="18" customHeight="1">
      <c r="A89" s="196"/>
      <c r="D89" s="14"/>
      <c r="G89" s="637">
        <f>P73</f>
        <v>20</v>
      </c>
      <c r="H89" s="637"/>
      <c r="I89" s="27" t="str">
        <f>IF(G89&gt;J89,"&gt;","&lt;")</f>
        <v>&gt;</v>
      </c>
      <c r="J89" s="637">
        <f>J82</f>
        <v>9.3285427748701846</v>
      </c>
      <c r="K89" s="637"/>
      <c r="R89" s="14"/>
      <c r="S89" s="198" t="str">
        <f>IF(G89&gt;J89,"Satisfied","Not satisfied")</f>
        <v>Satisfied</v>
      </c>
      <c r="V89" s="197"/>
    </row>
    <row r="90" spans="1:22" ht="18"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650" t="str">
        <f>B50</f>
        <v>T1</v>
      </c>
      <c r="C95" s="651"/>
      <c r="D95" s="663" t="str">
        <f>D50</f>
        <v>Core5</v>
      </c>
      <c r="E95" s="664"/>
      <c r="F95" s="267"/>
      <c r="H95" s="639" t="str">
        <f>H50</f>
        <v>(Tariff Meter- Check)</v>
      </c>
      <c r="I95" s="639"/>
      <c r="J95" s="639"/>
      <c r="K95" s="639"/>
      <c r="L95" s="639"/>
      <c r="M95" s="639"/>
      <c r="P95" s="198"/>
      <c r="V95" s="197"/>
    </row>
    <row r="96" spans="1:22" ht="18" hidden="1" customHeight="1">
      <c r="A96" s="196"/>
      <c r="B96" s="660">
        <f>B51</f>
        <v>0</v>
      </c>
      <c r="C96" s="660"/>
      <c r="D96" s="665"/>
      <c r="E96" s="666"/>
      <c r="F96" s="267"/>
      <c r="V96" s="197"/>
    </row>
    <row r="97" spans="1:23" ht="18" hidden="1" customHeight="1">
      <c r="A97" s="196"/>
      <c r="H97" s="661" t="s">
        <v>401</v>
      </c>
      <c r="I97" s="661"/>
      <c r="J97" s="661" t="s">
        <v>402</v>
      </c>
      <c r="K97" s="661"/>
      <c r="L97" s="662" t="s">
        <v>403</v>
      </c>
      <c r="M97" s="662"/>
      <c r="V97" s="197"/>
    </row>
    <row r="98" spans="1:23" ht="18" hidden="1" customHeight="1">
      <c r="A98" s="196"/>
      <c r="B98" s="47" t="s">
        <v>404</v>
      </c>
      <c r="H98" s="650">
        <f>H53</f>
        <v>3150</v>
      </c>
      <c r="I98" s="651"/>
      <c r="J98" s="650">
        <f>J53</f>
        <v>2000</v>
      </c>
      <c r="K98" s="651"/>
      <c r="L98" s="652" t="str">
        <f>L53</f>
        <v>-</v>
      </c>
      <c r="M98" s="653"/>
      <c r="N98" s="203" t="s">
        <v>353</v>
      </c>
      <c r="O98" s="268">
        <f>O53</f>
        <v>1</v>
      </c>
      <c r="P98" s="27" t="s">
        <v>9</v>
      </c>
      <c r="V98" s="197"/>
    </row>
    <row r="99" spans="1:23" ht="18" hidden="1" customHeight="1">
      <c r="A99" s="196"/>
      <c r="B99" s="47" t="s">
        <v>405</v>
      </c>
      <c r="H99" s="14"/>
      <c r="I99" s="14"/>
      <c r="K99" s="14"/>
      <c r="L99" s="650" t="str">
        <f>J54</f>
        <v>0.2sFS5</v>
      </c>
      <c r="M99" s="651"/>
      <c r="N99" s="14"/>
      <c r="V99" s="197"/>
    </row>
    <row r="100" spans="1:23" ht="18" hidden="1" customHeight="1">
      <c r="A100" s="196"/>
      <c r="B100" s="47" t="s">
        <v>407</v>
      </c>
      <c r="I100" s="120"/>
      <c r="K100" s="120" t="s">
        <v>508</v>
      </c>
      <c r="L100" s="656" t="s">
        <v>7</v>
      </c>
      <c r="M100" s="657"/>
      <c r="N100" s="204" t="s">
        <v>344</v>
      </c>
      <c r="T100" s="307"/>
      <c r="U100" s="18"/>
      <c r="V100" s="197"/>
    </row>
    <row r="101" spans="1:23" ht="18" hidden="1" customHeight="1">
      <c r="A101" s="196"/>
      <c r="B101" s="30" t="s">
        <v>579</v>
      </c>
      <c r="I101" s="120"/>
      <c r="K101" s="120" t="s">
        <v>580</v>
      </c>
      <c r="L101" s="656" t="s">
        <v>7</v>
      </c>
      <c r="M101" s="657"/>
      <c r="T101" s="307"/>
      <c r="U101" s="18"/>
      <c r="V101" s="197"/>
      <c r="W101" s="30" t="e">
        <f>J130</f>
        <v>#VALUE!</v>
      </c>
    </row>
    <row r="102" spans="1:23" ht="18" hidden="1" customHeight="1">
      <c r="A102" s="196"/>
      <c r="B102" s="47" t="s">
        <v>573</v>
      </c>
      <c r="I102" s="120"/>
      <c r="K102" s="120" t="s">
        <v>504</v>
      </c>
      <c r="L102" s="656" t="s">
        <v>7</v>
      </c>
      <c r="M102" s="657"/>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648">
        <f t="shared" ref="J106:J111" si="1">J61</f>
        <v>8.0000000000000002E-3</v>
      </c>
      <c r="K106" s="649"/>
      <c r="L106" s="3" t="s">
        <v>168</v>
      </c>
      <c r="N106" s="209" t="s">
        <v>521</v>
      </c>
      <c r="V106" s="197"/>
    </row>
    <row r="107" spans="1:23" ht="18" hidden="1" customHeight="1">
      <c r="A107" s="196"/>
      <c r="B107" s="96" t="s">
        <v>416</v>
      </c>
      <c r="D107" s="308" t="str">
        <f>D62</f>
        <v>GOSSEN</v>
      </c>
      <c r="I107" s="189" t="s">
        <v>138</v>
      </c>
      <c r="J107" s="642">
        <f t="shared" si="1"/>
        <v>0.25</v>
      </c>
      <c r="K107" s="643"/>
      <c r="L107" s="210" t="s">
        <v>168</v>
      </c>
      <c r="P107" s="256"/>
      <c r="V107" s="197"/>
    </row>
    <row r="108" spans="1:23" ht="18" hidden="1" customHeight="1">
      <c r="A108" s="196"/>
      <c r="B108" s="96" t="s">
        <v>416</v>
      </c>
      <c r="C108" s="14"/>
      <c r="D108" s="47">
        <f>D63</f>
        <v>0</v>
      </c>
      <c r="E108" s="14"/>
      <c r="G108" s="211"/>
      <c r="H108" s="27"/>
      <c r="I108" s="101" t="s">
        <v>138</v>
      </c>
      <c r="J108" s="644">
        <f t="shared" si="1"/>
        <v>0</v>
      </c>
      <c r="K108" s="645"/>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644">
        <f t="shared" si="1"/>
        <v>0</v>
      </c>
      <c r="K109" s="645"/>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646">
        <f t="shared" si="1"/>
        <v>1.44186744</v>
      </c>
      <c r="K110" s="647"/>
      <c r="L110" s="309" t="s">
        <v>168</v>
      </c>
      <c r="O110" s="27" t="s">
        <v>138</v>
      </c>
      <c r="P110" s="637" t="e">
        <f>P109*R109*T109</f>
        <v>#VALUE!</v>
      </c>
      <c r="Q110" s="639"/>
      <c r="R110" s="27" t="s">
        <v>168</v>
      </c>
      <c r="S110" s="27"/>
      <c r="T110" s="27"/>
      <c r="V110" s="197"/>
    </row>
    <row r="111" spans="1:23" ht="18" hidden="1" customHeight="1">
      <c r="A111" s="196"/>
      <c r="B111" s="1" t="s">
        <v>424</v>
      </c>
      <c r="C111" s="2"/>
      <c r="D111" s="2"/>
      <c r="E111" s="2"/>
      <c r="F111" s="208"/>
      <c r="G111" s="208"/>
      <c r="H111" s="236" t="s">
        <v>523</v>
      </c>
      <c r="I111" s="195" t="s">
        <v>138</v>
      </c>
      <c r="J111" s="897">
        <f t="shared" si="1"/>
        <v>1.69986744</v>
      </c>
      <c r="K111" s="649"/>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705">
        <f>S75</f>
        <v>20</v>
      </c>
      <c r="T113" s="707"/>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637" t="e">
        <f>P110</f>
        <v>#VALUE!</v>
      </c>
      <c r="K116" s="639"/>
      <c r="L116" s="28" t="s">
        <v>358</v>
      </c>
      <c r="M116" s="637">
        <f>J111</f>
        <v>1.69986744</v>
      </c>
      <c r="N116" s="639"/>
      <c r="V116" s="197"/>
    </row>
    <row r="117" spans="1:22" ht="18" hidden="1" customHeight="1">
      <c r="A117" s="196"/>
      <c r="I117" s="28" t="s">
        <v>138</v>
      </c>
      <c r="J117" s="637" t="e">
        <f>J116+M116</f>
        <v>#VALUE!</v>
      </c>
      <c r="K117" s="639"/>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1.69986744</v>
      </c>
      <c r="S120" s="308" t="s">
        <v>361</v>
      </c>
      <c r="V120" s="197"/>
    </row>
    <row r="121" spans="1:22" ht="18" hidden="1" customHeight="1">
      <c r="A121" s="196"/>
      <c r="I121" s="27" t="s">
        <v>138</v>
      </c>
      <c r="J121" s="640" t="e">
        <f>J120*((L120+N120)/(P120+R120))</f>
        <v>#VALUE!</v>
      </c>
      <c r="K121" s="640"/>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639" t="str">
        <f>L102</f>
        <v>-</v>
      </c>
      <c r="H125" s="639"/>
      <c r="I125" s="27" t="e">
        <f>IF(G125&gt;J125,"&gt;","&lt;")</f>
        <v>#VALUE!</v>
      </c>
      <c r="J125" s="637" t="e">
        <f>J117</f>
        <v>#VALUE!</v>
      </c>
      <c r="K125" s="639"/>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637">
        <f>S113</f>
        <v>20</v>
      </c>
      <c r="H128" s="637"/>
      <c r="I128" s="27" t="e">
        <f>IF(G128&gt;J128,"&gt;","&lt;")</f>
        <v>#VALUE!</v>
      </c>
      <c r="J128" s="637" t="e">
        <f>J121</f>
        <v>#VALUE!</v>
      </c>
      <c r="K128" s="637"/>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614" t="s">
        <v>97</v>
      </c>
      <c r="B140" s="620"/>
      <c r="C140" s="615"/>
      <c r="D140" s="614" t="s">
        <v>98</v>
      </c>
      <c r="E140" s="620"/>
      <c r="F140" s="615"/>
      <c r="G140" s="614" t="s">
        <v>99</v>
      </c>
      <c r="H140" s="615"/>
      <c r="I140" s="614" t="s">
        <v>100</v>
      </c>
      <c r="J140" s="615"/>
      <c r="K140" s="614" t="s">
        <v>513</v>
      </c>
      <c r="L140" s="615"/>
      <c r="M140" s="614" t="s">
        <v>114</v>
      </c>
      <c r="N140" s="615"/>
      <c r="O140" s="614"/>
      <c r="P140" s="615"/>
      <c r="Q140" s="614" t="s">
        <v>516</v>
      </c>
      <c r="R140" s="615"/>
      <c r="S140" s="614" t="s">
        <v>105</v>
      </c>
      <c r="T140" s="620"/>
      <c r="U140" s="620"/>
      <c r="V140" s="615"/>
    </row>
    <row r="141" spans="1:22" ht="18" customHeight="1">
      <c r="A141" s="616"/>
      <c r="B141" s="621"/>
      <c r="C141" s="617"/>
      <c r="D141" s="616"/>
      <c r="E141" s="621"/>
      <c r="F141" s="617"/>
      <c r="G141" s="616"/>
      <c r="H141" s="617"/>
      <c r="I141" s="616"/>
      <c r="J141" s="617"/>
      <c r="K141" s="616"/>
      <c r="L141" s="617"/>
      <c r="M141" s="616"/>
      <c r="N141" s="617"/>
      <c r="O141" s="616"/>
      <c r="P141" s="617"/>
      <c r="Q141" s="616"/>
      <c r="R141" s="617"/>
      <c r="S141" s="616"/>
      <c r="T141" s="621"/>
      <c r="U141" s="621"/>
      <c r="V141" s="617"/>
    </row>
    <row r="142" spans="1:22" ht="18" customHeight="1">
      <c r="A142" s="616"/>
      <c r="B142" s="621"/>
      <c r="C142" s="617"/>
      <c r="D142" s="616"/>
      <c r="E142" s="621"/>
      <c r="F142" s="617"/>
      <c r="G142" s="616"/>
      <c r="H142" s="617"/>
      <c r="I142" s="616"/>
      <c r="J142" s="617"/>
      <c r="K142" s="616"/>
      <c r="L142" s="617"/>
      <c r="M142" s="616"/>
      <c r="N142" s="617"/>
      <c r="O142" s="616"/>
      <c r="P142" s="617"/>
      <c r="Q142" s="616"/>
      <c r="R142" s="617"/>
      <c r="S142" s="616"/>
      <c r="T142" s="621"/>
      <c r="U142" s="621"/>
      <c r="V142" s="617"/>
    </row>
    <row r="143" spans="1:22" ht="18" customHeight="1">
      <c r="A143" s="618"/>
      <c r="B143" s="622"/>
      <c r="C143" s="619"/>
      <c r="D143" s="618"/>
      <c r="E143" s="622"/>
      <c r="F143" s="619"/>
      <c r="G143" s="618"/>
      <c r="H143" s="619"/>
      <c r="I143" s="618"/>
      <c r="J143" s="619"/>
      <c r="K143" s="618"/>
      <c r="L143" s="619"/>
      <c r="M143" s="618"/>
      <c r="N143" s="619"/>
      <c r="O143" s="618"/>
      <c r="P143" s="619"/>
      <c r="Q143" s="618"/>
      <c r="R143" s="619"/>
      <c r="S143" s="618"/>
      <c r="T143" s="622"/>
      <c r="U143" s="622"/>
      <c r="V143" s="619"/>
    </row>
    <row r="144" spans="1:22" ht="18" customHeight="1">
      <c r="A144" s="623" t="str">
        <f>B95</f>
        <v>T1</v>
      </c>
      <c r="B144" s="623" t="str">
        <f>D95</f>
        <v>Core5</v>
      </c>
      <c r="C144" s="623"/>
      <c r="D144" s="613">
        <f>H98</f>
        <v>3150</v>
      </c>
      <c r="E144" s="613"/>
      <c r="F144" s="624">
        <f>O98</f>
        <v>1</v>
      </c>
      <c r="G144" s="627">
        <f>'CT-VT Burdens'!S19</f>
        <v>80</v>
      </c>
      <c r="H144" s="630">
        <f>'CT-VT Burdens'!S10</f>
        <v>2.5</v>
      </c>
      <c r="I144" s="783" t="str">
        <f>L99</f>
        <v>0.2sFS5</v>
      </c>
      <c r="J144" s="783"/>
      <c r="K144" s="612">
        <f>H12</f>
        <v>9</v>
      </c>
      <c r="L144" s="612"/>
      <c r="M144" s="612">
        <f>H14</f>
        <v>10</v>
      </c>
      <c r="N144" s="612"/>
      <c r="O144" s="613" t="s">
        <v>7</v>
      </c>
      <c r="P144" s="613"/>
      <c r="Q144" s="629" t="str">
        <f>CONCATENATE(T7," ",T8," ",T9," ",T10)</f>
        <v xml:space="preserve">XC-RACK GOSSEN  </v>
      </c>
      <c r="R144" s="629"/>
      <c r="S144" s="628" t="str">
        <f>J47</f>
        <v>Suitable Dimensions</v>
      </c>
      <c r="T144" s="628"/>
      <c r="U144" s="628"/>
      <c r="V144" s="628"/>
    </row>
    <row r="145" spans="1:22" ht="18" customHeight="1">
      <c r="A145" s="623"/>
      <c r="B145" s="623"/>
      <c r="C145" s="623"/>
      <c r="D145" s="613">
        <f>J98</f>
        <v>2000</v>
      </c>
      <c r="E145" s="613"/>
      <c r="F145" s="625"/>
      <c r="G145" s="627"/>
      <c r="H145" s="630"/>
      <c r="I145" s="783"/>
      <c r="J145" s="783"/>
      <c r="K145" s="612">
        <f>J55</f>
        <v>5</v>
      </c>
      <c r="L145" s="612"/>
      <c r="M145" s="612">
        <f>J57</f>
        <v>7.5</v>
      </c>
      <c r="N145" s="612"/>
      <c r="O145" s="613" t="s">
        <v>7</v>
      </c>
      <c r="P145" s="613"/>
      <c r="Q145" s="629"/>
      <c r="R145" s="629"/>
      <c r="S145" s="628" t="str">
        <f>J90</f>
        <v>Suitable Dimensions</v>
      </c>
      <c r="T145" s="628"/>
      <c r="U145" s="628"/>
      <c r="V145" s="628"/>
    </row>
    <row r="146" spans="1:22" ht="18" customHeight="1">
      <c r="A146" s="623"/>
      <c r="B146" s="623"/>
      <c r="C146" s="623"/>
      <c r="D146" s="613" t="s">
        <v>7</v>
      </c>
      <c r="E146" s="613"/>
      <c r="F146" s="626"/>
      <c r="G146" s="627"/>
      <c r="H146" s="630"/>
      <c r="I146" s="783"/>
      <c r="J146" s="783"/>
      <c r="K146" s="612" t="s">
        <v>7</v>
      </c>
      <c r="L146" s="612"/>
      <c r="M146" s="612" t="s">
        <v>7</v>
      </c>
      <c r="N146" s="612"/>
      <c r="O146" s="613" t="s">
        <v>7</v>
      </c>
      <c r="P146" s="613"/>
      <c r="Q146" s="629"/>
      <c r="R146" s="629"/>
      <c r="S146" s="628" t="s">
        <v>7</v>
      </c>
      <c r="T146" s="628"/>
      <c r="U146" s="628"/>
      <c r="V146" s="628"/>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277"/>
      <c r="B177" s="251"/>
      <c r="C177" s="251"/>
      <c r="D177" s="251"/>
      <c r="E177" s="251"/>
      <c r="F177" s="251"/>
      <c r="G177" s="251"/>
      <c r="H177" s="251"/>
      <c r="I177" s="251"/>
      <c r="J177" s="93"/>
      <c r="K177" s="93"/>
      <c r="L177" s="251"/>
      <c r="M177" s="251"/>
      <c r="N177" s="251"/>
      <c r="O177" s="251"/>
      <c r="P177" s="251"/>
      <c r="Q177" s="251"/>
      <c r="R177" s="251"/>
      <c r="S177" s="251"/>
      <c r="T177" s="251"/>
      <c r="U177" s="103"/>
      <c r="V177" s="322"/>
    </row>
    <row r="178" spans="1:22" ht="18" customHeight="1">
      <c r="A178" s="196"/>
      <c r="V178" s="197"/>
    </row>
    <row r="179" spans="1:22" s="14" customFormat="1" ht="18" customHeight="1">
      <c r="A179" s="206"/>
      <c r="B179" s="207"/>
      <c r="C179" s="207"/>
      <c r="D179" s="207"/>
      <c r="E179" s="207"/>
      <c r="F179" s="207"/>
      <c r="G179" s="207"/>
      <c r="H179" s="207"/>
      <c r="I179" s="207"/>
      <c r="J179" s="207"/>
      <c r="K179" s="207"/>
      <c r="L179" s="207"/>
      <c r="M179" s="207"/>
      <c r="N179" s="207"/>
      <c r="O179" s="207"/>
      <c r="P179" s="207"/>
      <c r="Q179" s="236"/>
      <c r="R179" s="194"/>
      <c r="S179" s="237"/>
      <c r="T179" s="207"/>
      <c r="U179" s="207"/>
      <c r="V179" s="140"/>
    </row>
  </sheetData>
  <mergeCells count="157">
    <mergeCell ref="T50:U50"/>
    <mergeCell ref="T51:U51"/>
    <mergeCell ref="T52:U52"/>
    <mergeCell ref="T53:U53"/>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B7:C8"/>
    <mergeCell ref="D7:E8"/>
    <mergeCell ref="H7:M7"/>
    <mergeCell ref="T7:U7"/>
    <mergeCell ref="T8:U8"/>
    <mergeCell ref="H9:I9"/>
    <mergeCell ref="J9:K9"/>
    <mergeCell ref="L9:M9"/>
    <mergeCell ref="T9:U9"/>
    <mergeCell ref="H12:I12"/>
    <mergeCell ref="H13:I13"/>
    <mergeCell ref="H14:I14"/>
    <mergeCell ref="J18:K18"/>
    <mergeCell ref="J19:K19"/>
    <mergeCell ref="J20:K20"/>
    <mergeCell ref="H10:I10"/>
    <mergeCell ref="J10:K10"/>
    <mergeCell ref="L10:M10"/>
    <mergeCell ref="S32:T32"/>
    <mergeCell ref="J35:K35"/>
    <mergeCell ref="M35:N35"/>
    <mergeCell ref="J21:K21"/>
    <mergeCell ref="J22:K22"/>
    <mergeCell ref="P22:Q22"/>
    <mergeCell ref="J23:K23"/>
    <mergeCell ref="P25:Q25"/>
    <mergeCell ref="P26:Q26"/>
    <mergeCell ref="J36:K36"/>
    <mergeCell ref="J39:K39"/>
    <mergeCell ref="G43:H43"/>
    <mergeCell ref="J43:K43"/>
    <mergeCell ref="G46:H46"/>
    <mergeCell ref="J46:K46"/>
    <mergeCell ref="P27:Q27"/>
    <mergeCell ref="P28:Q28"/>
    <mergeCell ref="P29:Q29"/>
    <mergeCell ref="P30:Q30"/>
    <mergeCell ref="H53:I53"/>
    <mergeCell ref="J53:K53"/>
    <mergeCell ref="L53:M53"/>
    <mergeCell ref="J54:K54"/>
    <mergeCell ref="J55:K55"/>
    <mergeCell ref="J56:K56"/>
    <mergeCell ref="B50:C50"/>
    <mergeCell ref="D50:E51"/>
    <mergeCell ref="H50:M50"/>
    <mergeCell ref="B51:C51"/>
    <mergeCell ref="H52:I52"/>
    <mergeCell ref="J52:K52"/>
    <mergeCell ref="L52:M52"/>
    <mergeCell ref="P65:Q65"/>
    <mergeCell ref="J66:K66"/>
    <mergeCell ref="P68:Q68"/>
    <mergeCell ref="P69:Q69"/>
    <mergeCell ref="P70:Q70"/>
    <mergeCell ref="P71:Q71"/>
    <mergeCell ref="J57:K57"/>
    <mergeCell ref="J61:K61"/>
    <mergeCell ref="J62:K62"/>
    <mergeCell ref="J63:K63"/>
    <mergeCell ref="J64:K64"/>
    <mergeCell ref="J65:K65"/>
    <mergeCell ref="B95:C95"/>
    <mergeCell ref="D95:E96"/>
    <mergeCell ref="H95:M95"/>
    <mergeCell ref="B96:C96"/>
    <mergeCell ref="P72:Q72"/>
    <mergeCell ref="P73:Q73"/>
    <mergeCell ref="S75:T75"/>
    <mergeCell ref="J78:K78"/>
    <mergeCell ref="M78:N78"/>
    <mergeCell ref="J82:K82"/>
    <mergeCell ref="H97:I97"/>
    <mergeCell ref="J97:K97"/>
    <mergeCell ref="L97:M97"/>
    <mergeCell ref="H98:I98"/>
    <mergeCell ref="J98:K98"/>
    <mergeCell ref="L98:M98"/>
    <mergeCell ref="G86:H86"/>
    <mergeCell ref="J86:K86"/>
    <mergeCell ref="G89:H89"/>
    <mergeCell ref="J89:K89"/>
    <mergeCell ref="J108:K108"/>
    <mergeCell ref="J109:K109"/>
    <mergeCell ref="J110:K110"/>
    <mergeCell ref="P110:Q110"/>
    <mergeCell ref="J111:K111"/>
    <mergeCell ref="S113:T113"/>
    <mergeCell ref="L99:M99"/>
    <mergeCell ref="L100:M100"/>
    <mergeCell ref="L101:M101"/>
    <mergeCell ref="L102:M102"/>
    <mergeCell ref="J106:K106"/>
    <mergeCell ref="J107:K107"/>
    <mergeCell ref="Q144:R146"/>
    <mergeCell ref="G128:H128"/>
    <mergeCell ref="J128:K128"/>
    <mergeCell ref="A140:C143"/>
    <mergeCell ref="D140:F143"/>
    <mergeCell ref="G140:H143"/>
    <mergeCell ref="I140:J143"/>
    <mergeCell ref="K140:L143"/>
    <mergeCell ref="J116:K116"/>
    <mergeCell ref="M116:N116"/>
    <mergeCell ref="J117:K117"/>
    <mergeCell ref="J121:K121"/>
    <mergeCell ref="G125:H125"/>
    <mergeCell ref="J125:K125"/>
    <mergeCell ref="M140:N143"/>
    <mergeCell ref="S144:V144"/>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s>
  <conditionalFormatting sqref="I47:J47 I90:J92 I129:J135">
    <cfRule type="cellIs" dxfId="62" priority="2" stopIfTrue="1" operator="equal">
      <formula>"Not suitable"</formula>
    </cfRule>
  </conditionalFormatting>
  <conditionalFormatting sqref="S43 S46 S86 S89 S125 S128">
    <cfRule type="cellIs" dxfId="61" priority="1" stopIfTrue="1" operator="equal">
      <formula>"Not satisfied"</formula>
    </cfRule>
  </conditionalFormatting>
  <dataValidations count="2">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40:E65541 IZ65540:JA65541 SV65540:SW65541 ACR65540:ACS65541 AMN65540:AMO65541 AWJ65540:AWK65541 BGF65540:BGG65541 BQB65540:BQC65541 BZX65540:BZY65541 CJT65540:CJU65541 CTP65540:CTQ65541 DDL65540:DDM65541 DNH65540:DNI65541 DXD65540:DXE65541 EGZ65540:EHA65541 EQV65540:EQW65541 FAR65540:FAS65541 FKN65540:FKO65541 FUJ65540:FUK65541 GEF65540:GEG65541 GOB65540:GOC65541 GXX65540:GXY65541 HHT65540:HHU65541 HRP65540:HRQ65541 IBL65540:IBM65541 ILH65540:ILI65541 IVD65540:IVE65541 JEZ65540:JFA65541 JOV65540:JOW65541 JYR65540:JYS65541 KIN65540:KIO65541 KSJ65540:KSK65541 LCF65540:LCG65541 LMB65540:LMC65541 LVX65540:LVY65541 MFT65540:MFU65541 MPP65540:MPQ65541 MZL65540:MZM65541 NJH65540:NJI65541 NTD65540:NTE65541 OCZ65540:ODA65541 OMV65540:OMW65541 OWR65540:OWS65541 PGN65540:PGO65541 PQJ65540:PQK65541 QAF65540:QAG65541 QKB65540:QKC65541 QTX65540:QTY65541 RDT65540:RDU65541 RNP65540:RNQ65541 RXL65540:RXM65541 SHH65540:SHI65541 SRD65540:SRE65541 TAZ65540:TBA65541 TKV65540:TKW65541 TUR65540:TUS65541 UEN65540:UEO65541 UOJ65540:UOK65541 UYF65540:UYG65541 VIB65540:VIC65541 VRX65540:VRY65541 WBT65540:WBU65541 WLP65540:WLQ65541 WVL65540:WVM65541 D131076:E131077 IZ131076:JA131077 SV131076:SW131077 ACR131076:ACS131077 AMN131076:AMO131077 AWJ131076:AWK131077 BGF131076:BGG131077 BQB131076:BQC131077 BZX131076:BZY131077 CJT131076:CJU131077 CTP131076:CTQ131077 DDL131076:DDM131077 DNH131076:DNI131077 DXD131076:DXE131077 EGZ131076:EHA131077 EQV131076:EQW131077 FAR131076:FAS131077 FKN131076:FKO131077 FUJ131076:FUK131077 GEF131076:GEG131077 GOB131076:GOC131077 GXX131076:GXY131077 HHT131076:HHU131077 HRP131076:HRQ131077 IBL131076:IBM131077 ILH131076:ILI131077 IVD131076:IVE131077 JEZ131076:JFA131077 JOV131076:JOW131077 JYR131076:JYS131077 KIN131076:KIO131077 KSJ131076:KSK131077 LCF131076:LCG131077 LMB131076:LMC131077 LVX131076:LVY131077 MFT131076:MFU131077 MPP131076:MPQ131077 MZL131076:MZM131077 NJH131076:NJI131077 NTD131076:NTE131077 OCZ131076:ODA131077 OMV131076:OMW131077 OWR131076:OWS131077 PGN131076:PGO131077 PQJ131076:PQK131077 QAF131076:QAG131077 QKB131076:QKC131077 QTX131076:QTY131077 RDT131076:RDU131077 RNP131076:RNQ131077 RXL131076:RXM131077 SHH131076:SHI131077 SRD131076:SRE131077 TAZ131076:TBA131077 TKV131076:TKW131077 TUR131076:TUS131077 UEN131076:UEO131077 UOJ131076:UOK131077 UYF131076:UYG131077 VIB131076:VIC131077 VRX131076:VRY131077 WBT131076:WBU131077 WLP131076:WLQ131077 WVL131076:WVM131077 D196612:E196613 IZ196612:JA196613 SV196612:SW196613 ACR196612:ACS196613 AMN196612:AMO196613 AWJ196612:AWK196613 BGF196612:BGG196613 BQB196612:BQC196613 BZX196612:BZY196613 CJT196612:CJU196613 CTP196612:CTQ196613 DDL196612:DDM196613 DNH196612:DNI196613 DXD196612:DXE196613 EGZ196612:EHA196613 EQV196612:EQW196613 FAR196612:FAS196613 FKN196612:FKO196613 FUJ196612:FUK196613 GEF196612:GEG196613 GOB196612:GOC196613 GXX196612:GXY196613 HHT196612:HHU196613 HRP196612:HRQ196613 IBL196612:IBM196613 ILH196612:ILI196613 IVD196612:IVE196613 JEZ196612:JFA196613 JOV196612:JOW196613 JYR196612:JYS196613 KIN196612:KIO196613 KSJ196612:KSK196613 LCF196612:LCG196613 LMB196612:LMC196613 LVX196612:LVY196613 MFT196612:MFU196613 MPP196612:MPQ196613 MZL196612:MZM196613 NJH196612:NJI196613 NTD196612:NTE196613 OCZ196612:ODA196613 OMV196612:OMW196613 OWR196612:OWS196613 PGN196612:PGO196613 PQJ196612:PQK196613 QAF196612:QAG196613 QKB196612:QKC196613 QTX196612:QTY196613 RDT196612:RDU196613 RNP196612:RNQ196613 RXL196612:RXM196613 SHH196612:SHI196613 SRD196612:SRE196613 TAZ196612:TBA196613 TKV196612:TKW196613 TUR196612:TUS196613 UEN196612:UEO196613 UOJ196612:UOK196613 UYF196612:UYG196613 VIB196612:VIC196613 VRX196612:VRY196613 WBT196612:WBU196613 WLP196612:WLQ196613 WVL196612:WVM196613 D262148:E262149 IZ262148:JA262149 SV262148:SW262149 ACR262148:ACS262149 AMN262148:AMO262149 AWJ262148:AWK262149 BGF262148:BGG262149 BQB262148:BQC262149 BZX262148:BZY262149 CJT262148:CJU262149 CTP262148:CTQ262149 DDL262148:DDM262149 DNH262148:DNI262149 DXD262148:DXE262149 EGZ262148:EHA262149 EQV262148:EQW262149 FAR262148:FAS262149 FKN262148:FKO262149 FUJ262148:FUK262149 GEF262148:GEG262149 GOB262148:GOC262149 GXX262148:GXY262149 HHT262148:HHU262149 HRP262148:HRQ262149 IBL262148:IBM262149 ILH262148:ILI262149 IVD262148:IVE262149 JEZ262148:JFA262149 JOV262148:JOW262149 JYR262148:JYS262149 KIN262148:KIO262149 KSJ262148:KSK262149 LCF262148:LCG262149 LMB262148:LMC262149 LVX262148:LVY262149 MFT262148:MFU262149 MPP262148:MPQ262149 MZL262148:MZM262149 NJH262148:NJI262149 NTD262148:NTE262149 OCZ262148:ODA262149 OMV262148:OMW262149 OWR262148:OWS262149 PGN262148:PGO262149 PQJ262148:PQK262149 QAF262148:QAG262149 QKB262148:QKC262149 QTX262148:QTY262149 RDT262148:RDU262149 RNP262148:RNQ262149 RXL262148:RXM262149 SHH262148:SHI262149 SRD262148:SRE262149 TAZ262148:TBA262149 TKV262148:TKW262149 TUR262148:TUS262149 UEN262148:UEO262149 UOJ262148:UOK262149 UYF262148:UYG262149 VIB262148:VIC262149 VRX262148:VRY262149 WBT262148:WBU262149 WLP262148:WLQ262149 WVL262148:WVM262149 D327684:E327685 IZ327684:JA327685 SV327684:SW327685 ACR327684:ACS327685 AMN327684:AMO327685 AWJ327684:AWK327685 BGF327684:BGG327685 BQB327684:BQC327685 BZX327684:BZY327685 CJT327684:CJU327685 CTP327684:CTQ327685 DDL327684:DDM327685 DNH327684:DNI327685 DXD327684:DXE327685 EGZ327684:EHA327685 EQV327684:EQW327685 FAR327684:FAS327685 FKN327684:FKO327685 FUJ327684:FUK327685 GEF327684:GEG327685 GOB327684:GOC327685 GXX327684:GXY327685 HHT327684:HHU327685 HRP327684:HRQ327685 IBL327684:IBM327685 ILH327684:ILI327685 IVD327684:IVE327685 JEZ327684:JFA327685 JOV327684:JOW327685 JYR327684:JYS327685 KIN327684:KIO327685 KSJ327684:KSK327685 LCF327684:LCG327685 LMB327684:LMC327685 LVX327684:LVY327685 MFT327684:MFU327685 MPP327684:MPQ327685 MZL327684:MZM327685 NJH327684:NJI327685 NTD327684:NTE327685 OCZ327684:ODA327685 OMV327684:OMW327685 OWR327684:OWS327685 PGN327684:PGO327685 PQJ327684:PQK327685 QAF327684:QAG327685 QKB327684:QKC327685 QTX327684:QTY327685 RDT327684:RDU327685 RNP327684:RNQ327685 RXL327684:RXM327685 SHH327684:SHI327685 SRD327684:SRE327685 TAZ327684:TBA327685 TKV327684:TKW327685 TUR327684:TUS327685 UEN327684:UEO327685 UOJ327684:UOK327685 UYF327684:UYG327685 VIB327684:VIC327685 VRX327684:VRY327685 WBT327684:WBU327685 WLP327684:WLQ327685 WVL327684:WVM327685 D393220:E393221 IZ393220:JA393221 SV393220:SW393221 ACR393220:ACS393221 AMN393220:AMO393221 AWJ393220:AWK393221 BGF393220:BGG393221 BQB393220:BQC393221 BZX393220:BZY393221 CJT393220:CJU393221 CTP393220:CTQ393221 DDL393220:DDM393221 DNH393220:DNI393221 DXD393220:DXE393221 EGZ393220:EHA393221 EQV393220:EQW393221 FAR393220:FAS393221 FKN393220:FKO393221 FUJ393220:FUK393221 GEF393220:GEG393221 GOB393220:GOC393221 GXX393220:GXY393221 HHT393220:HHU393221 HRP393220:HRQ393221 IBL393220:IBM393221 ILH393220:ILI393221 IVD393220:IVE393221 JEZ393220:JFA393221 JOV393220:JOW393221 JYR393220:JYS393221 KIN393220:KIO393221 KSJ393220:KSK393221 LCF393220:LCG393221 LMB393220:LMC393221 LVX393220:LVY393221 MFT393220:MFU393221 MPP393220:MPQ393221 MZL393220:MZM393221 NJH393220:NJI393221 NTD393220:NTE393221 OCZ393220:ODA393221 OMV393220:OMW393221 OWR393220:OWS393221 PGN393220:PGO393221 PQJ393220:PQK393221 QAF393220:QAG393221 QKB393220:QKC393221 QTX393220:QTY393221 RDT393220:RDU393221 RNP393220:RNQ393221 RXL393220:RXM393221 SHH393220:SHI393221 SRD393220:SRE393221 TAZ393220:TBA393221 TKV393220:TKW393221 TUR393220:TUS393221 UEN393220:UEO393221 UOJ393220:UOK393221 UYF393220:UYG393221 VIB393220:VIC393221 VRX393220:VRY393221 WBT393220:WBU393221 WLP393220:WLQ393221 WVL393220:WVM393221 D458756:E458757 IZ458756:JA458757 SV458756:SW458757 ACR458756:ACS458757 AMN458756:AMO458757 AWJ458756:AWK458757 BGF458756:BGG458757 BQB458756:BQC458757 BZX458756:BZY458757 CJT458756:CJU458757 CTP458756:CTQ458757 DDL458756:DDM458757 DNH458756:DNI458757 DXD458756:DXE458757 EGZ458756:EHA458757 EQV458756:EQW458757 FAR458756:FAS458757 FKN458756:FKO458757 FUJ458756:FUK458757 GEF458756:GEG458757 GOB458756:GOC458757 GXX458756:GXY458757 HHT458756:HHU458757 HRP458756:HRQ458757 IBL458756:IBM458757 ILH458756:ILI458757 IVD458756:IVE458757 JEZ458756:JFA458757 JOV458756:JOW458757 JYR458756:JYS458757 KIN458756:KIO458757 KSJ458756:KSK458757 LCF458756:LCG458757 LMB458756:LMC458757 LVX458756:LVY458757 MFT458756:MFU458757 MPP458756:MPQ458757 MZL458756:MZM458757 NJH458756:NJI458757 NTD458756:NTE458757 OCZ458756:ODA458757 OMV458756:OMW458757 OWR458756:OWS458757 PGN458756:PGO458757 PQJ458756:PQK458757 QAF458756:QAG458757 QKB458756:QKC458757 QTX458756:QTY458757 RDT458756:RDU458757 RNP458756:RNQ458757 RXL458756:RXM458757 SHH458756:SHI458757 SRD458756:SRE458757 TAZ458756:TBA458757 TKV458756:TKW458757 TUR458756:TUS458757 UEN458756:UEO458757 UOJ458756:UOK458757 UYF458756:UYG458757 VIB458756:VIC458757 VRX458756:VRY458757 WBT458756:WBU458757 WLP458756:WLQ458757 WVL458756:WVM458757 D524292:E524293 IZ524292:JA524293 SV524292:SW524293 ACR524292:ACS524293 AMN524292:AMO524293 AWJ524292:AWK524293 BGF524292:BGG524293 BQB524292:BQC524293 BZX524292:BZY524293 CJT524292:CJU524293 CTP524292:CTQ524293 DDL524292:DDM524293 DNH524292:DNI524293 DXD524292:DXE524293 EGZ524292:EHA524293 EQV524292:EQW524293 FAR524292:FAS524293 FKN524292:FKO524293 FUJ524292:FUK524293 GEF524292:GEG524293 GOB524292:GOC524293 GXX524292:GXY524293 HHT524292:HHU524293 HRP524292:HRQ524293 IBL524292:IBM524293 ILH524292:ILI524293 IVD524292:IVE524293 JEZ524292:JFA524293 JOV524292:JOW524293 JYR524292:JYS524293 KIN524292:KIO524293 KSJ524292:KSK524293 LCF524292:LCG524293 LMB524292:LMC524293 LVX524292:LVY524293 MFT524292:MFU524293 MPP524292:MPQ524293 MZL524292:MZM524293 NJH524292:NJI524293 NTD524292:NTE524293 OCZ524292:ODA524293 OMV524292:OMW524293 OWR524292:OWS524293 PGN524292:PGO524293 PQJ524292:PQK524293 QAF524292:QAG524293 QKB524292:QKC524293 QTX524292:QTY524293 RDT524292:RDU524293 RNP524292:RNQ524293 RXL524292:RXM524293 SHH524292:SHI524293 SRD524292:SRE524293 TAZ524292:TBA524293 TKV524292:TKW524293 TUR524292:TUS524293 UEN524292:UEO524293 UOJ524292:UOK524293 UYF524292:UYG524293 VIB524292:VIC524293 VRX524292:VRY524293 WBT524292:WBU524293 WLP524292:WLQ524293 WVL524292:WVM524293 D589828:E589829 IZ589828:JA589829 SV589828:SW589829 ACR589828:ACS589829 AMN589828:AMO589829 AWJ589828:AWK589829 BGF589828:BGG589829 BQB589828:BQC589829 BZX589828:BZY589829 CJT589828:CJU589829 CTP589828:CTQ589829 DDL589828:DDM589829 DNH589828:DNI589829 DXD589828:DXE589829 EGZ589828:EHA589829 EQV589828:EQW589829 FAR589828:FAS589829 FKN589828:FKO589829 FUJ589828:FUK589829 GEF589828:GEG589829 GOB589828:GOC589829 GXX589828:GXY589829 HHT589828:HHU589829 HRP589828:HRQ589829 IBL589828:IBM589829 ILH589828:ILI589829 IVD589828:IVE589829 JEZ589828:JFA589829 JOV589828:JOW589829 JYR589828:JYS589829 KIN589828:KIO589829 KSJ589828:KSK589829 LCF589828:LCG589829 LMB589828:LMC589829 LVX589828:LVY589829 MFT589828:MFU589829 MPP589828:MPQ589829 MZL589828:MZM589829 NJH589828:NJI589829 NTD589828:NTE589829 OCZ589828:ODA589829 OMV589828:OMW589829 OWR589828:OWS589829 PGN589828:PGO589829 PQJ589828:PQK589829 QAF589828:QAG589829 QKB589828:QKC589829 QTX589828:QTY589829 RDT589828:RDU589829 RNP589828:RNQ589829 RXL589828:RXM589829 SHH589828:SHI589829 SRD589828:SRE589829 TAZ589828:TBA589829 TKV589828:TKW589829 TUR589828:TUS589829 UEN589828:UEO589829 UOJ589828:UOK589829 UYF589828:UYG589829 VIB589828:VIC589829 VRX589828:VRY589829 WBT589828:WBU589829 WLP589828:WLQ589829 WVL589828:WVM589829 D655364:E655365 IZ655364:JA655365 SV655364:SW655365 ACR655364:ACS655365 AMN655364:AMO655365 AWJ655364:AWK655365 BGF655364:BGG655365 BQB655364:BQC655365 BZX655364:BZY655365 CJT655364:CJU655365 CTP655364:CTQ655365 DDL655364:DDM655365 DNH655364:DNI655365 DXD655364:DXE655365 EGZ655364:EHA655365 EQV655364:EQW655365 FAR655364:FAS655365 FKN655364:FKO655365 FUJ655364:FUK655365 GEF655364:GEG655365 GOB655364:GOC655365 GXX655364:GXY655365 HHT655364:HHU655365 HRP655364:HRQ655365 IBL655364:IBM655365 ILH655364:ILI655365 IVD655364:IVE655365 JEZ655364:JFA655365 JOV655364:JOW655365 JYR655364:JYS655365 KIN655364:KIO655365 KSJ655364:KSK655365 LCF655364:LCG655365 LMB655364:LMC655365 LVX655364:LVY655365 MFT655364:MFU655365 MPP655364:MPQ655365 MZL655364:MZM655365 NJH655364:NJI655365 NTD655364:NTE655365 OCZ655364:ODA655365 OMV655364:OMW655365 OWR655364:OWS655365 PGN655364:PGO655365 PQJ655364:PQK655365 QAF655364:QAG655365 QKB655364:QKC655365 QTX655364:QTY655365 RDT655364:RDU655365 RNP655364:RNQ655365 RXL655364:RXM655365 SHH655364:SHI655365 SRD655364:SRE655365 TAZ655364:TBA655365 TKV655364:TKW655365 TUR655364:TUS655365 UEN655364:UEO655365 UOJ655364:UOK655365 UYF655364:UYG655365 VIB655364:VIC655365 VRX655364:VRY655365 WBT655364:WBU655365 WLP655364:WLQ655365 WVL655364:WVM655365 D720900:E720901 IZ720900:JA720901 SV720900:SW720901 ACR720900:ACS720901 AMN720900:AMO720901 AWJ720900:AWK720901 BGF720900:BGG720901 BQB720900:BQC720901 BZX720900:BZY720901 CJT720900:CJU720901 CTP720900:CTQ720901 DDL720900:DDM720901 DNH720900:DNI720901 DXD720900:DXE720901 EGZ720900:EHA720901 EQV720900:EQW720901 FAR720900:FAS720901 FKN720900:FKO720901 FUJ720900:FUK720901 GEF720900:GEG720901 GOB720900:GOC720901 GXX720900:GXY720901 HHT720900:HHU720901 HRP720900:HRQ720901 IBL720900:IBM720901 ILH720900:ILI720901 IVD720900:IVE720901 JEZ720900:JFA720901 JOV720900:JOW720901 JYR720900:JYS720901 KIN720900:KIO720901 KSJ720900:KSK720901 LCF720900:LCG720901 LMB720900:LMC720901 LVX720900:LVY720901 MFT720900:MFU720901 MPP720900:MPQ720901 MZL720900:MZM720901 NJH720900:NJI720901 NTD720900:NTE720901 OCZ720900:ODA720901 OMV720900:OMW720901 OWR720900:OWS720901 PGN720900:PGO720901 PQJ720900:PQK720901 QAF720900:QAG720901 QKB720900:QKC720901 QTX720900:QTY720901 RDT720900:RDU720901 RNP720900:RNQ720901 RXL720900:RXM720901 SHH720900:SHI720901 SRD720900:SRE720901 TAZ720900:TBA720901 TKV720900:TKW720901 TUR720900:TUS720901 UEN720900:UEO720901 UOJ720900:UOK720901 UYF720900:UYG720901 VIB720900:VIC720901 VRX720900:VRY720901 WBT720900:WBU720901 WLP720900:WLQ720901 WVL720900:WVM720901 D786436:E786437 IZ786436:JA786437 SV786436:SW786437 ACR786436:ACS786437 AMN786436:AMO786437 AWJ786436:AWK786437 BGF786436:BGG786437 BQB786436:BQC786437 BZX786436:BZY786437 CJT786436:CJU786437 CTP786436:CTQ786437 DDL786436:DDM786437 DNH786436:DNI786437 DXD786436:DXE786437 EGZ786436:EHA786437 EQV786436:EQW786437 FAR786436:FAS786437 FKN786436:FKO786437 FUJ786436:FUK786437 GEF786436:GEG786437 GOB786436:GOC786437 GXX786436:GXY786437 HHT786436:HHU786437 HRP786436:HRQ786437 IBL786436:IBM786437 ILH786436:ILI786437 IVD786436:IVE786437 JEZ786436:JFA786437 JOV786436:JOW786437 JYR786436:JYS786437 KIN786436:KIO786437 KSJ786436:KSK786437 LCF786436:LCG786437 LMB786436:LMC786437 LVX786436:LVY786437 MFT786436:MFU786437 MPP786436:MPQ786437 MZL786436:MZM786437 NJH786436:NJI786437 NTD786436:NTE786437 OCZ786436:ODA786437 OMV786436:OMW786437 OWR786436:OWS786437 PGN786436:PGO786437 PQJ786436:PQK786437 QAF786436:QAG786437 QKB786436:QKC786437 QTX786436:QTY786437 RDT786436:RDU786437 RNP786436:RNQ786437 RXL786436:RXM786437 SHH786436:SHI786437 SRD786436:SRE786437 TAZ786436:TBA786437 TKV786436:TKW786437 TUR786436:TUS786437 UEN786436:UEO786437 UOJ786436:UOK786437 UYF786436:UYG786437 VIB786436:VIC786437 VRX786436:VRY786437 WBT786436:WBU786437 WLP786436:WLQ786437 WVL786436:WVM786437 D851972:E851973 IZ851972:JA851973 SV851972:SW851973 ACR851972:ACS851973 AMN851972:AMO851973 AWJ851972:AWK851973 BGF851972:BGG851973 BQB851972:BQC851973 BZX851972:BZY851973 CJT851972:CJU851973 CTP851972:CTQ851973 DDL851972:DDM851973 DNH851972:DNI851973 DXD851972:DXE851973 EGZ851972:EHA851973 EQV851972:EQW851973 FAR851972:FAS851973 FKN851972:FKO851973 FUJ851972:FUK851973 GEF851972:GEG851973 GOB851972:GOC851973 GXX851972:GXY851973 HHT851972:HHU851973 HRP851972:HRQ851973 IBL851972:IBM851973 ILH851972:ILI851973 IVD851972:IVE851973 JEZ851972:JFA851973 JOV851972:JOW851973 JYR851972:JYS851973 KIN851972:KIO851973 KSJ851972:KSK851973 LCF851972:LCG851973 LMB851972:LMC851973 LVX851972:LVY851973 MFT851972:MFU851973 MPP851972:MPQ851973 MZL851972:MZM851973 NJH851972:NJI851973 NTD851972:NTE851973 OCZ851972:ODA851973 OMV851972:OMW851973 OWR851972:OWS851973 PGN851972:PGO851973 PQJ851972:PQK851973 QAF851972:QAG851973 QKB851972:QKC851973 QTX851972:QTY851973 RDT851972:RDU851973 RNP851972:RNQ851973 RXL851972:RXM851973 SHH851972:SHI851973 SRD851972:SRE851973 TAZ851972:TBA851973 TKV851972:TKW851973 TUR851972:TUS851973 UEN851972:UEO851973 UOJ851972:UOK851973 UYF851972:UYG851973 VIB851972:VIC851973 VRX851972:VRY851973 WBT851972:WBU851973 WLP851972:WLQ851973 WVL851972:WVM851973 D917508:E917509 IZ917508:JA917509 SV917508:SW917509 ACR917508:ACS917509 AMN917508:AMO917509 AWJ917508:AWK917509 BGF917508:BGG917509 BQB917508:BQC917509 BZX917508:BZY917509 CJT917508:CJU917509 CTP917508:CTQ917509 DDL917508:DDM917509 DNH917508:DNI917509 DXD917508:DXE917509 EGZ917508:EHA917509 EQV917508:EQW917509 FAR917508:FAS917509 FKN917508:FKO917509 FUJ917508:FUK917509 GEF917508:GEG917509 GOB917508:GOC917509 GXX917508:GXY917509 HHT917508:HHU917509 HRP917508:HRQ917509 IBL917508:IBM917509 ILH917508:ILI917509 IVD917508:IVE917509 JEZ917508:JFA917509 JOV917508:JOW917509 JYR917508:JYS917509 KIN917508:KIO917509 KSJ917508:KSK917509 LCF917508:LCG917509 LMB917508:LMC917509 LVX917508:LVY917509 MFT917508:MFU917509 MPP917508:MPQ917509 MZL917508:MZM917509 NJH917508:NJI917509 NTD917508:NTE917509 OCZ917508:ODA917509 OMV917508:OMW917509 OWR917508:OWS917509 PGN917508:PGO917509 PQJ917508:PQK917509 QAF917508:QAG917509 QKB917508:QKC917509 QTX917508:QTY917509 RDT917508:RDU917509 RNP917508:RNQ917509 RXL917508:RXM917509 SHH917508:SHI917509 SRD917508:SRE917509 TAZ917508:TBA917509 TKV917508:TKW917509 TUR917508:TUS917509 UEN917508:UEO917509 UOJ917508:UOK917509 UYF917508:UYG917509 VIB917508:VIC917509 VRX917508:VRY917509 WBT917508:WBU917509 WLP917508:WLQ917509 WVL917508:WVM917509 D983044:E983045 IZ983044:JA983045 SV983044:SW983045 ACR983044:ACS983045 AMN983044:AMO983045 AWJ983044:AWK983045 BGF983044:BGG983045 BQB983044:BQC983045 BZX983044:BZY983045 CJT983044:CJU983045 CTP983044:CTQ983045 DDL983044:DDM983045 DNH983044:DNI983045 DXD983044:DXE983045 EGZ983044:EHA983045 EQV983044:EQW983045 FAR983044:FAS983045 FKN983044:FKO983045 FUJ983044:FUK983045 GEF983044:GEG983045 GOB983044:GOC983045 GXX983044:GXY983045 HHT983044:HHU983045 HRP983044:HRQ983045 IBL983044:IBM983045 ILH983044:ILI983045 IVD983044:IVE983045 JEZ983044:JFA983045 JOV983044:JOW983045 JYR983044:JYS983045 KIN983044:KIO983045 KSJ983044:KSK983045 LCF983044:LCG983045 LMB983044:LMC983045 LVX983044:LVY983045 MFT983044:MFU983045 MPP983044:MPQ983045 MZL983044:MZM983045 NJH983044:NJI983045 NTD983044:NTE983045 OCZ983044:ODA983045 OMV983044:OMW983045 OWR983044:OWS983045 PGN983044:PGO983045 PQJ983044:PQK983045 QAF983044:QAG983045 QKB983044:QKC983045 QTX983044:QTY983045 RDT983044:RDU983045 RNP983044:RNQ983045 RXL983044:RXM983045 SHH983044:SHI983045 SRD983044:SRE983045 TAZ983044:TBA983045 TKV983044:TKW983045 TUR983044:TUS983045 UEN983044:UEO983045 UOJ983044:UOK983045 UYF983044:UYG983045 VIB983044:VIC983045 VRX983044:VRY983045 WBT983044:WBU983045 WLP983044:WLQ983045 WVL983044:WVM983045" xr:uid="{D625EBC6-95FE-44B9-BC5B-D128B3CF3DF2}">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30 IZ65630 SV65630 ACR65630 AMN65630 AWJ65630 BGF65630 BQB65630 BZX65630 CJT65630 CTP65630 DDL65630 DNH65630 DXD65630 EGZ65630 EQV65630 FAR65630 FKN65630 FUJ65630 GEF65630 GOB65630 GXX65630 HHT65630 HRP65630 IBL65630 ILH65630 IVD65630 JEZ65630 JOV65630 JYR65630 KIN65630 KSJ65630 LCF65630 LMB65630 LVX65630 MFT65630 MPP65630 MZL65630 NJH65630 NTD65630 OCZ65630 OMV65630 OWR65630 PGN65630 PQJ65630 QAF65630 QKB65630 QTX65630 RDT65630 RNP65630 RXL65630 SHH65630 SRD65630 TAZ65630 TKV65630 TUR65630 UEN65630 UOJ65630 UYF65630 VIB65630 VRX65630 WBT65630 WLP65630 WVL65630 D131166 IZ131166 SV131166 ACR131166 AMN131166 AWJ131166 BGF131166 BQB131166 BZX131166 CJT131166 CTP131166 DDL131166 DNH131166 DXD131166 EGZ131166 EQV131166 FAR131166 FKN131166 FUJ131166 GEF131166 GOB131166 GXX131166 HHT131166 HRP131166 IBL131166 ILH131166 IVD131166 JEZ131166 JOV131166 JYR131166 KIN131166 KSJ131166 LCF131166 LMB131166 LVX131166 MFT131166 MPP131166 MZL131166 NJH131166 NTD131166 OCZ131166 OMV131166 OWR131166 PGN131166 PQJ131166 QAF131166 QKB131166 QTX131166 RDT131166 RNP131166 RXL131166 SHH131166 SRD131166 TAZ131166 TKV131166 TUR131166 UEN131166 UOJ131166 UYF131166 VIB131166 VRX131166 WBT131166 WLP131166 WVL131166 D196702 IZ196702 SV196702 ACR196702 AMN196702 AWJ196702 BGF196702 BQB196702 BZX196702 CJT196702 CTP196702 DDL196702 DNH196702 DXD196702 EGZ196702 EQV196702 FAR196702 FKN196702 FUJ196702 GEF196702 GOB196702 GXX196702 HHT196702 HRP196702 IBL196702 ILH196702 IVD196702 JEZ196702 JOV196702 JYR196702 KIN196702 KSJ196702 LCF196702 LMB196702 LVX196702 MFT196702 MPP196702 MZL196702 NJH196702 NTD196702 OCZ196702 OMV196702 OWR196702 PGN196702 PQJ196702 QAF196702 QKB196702 QTX196702 RDT196702 RNP196702 RXL196702 SHH196702 SRD196702 TAZ196702 TKV196702 TUR196702 UEN196702 UOJ196702 UYF196702 VIB196702 VRX196702 WBT196702 WLP196702 WVL196702 D262238 IZ262238 SV262238 ACR262238 AMN262238 AWJ262238 BGF262238 BQB262238 BZX262238 CJT262238 CTP262238 DDL262238 DNH262238 DXD262238 EGZ262238 EQV262238 FAR262238 FKN262238 FUJ262238 GEF262238 GOB262238 GXX262238 HHT262238 HRP262238 IBL262238 ILH262238 IVD262238 JEZ262238 JOV262238 JYR262238 KIN262238 KSJ262238 LCF262238 LMB262238 LVX262238 MFT262238 MPP262238 MZL262238 NJH262238 NTD262238 OCZ262238 OMV262238 OWR262238 PGN262238 PQJ262238 QAF262238 QKB262238 QTX262238 RDT262238 RNP262238 RXL262238 SHH262238 SRD262238 TAZ262238 TKV262238 TUR262238 UEN262238 UOJ262238 UYF262238 VIB262238 VRX262238 WBT262238 WLP262238 WVL262238 D327774 IZ327774 SV327774 ACR327774 AMN327774 AWJ327774 BGF327774 BQB327774 BZX327774 CJT327774 CTP327774 DDL327774 DNH327774 DXD327774 EGZ327774 EQV327774 FAR327774 FKN327774 FUJ327774 GEF327774 GOB327774 GXX327774 HHT327774 HRP327774 IBL327774 ILH327774 IVD327774 JEZ327774 JOV327774 JYR327774 KIN327774 KSJ327774 LCF327774 LMB327774 LVX327774 MFT327774 MPP327774 MZL327774 NJH327774 NTD327774 OCZ327774 OMV327774 OWR327774 PGN327774 PQJ327774 QAF327774 QKB327774 QTX327774 RDT327774 RNP327774 RXL327774 SHH327774 SRD327774 TAZ327774 TKV327774 TUR327774 UEN327774 UOJ327774 UYF327774 VIB327774 VRX327774 WBT327774 WLP327774 WVL327774 D393310 IZ393310 SV393310 ACR393310 AMN393310 AWJ393310 BGF393310 BQB393310 BZX393310 CJT393310 CTP393310 DDL393310 DNH393310 DXD393310 EGZ393310 EQV393310 FAR393310 FKN393310 FUJ393310 GEF393310 GOB393310 GXX393310 HHT393310 HRP393310 IBL393310 ILH393310 IVD393310 JEZ393310 JOV393310 JYR393310 KIN393310 KSJ393310 LCF393310 LMB393310 LVX393310 MFT393310 MPP393310 MZL393310 NJH393310 NTD393310 OCZ393310 OMV393310 OWR393310 PGN393310 PQJ393310 QAF393310 QKB393310 QTX393310 RDT393310 RNP393310 RXL393310 SHH393310 SRD393310 TAZ393310 TKV393310 TUR393310 UEN393310 UOJ393310 UYF393310 VIB393310 VRX393310 WBT393310 WLP393310 WVL393310 D458846 IZ458846 SV458846 ACR458846 AMN458846 AWJ458846 BGF458846 BQB458846 BZX458846 CJT458846 CTP458846 DDL458846 DNH458846 DXD458846 EGZ458846 EQV458846 FAR458846 FKN458846 FUJ458846 GEF458846 GOB458846 GXX458846 HHT458846 HRP458846 IBL458846 ILH458846 IVD458846 JEZ458846 JOV458846 JYR458846 KIN458846 KSJ458846 LCF458846 LMB458846 LVX458846 MFT458846 MPP458846 MZL458846 NJH458846 NTD458846 OCZ458846 OMV458846 OWR458846 PGN458846 PQJ458846 QAF458846 QKB458846 QTX458846 RDT458846 RNP458846 RXL458846 SHH458846 SRD458846 TAZ458846 TKV458846 TUR458846 UEN458846 UOJ458846 UYF458846 VIB458846 VRX458846 WBT458846 WLP458846 WVL458846 D524382 IZ524382 SV524382 ACR524382 AMN524382 AWJ524382 BGF524382 BQB524382 BZX524382 CJT524382 CTP524382 DDL524382 DNH524382 DXD524382 EGZ524382 EQV524382 FAR524382 FKN524382 FUJ524382 GEF524382 GOB524382 GXX524382 HHT524382 HRP524382 IBL524382 ILH524382 IVD524382 JEZ524382 JOV524382 JYR524382 KIN524382 KSJ524382 LCF524382 LMB524382 LVX524382 MFT524382 MPP524382 MZL524382 NJH524382 NTD524382 OCZ524382 OMV524382 OWR524382 PGN524382 PQJ524382 QAF524382 QKB524382 QTX524382 RDT524382 RNP524382 RXL524382 SHH524382 SRD524382 TAZ524382 TKV524382 TUR524382 UEN524382 UOJ524382 UYF524382 VIB524382 VRX524382 WBT524382 WLP524382 WVL524382 D589918 IZ589918 SV589918 ACR589918 AMN589918 AWJ589918 BGF589918 BQB589918 BZX589918 CJT589918 CTP589918 DDL589918 DNH589918 DXD589918 EGZ589918 EQV589918 FAR589918 FKN589918 FUJ589918 GEF589918 GOB589918 GXX589918 HHT589918 HRP589918 IBL589918 ILH589918 IVD589918 JEZ589918 JOV589918 JYR589918 KIN589918 KSJ589918 LCF589918 LMB589918 LVX589918 MFT589918 MPP589918 MZL589918 NJH589918 NTD589918 OCZ589918 OMV589918 OWR589918 PGN589918 PQJ589918 QAF589918 QKB589918 QTX589918 RDT589918 RNP589918 RXL589918 SHH589918 SRD589918 TAZ589918 TKV589918 TUR589918 UEN589918 UOJ589918 UYF589918 VIB589918 VRX589918 WBT589918 WLP589918 WVL589918 D655454 IZ655454 SV655454 ACR655454 AMN655454 AWJ655454 BGF655454 BQB655454 BZX655454 CJT655454 CTP655454 DDL655454 DNH655454 DXD655454 EGZ655454 EQV655454 FAR655454 FKN655454 FUJ655454 GEF655454 GOB655454 GXX655454 HHT655454 HRP655454 IBL655454 ILH655454 IVD655454 JEZ655454 JOV655454 JYR655454 KIN655454 KSJ655454 LCF655454 LMB655454 LVX655454 MFT655454 MPP655454 MZL655454 NJH655454 NTD655454 OCZ655454 OMV655454 OWR655454 PGN655454 PQJ655454 QAF655454 QKB655454 QTX655454 RDT655454 RNP655454 RXL655454 SHH655454 SRD655454 TAZ655454 TKV655454 TUR655454 UEN655454 UOJ655454 UYF655454 VIB655454 VRX655454 WBT655454 WLP655454 WVL655454 D720990 IZ720990 SV720990 ACR720990 AMN720990 AWJ720990 BGF720990 BQB720990 BZX720990 CJT720990 CTP720990 DDL720990 DNH720990 DXD720990 EGZ720990 EQV720990 FAR720990 FKN720990 FUJ720990 GEF720990 GOB720990 GXX720990 HHT720990 HRP720990 IBL720990 ILH720990 IVD720990 JEZ720990 JOV720990 JYR720990 KIN720990 KSJ720990 LCF720990 LMB720990 LVX720990 MFT720990 MPP720990 MZL720990 NJH720990 NTD720990 OCZ720990 OMV720990 OWR720990 PGN720990 PQJ720990 QAF720990 QKB720990 QTX720990 RDT720990 RNP720990 RXL720990 SHH720990 SRD720990 TAZ720990 TKV720990 TUR720990 UEN720990 UOJ720990 UYF720990 VIB720990 VRX720990 WBT720990 WLP720990 WVL720990 D786526 IZ786526 SV786526 ACR786526 AMN786526 AWJ786526 BGF786526 BQB786526 BZX786526 CJT786526 CTP786526 DDL786526 DNH786526 DXD786526 EGZ786526 EQV786526 FAR786526 FKN786526 FUJ786526 GEF786526 GOB786526 GXX786526 HHT786526 HRP786526 IBL786526 ILH786526 IVD786526 JEZ786526 JOV786526 JYR786526 KIN786526 KSJ786526 LCF786526 LMB786526 LVX786526 MFT786526 MPP786526 MZL786526 NJH786526 NTD786526 OCZ786526 OMV786526 OWR786526 PGN786526 PQJ786526 QAF786526 QKB786526 QTX786526 RDT786526 RNP786526 RXL786526 SHH786526 SRD786526 TAZ786526 TKV786526 TUR786526 UEN786526 UOJ786526 UYF786526 VIB786526 VRX786526 WBT786526 WLP786526 WVL786526 D852062 IZ852062 SV852062 ACR852062 AMN852062 AWJ852062 BGF852062 BQB852062 BZX852062 CJT852062 CTP852062 DDL852062 DNH852062 DXD852062 EGZ852062 EQV852062 FAR852062 FKN852062 FUJ852062 GEF852062 GOB852062 GXX852062 HHT852062 HRP852062 IBL852062 ILH852062 IVD852062 JEZ852062 JOV852062 JYR852062 KIN852062 KSJ852062 LCF852062 LMB852062 LVX852062 MFT852062 MPP852062 MZL852062 NJH852062 NTD852062 OCZ852062 OMV852062 OWR852062 PGN852062 PQJ852062 QAF852062 QKB852062 QTX852062 RDT852062 RNP852062 RXL852062 SHH852062 SRD852062 TAZ852062 TKV852062 TUR852062 UEN852062 UOJ852062 UYF852062 VIB852062 VRX852062 WBT852062 WLP852062 WVL852062 D917598 IZ917598 SV917598 ACR917598 AMN917598 AWJ917598 BGF917598 BQB917598 BZX917598 CJT917598 CTP917598 DDL917598 DNH917598 DXD917598 EGZ917598 EQV917598 FAR917598 FKN917598 FUJ917598 GEF917598 GOB917598 GXX917598 HHT917598 HRP917598 IBL917598 ILH917598 IVD917598 JEZ917598 JOV917598 JYR917598 KIN917598 KSJ917598 LCF917598 LMB917598 LVX917598 MFT917598 MPP917598 MZL917598 NJH917598 NTD917598 OCZ917598 OMV917598 OWR917598 PGN917598 PQJ917598 QAF917598 QKB917598 QTX917598 RDT917598 RNP917598 RXL917598 SHH917598 SRD917598 TAZ917598 TKV917598 TUR917598 UEN917598 UOJ917598 UYF917598 VIB917598 VRX917598 WBT917598 WLP917598 WVL917598 D983134 IZ983134 SV983134 ACR983134 AMN983134 AWJ983134 BGF983134 BQB983134 BZX983134 CJT983134 CTP983134 DDL983134 DNH983134 DXD983134 EGZ983134 EQV983134 FAR983134 FKN983134 FUJ983134 GEF983134 GOB983134 GXX983134 HHT983134 HRP983134 IBL983134 ILH983134 IVD983134 JEZ983134 JOV983134 JYR983134 KIN983134 KSJ983134 LCF983134 LMB983134 LVX983134 MFT983134 MPP983134 MZL983134 NJH983134 NTD983134 OCZ983134 OMV983134 OWR983134 PGN983134 PQJ983134 QAF983134 QKB983134 QTX983134 RDT983134 RNP983134 RXL983134 SHH983134 SRD983134 TAZ983134 TKV983134 TUR983134 UEN983134 UOJ983134 UYF983134 VIB983134 VRX983134 WBT983134 WLP983134 WVL983134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4 IZ65584 SV65584 ACR65584 AMN65584 AWJ65584 BGF65584 BQB65584 BZX65584 CJT65584 CTP65584 DDL65584 DNH65584 DXD65584 EGZ65584 EQV65584 FAR65584 FKN65584 FUJ65584 GEF65584 GOB65584 GXX65584 HHT65584 HRP65584 IBL65584 ILH65584 IVD65584 JEZ65584 JOV65584 JYR65584 KIN65584 KSJ65584 LCF65584 LMB65584 LVX65584 MFT65584 MPP65584 MZL65584 NJH65584 NTD65584 OCZ65584 OMV65584 OWR65584 PGN65584 PQJ65584 QAF65584 QKB65584 QTX65584 RDT65584 RNP65584 RXL65584 SHH65584 SRD65584 TAZ65584 TKV65584 TUR65584 UEN65584 UOJ65584 UYF65584 VIB65584 VRX65584 WBT65584 WLP65584 WVL65584 D131120 IZ131120 SV131120 ACR131120 AMN131120 AWJ131120 BGF131120 BQB131120 BZX131120 CJT131120 CTP131120 DDL131120 DNH131120 DXD131120 EGZ131120 EQV131120 FAR131120 FKN131120 FUJ131120 GEF131120 GOB131120 GXX131120 HHT131120 HRP131120 IBL131120 ILH131120 IVD131120 JEZ131120 JOV131120 JYR131120 KIN131120 KSJ131120 LCF131120 LMB131120 LVX131120 MFT131120 MPP131120 MZL131120 NJH131120 NTD131120 OCZ131120 OMV131120 OWR131120 PGN131120 PQJ131120 QAF131120 QKB131120 QTX131120 RDT131120 RNP131120 RXL131120 SHH131120 SRD131120 TAZ131120 TKV131120 TUR131120 UEN131120 UOJ131120 UYF131120 VIB131120 VRX131120 WBT131120 WLP131120 WVL131120 D196656 IZ196656 SV196656 ACR196656 AMN196656 AWJ196656 BGF196656 BQB196656 BZX196656 CJT196656 CTP196656 DDL196656 DNH196656 DXD196656 EGZ196656 EQV196656 FAR196656 FKN196656 FUJ196656 GEF196656 GOB196656 GXX196656 HHT196656 HRP196656 IBL196656 ILH196656 IVD196656 JEZ196656 JOV196656 JYR196656 KIN196656 KSJ196656 LCF196656 LMB196656 LVX196656 MFT196656 MPP196656 MZL196656 NJH196656 NTD196656 OCZ196656 OMV196656 OWR196656 PGN196656 PQJ196656 QAF196656 QKB196656 QTX196656 RDT196656 RNP196656 RXL196656 SHH196656 SRD196656 TAZ196656 TKV196656 TUR196656 UEN196656 UOJ196656 UYF196656 VIB196656 VRX196656 WBT196656 WLP196656 WVL196656 D262192 IZ262192 SV262192 ACR262192 AMN262192 AWJ262192 BGF262192 BQB262192 BZX262192 CJT262192 CTP262192 DDL262192 DNH262192 DXD262192 EGZ262192 EQV262192 FAR262192 FKN262192 FUJ262192 GEF262192 GOB262192 GXX262192 HHT262192 HRP262192 IBL262192 ILH262192 IVD262192 JEZ262192 JOV262192 JYR262192 KIN262192 KSJ262192 LCF262192 LMB262192 LVX262192 MFT262192 MPP262192 MZL262192 NJH262192 NTD262192 OCZ262192 OMV262192 OWR262192 PGN262192 PQJ262192 QAF262192 QKB262192 QTX262192 RDT262192 RNP262192 RXL262192 SHH262192 SRD262192 TAZ262192 TKV262192 TUR262192 UEN262192 UOJ262192 UYF262192 VIB262192 VRX262192 WBT262192 WLP262192 WVL262192 D327728 IZ327728 SV327728 ACR327728 AMN327728 AWJ327728 BGF327728 BQB327728 BZX327728 CJT327728 CTP327728 DDL327728 DNH327728 DXD327728 EGZ327728 EQV327728 FAR327728 FKN327728 FUJ327728 GEF327728 GOB327728 GXX327728 HHT327728 HRP327728 IBL327728 ILH327728 IVD327728 JEZ327728 JOV327728 JYR327728 KIN327728 KSJ327728 LCF327728 LMB327728 LVX327728 MFT327728 MPP327728 MZL327728 NJH327728 NTD327728 OCZ327728 OMV327728 OWR327728 PGN327728 PQJ327728 QAF327728 QKB327728 QTX327728 RDT327728 RNP327728 RXL327728 SHH327728 SRD327728 TAZ327728 TKV327728 TUR327728 UEN327728 UOJ327728 UYF327728 VIB327728 VRX327728 WBT327728 WLP327728 WVL327728 D393264 IZ393264 SV393264 ACR393264 AMN393264 AWJ393264 BGF393264 BQB393264 BZX393264 CJT393264 CTP393264 DDL393264 DNH393264 DXD393264 EGZ393264 EQV393264 FAR393264 FKN393264 FUJ393264 GEF393264 GOB393264 GXX393264 HHT393264 HRP393264 IBL393264 ILH393264 IVD393264 JEZ393264 JOV393264 JYR393264 KIN393264 KSJ393264 LCF393264 LMB393264 LVX393264 MFT393264 MPP393264 MZL393264 NJH393264 NTD393264 OCZ393264 OMV393264 OWR393264 PGN393264 PQJ393264 QAF393264 QKB393264 QTX393264 RDT393264 RNP393264 RXL393264 SHH393264 SRD393264 TAZ393264 TKV393264 TUR393264 UEN393264 UOJ393264 UYF393264 VIB393264 VRX393264 WBT393264 WLP393264 WVL393264 D458800 IZ458800 SV458800 ACR458800 AMN458800 AWJ458800 BGF458800 BQB458800 BZX458800 CJT458800 CTP458800 DDL458800 DNH458800 DXD458800 EGZ458800 EQV458800 FAR458800 FKN458800 FUJ458800 GEF458800 GOB458800 GXX458800 HHT458800 HRP458800 IBL458800 ILH458800 IVD458800 JEZ458800 JOV458800 JYR458800 KIN458800 KSJ458800 LCF458800 LMB458800 LVX458800 MFT458800 MPP458800 MZL458800 NJH458800 NTD458800 OCZ458800 OMV458800 OWR458800 PGN458800 PQJ458800 QAF458800 QKB458800 QTX458800 RDT458800 RNP458800 RXL458800 SHH458800 SRD458800 TAZ458800 TKV458800 TUR458800 UEN458800 UOJ458800 UYF458800 VIB458800 VRX458800 WBT458800 WLP458800 WVL458800 D524336 IZ524336 SV524336 ACR524336 AMN524336 AWJ524336 BGF524336 BQB524336 BZX524336 CJT524336 CTP524336 DDL524336 DNH524336 DXD524336 EGZ524336 EQV524336 FAR524336 FKN524336 FUJ524336 GEF524336 GOB524336 GXX524336 HHT524336 HRP524336 IBL524336 ILH524336 IVD524336 JEZ524336 JOV524336 JYR524336 KIN524336 KSJ524336 LCF524336 LMB524336 LVX524336 MFT524336 MPP524336 MZL524336 NJH524336 NTD524336 OCZ524336 OMV524336 OWR524336 PGN524336 PQJ524336 QAF524336 QKB524336 QTX524336 RDT524336 RNP524336 RXL524336 SHH524336 SRD524336 TAZ524336 TKV524336 TUR524336 UEN524336 UOJ524336 UYF524336 VIB524336 VRX524336 WBT524336 WLP524336 WVL524336 D589872 IZ589872 SV589872 ACR589872 AMN589872 AWJ589872 BGF589872 BQB589872 BZX589872 CJT589872 CTP589872 DDL589872 DNH589872 DXD589872 EGZ589872 EQV589872 FAR589872 FKN589872 FUJ589872 GEF589872 GOB589872 GXX589872 HHT589872 HRP589872 IBL589872 ILH589872 IVD589872 JEZ589872 JOV589872 JYR589872 KIN589872 KSJ589872 LCF589872 LMB589872 LVX589872 MFT589872 MPP589872 MZL589872 NJH589872 NTD589872 OCZ589872 OMV589872 OWR589872 PGN589872 PQJ589872 QAF589872 QKB589872 QTX589872 RDT589872 RNP589872 RXL589872 SHH589872 SRD589872 TAZ589872 TKV589872 TUR589872 UEN589872 UOJ589872 UYF589872 VIB589872 VRX589872 WBT589872 WLP589872 WVL589872 D655408 IZ655408 SV655408 ACR655408 AMN655408 AWJ655408 BGF655408 BQB655408 BZX655408 CJT655408 CTP655408 DDL655408 DNH655408 DXD655408 EGZ655408 EQV655408 FAR655408 FKN655408 FUJ655408 GEF655408 GOB655408 GXX655408 HHT655408 HRP655408 IBL655408 ILH655408 IVD655408 JEZ655408 JOV655408 JYR655408 KIN655408 KSJ655408 LCF655408 LMB655408 LVX655408 MFT655408 MPP655408 MZL655408 NJH655408 NTD655408 OCZ655408 OMV655408 OWR655408 PGN655408 PQJ655408 QAF655408 QKB655408 QTX655408 RDT655408 RNP655408 RXL655408 SHH655408 SRD655408 TAZ655408 TKV655408 TUR655408 UEN655408 UOJ655408 UYF655408 VIB655408 VRX655408 WBT655408 WLP655408 WVL655408 D720944 IZ720944 SV720944 ACR720944 AMN720944 AWJ720944 BGF720944 BQB720944 BZX720944 CJT720944 CTP720944 DDL720944 DNH720944 DXD720944 EGZ720944 EQV720944 FAR720944 FKN720944 FUJ720944 GEF720944 GOB720944 GXX720944 HHT720944 HRP720944 IBL720944 ILH720944 IVD720944 JEZ720944 JOV720944 JYR720944 KIN720944 KSJ720944 LCF720944 LMB720944 LVX720944 MFT720944 MPP720944 MZL720944 NJH720944 NTD720944 OCZ720944 OMV720944 OWR720944 PGN720944 PQJ720944 QAF720944 QKB720944 QTX720944 RDT720944 RNP720944 RXL720944 SHH720944 SRD720944 TAZ720944 TKV720944 TUR720944 UEN720944 UOJ720944 UYF720944 VIB720944 VRX720944 WBT720944 WLP720944 WVL720944 D786480 IZ786480 SV786480 ACR786480 AMN786480 AWJ786480 BGF786480 BQB786480 BZX786480 CJT786480 CTP786480 DDL786480 DNH786480 DXD786480 EGZ786480 EQV786480 FAR786480 FKN786480 FUJ786480 GEF786480 GOB786480 GXX786480 HHT786480 HRP786480 IBL786480 ILH786480 IVD786480 JEZ786480 JOV786480 JYR786480 KIN786480 KSJ786480 LCF786480 LMB786480 LVX786480 MFT786480 MPP786480 MZL786480 NJH786480 NTD786480 OCZ786480 OMV786480 OWR786480 PGN786480 PQJ786480 QAF786480 QKB786480 QTX786480 RDT786480 RNP786480 RXL786480 SHH786480 SRD786480 TAZ786480 TKV786480 TUR786480 UEN786480 UOJ786480 UYF786480 VIB786480 VRX786480 WBT786480 WLP786480 WVL786480 D852016 IZ852016 SV852016 ACR852016 AMN852016 AWJ852016 BGF852016 BQB852016 BZX852016 CJT852016 CTP852016 DDL852016 DNH852016 DXD852016 EGZ852016 EQV852016 FAR852016 FKN852016 FUJ852016 GEF852016 GOB852016 GXX852016 HHT852016 HRP852016 IBL852016 ILH852016 IVD852016 JEZ852016 JOV852016 JYR852016 KIN852016 KSJ852016 LCF852016 LMB852016 LVX852016 MFT852016 MPP852016 MZL852016 NJH852016 NTD852016 OCZ852016 OMV852016 OWR852016 PGN852016 PQJ852016 QAF852016 QKB852016 QTX852016 RDT852016 RNP852016 RXL852016 SHH852016 SRD852016 TAZ852016 TKV852016 TUR852016 UEN852016 UOJ852016 UYF852016 VIB852016 VRX852016 WBT852016 WLP852016 WVL852016 D917552 IZ917552 SV917552 ACR917552 AMN917552 AWJ917552 BGF917552 BQB917552 BZX917552 CJT917552 CTP917552 DDL917552 DNH917552 DXD917552 EGZ917552 EQV917552 FAR917552 FKN917552 FUJ917552 GEF917552 GOB917552 GXX917552 HHT917552 HRP917552 IBL917552 ILH917552 IVD917552 JEZ917552 JOV917552 JYR917552 KIN917552 KSJ917552 LCF917552 LMB917552 LVX917552 MFT917552 MPP917552 MZL917552 NJH917552 NTD917552 OCZ917552 OMV917552 OWR917552 PGN917552 PQJ917552 QAF917552 QKB917552 QTX917552 RDT917552 RNP917552 RXL917552 SHH917552 SRD917552 TAZ917552 TKV917552 TUR917552 UEN917552 UOJ917552 UYF917552 VIB917552 VRX917552 WBT917552 WLP917552 WVL917552 D983088 IZ983088 SV983088 ACR983088 AMN983088 AWJ983088 BGF983088 BQB983088 BZX983088 CJT983088 CTP983088 DDL983088 DNH983088 DXD983088 EGZ983088 EQV983088 FAR983088 FKN983088 FUJ983088 GEF983088 GOB983088 GXX983088 HHT983088 HRP983088 IBL983088 ILH983088 IVD983088 JEZ983088 JOV983088 JYR983088 KIN983088 KSJ983088 LCF983088 LMB983088 LVX983088 MFT983088 MPP983088 MZL983088 NJH983088 NTD983088 OCZ983088 OMV983088 OWR983088 PGN983088 PQJ983088 QAF983088 QKB983088 QTX983088 RDT983088 RNP983088 RXL983088 SHH983088 SRD983088 TAZ983088 TKV983088 TUR983088 UEN983088 UOJ983088 UYF983088 VIB983088 VRX983088 WBT983088 WLP983088 WVL983088" xr:uid="{5919C1F5-E0B2-4ABE-A36F-010600A8965A}">
      <formula1>"Core1,Core2,Core3"</formula1>
    </dataValidation>
  </dataValidations>
  <printOptions horizontalCentered="1" verticalCentered="1"/>
  <pageMargins left="0.5" right="0.5" top="0.5" bottom="0.5" header="0" footer="0"/>
  <pageSetup paperSize="9" scale="99" orientation="portrait" r:id="rId1"/>
  <headerFooter alignWithMargins="0"/>
  <rowBreaks count="2" manualBreakCount="2">
    <brk id="48" max="21" man="1"/>
    <brk id="91" max="21"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D9E49-A67B-4791-A73F-D890D4DD1EB9}">
  <sheetPr codeName="Sheet41">
    <tabColor indexed="52"/>
  </sheetPr>
  <dimension ref="A1:AC623"/>
  <sheetViews>
    <sheetView showZeros="0" view="pageBreakPreview" topLeftCell="A278" zoomScale="160" zoomScaleNormal="100" zoomScaleSheetLayoutView="160" workbookViewId="0">
      <selection activeCell="D7" sqref="D7:E7"/>
    </sheetView>
  </sheetViews>
  <sheetFormatPr defaultColWidth="4.33203125" defaultRowHeight="18" customHeight="1"/>
  <cols>
    <col min="1" max="12" width="4.33203125" style="30"/>
    <col min="13" max="13" width="4.5546875" style="30" bestFit="1" customWidth="1"/>
    <col min="14" max="14" width="4.33203125" style="30" customWidth="1"/>
    <col min="15" max="16384" width="4.33203125" style="30"/>
  </cols>
  <sheetData>
    <row r="1" spans="1:29" ht="18" customHeight="1">
      <c r="A1" s="1105" t="str">
        <f>[5]Title!A1</f>
        <v/>
      </c>
      <c r="B1" s="1106"/>
      <c r="C1" s="1106"/>
      <c r="D1" s="1106"/>
      <c r="E1" s="1106"/>
      <c r="F1" s="1106"/>
      <c r="G1" s="1107"/>
      <c r="H1" s="726" t="str">
        <f>[5]Title!H1</f>
        <v>CT / VT</v>
      </c>
      <c r="I1" s="727"/>
      <c r="J1" s="727"/>
      <c r="K1" s="727"/>
      <c r="L1" s="727"/>
      <c r="M1" s="727"/>
      <c r="N1" s="728"/>
      <c r="O1" s="702" t="str">
        <f>[5]Title!O1</f>
        <v>Contract No.</v>
      </c>
      <c r="P1" s="703"/>
      <c r="Q1" s="704"/>
      <c r="R1" s="705" t="str">
        <f>[5]Title!R1</f>
        <v>N-16682</v>
      </c>
      <c r="S1" s="706"/>
      <c r="T1" s="706"/>
      <c r="U1" s="706"/>
      <c r="V1" s="707"/>
      <c r="W1" s="14"/>
      <c r="X1" s="14"/>
    </row>
    <row r="2" spans="1:29" ht="18" customHeight="1">
      <c r="A2" s="1108"/>
      <c r="B2" s="1109"/>
      <c r="C2" s="1109"/>
      <c r="D2" s="1109"/>
      <c r="E2" s="1109"/>
      <c r="F2" s="1109"/>
      <c r="G2" s="1110"/>
      <c r="H2" s="729" t="str">
        <f>[5]Title!H2</f>
        <v>CALCULATION</v>
      </c>
      <c r="I2" s="730"/>
      <c r="J2" s="730"/>
      <c r="K2" s="730"/>
      <c r="L2" s="730"/>
      <c r="M2" s="730"/>
      <c r="N2" s="731"/>
      <c r="O2" s="702" t="str">
        <f>[5]Title!O2</f>
        <v>Date</v>
      </c>
      <c r="P2" s="703"/>
      <c r="Q2" s="704"/>
      <c r="R2" s="705">
        <f>[5]Title!R2</f>
        <v>45276</v>
      </c>
      <c r="S2" s="706"/>
      <c r="T2" s="706"/>
      <c r="U2" s="706"/>
      <c r="V2" s="707"/>
      <c r="W2" s="14"/>
      <c r="X2" s="14"/>
    </row>
    <row r="3" spans="1:29" ht="18" customHeight="1">
      <c r="A3" s="614" t="str">
        <f>[5]Title!A3</f>
        <v>HITACHI ENERGY - GRID AUTOMATION</v>
      </c>
      <c r="B3" s="620"/>
      <c r="C3" s="620"/>
      <c r="D3" s="620"/>
      <c r="E3" s="620"/>
      <c r="F3" s="620"/>
      <c r="G3" s="615"/>
      <c r="H3" s="735" t="str">
        <f>Title!H3</f>
        <v>LT14 - LEWIS
400/132kV SUBSTATION</v>
      </c>
      <c r="I3" s="736"/>
      <c r="J3" s="736"/>
      <c r="K3" s="736"/>
      <c r="L3" s="736"/>
      <c r="M3" s="736"/>
      <c r="N3" s="737"/>
      <c r="O3" s="702" t="str">
        <f>[5]Title!O3</f>
        <v>Document No.</v>
      </c>
      <c r="P3" s="703"/>
      <c r="Q3" s="704"/>
      <c r="R3" s="705" t="str">
        <f>[5]Title!R3</f>
        <v>N16682-CB-0070-J-7901</v>
      </c>
      <c r="S3" s="706"/>
      <c r="T3" s="706"/>
      <c r="U3" s="706"/>
      <c r="V3" s="707"/>
      <c r="W3" s="14"/>
      <c r="X3" s="14"/>
    </row>
    <row r="4" spans="1:29" ht="18" customHeight="1">
      <c r="A4" s="618"/>
      <c r="B4" s="622"/>
      <c r="C4" s="622"/>
      <c r="D4" s="622"/>
      <c r="E4" s="622"/>
      <c r="F4" s="622"/>
      <c r="G4" s="619"/>
      <c r="H4" s="738"/>
      <c r="I4" s="739"/>
      <c r="J4" s="739"/>
      <c r="K4" s="739"/>
      <c r="L4" s="739"/>
      <c r="M4" s="739"/>
      <c r="N4" s="740"/>
      <c r="O4" s="702" t="str">
        <f>[5]Title!O4</f>
        <v>Revision No.</v>
      </c>
      <c r="P4" s="703"/>
      <c r="Q4" s="704"/>
      <c r="R4" s="705" t="str">
        <f>[5]Title!R4</f>
        <v>A</v>
      </c>
      <c r="S4" s="706"/>
      <c r="T4" s="706"/>
      <c r="U4" s="706"/>
      <c r="V4" s="707"/>
      <c r="W4" s="14"/>
      <c r="X4" s="14"/>
    </row>
    <row r="5" spans="1:29" ht="18" customHeight="1">
      <c r="A5" s="708" t="str">
        <f>[5]Title!A5</f>
        <v>Prep. By</v>
      </c>
      <c r="B5" s="709"/>
      <c r="C5" s="25" t="str">
        <f>[5]Title!C5</f>
        <v>PK</v>
      </c>
      <c r="D5" s="708" t="str">
        <f>[5]Title!D5</f>
        <v>Checked By</v>
      </c>
      <c r="E5" s="710"/>
      <c r="F5" s="709"/>
      <c r="G5" s="25" t="str">
        <f>[5]Title!G5</f>
        <v>RN</v>
      </c>
      <c r="H5" s="711" t="s">
        <v>604</v>
      </c>
      <c r="I5" s="712"/>
      <c r="J5" s="712"/>
      <c r="K5" s="712"/>
      <c r="L5" s="712"/>
      <c r="M5" s="712"/>
      <c r="N5" s="713"/>
      <c r="O5" s="714" t="str">
        <f>[5]Title!O5</f>
        <v>Contractor</v>
      </c>
      <c r="P5" s="715"/>
      <c r="Q5" s="716"/>
      <c r="R5" s="705" t="str">
        <f>[5]Title!R5</f>
        <v>HITACHI ENERGY</v>
      </c>
      <c r="S5" s="706"/>
      <c r="T5" s="706"/>
      <c r="U5" s="706"/>
      <c r="V5" s="707"/>
      <c r="W5" s="14"/>
      <c r="X5" s="14"/>
    </row>
    <row r="6" spans="1:29" ht="18" customHeight="1">
      <c r="A6" s="196"/>
      <c r="V6" s="197"/>
    </row>
    <row r="7" spans="1:29" ht="18" customHeight="1">
      <c r="A7" s="196"/>
      <c r="B7" s="696" t="s">
        <v>120</v>
      </c>
      <c r="C7" s="697"/>
      <c r="D7" s="696" t="s">
        <v>517</v>
      </c>
      <c r="E7" s="697"/>
      <c r="F7" s="198"/>
      <c r="H7" s="638" t="s">
        <v>605</v>
      </c>
      <c r="I7" s="638"/>
      <c r="J7" s="638"/>
      <c r="K7" s="638"/>
      <c r="L7" s="638"/>
      <c r="M7" s="638"/>
      <c r="N7" s="638"/>
      <c r="P7" s="198"/>
      <c r="S7" s="199" t="s">
        <v>398</v>
      </c>
      <c r="T7" s="1131" t="s">
        <v>216</v>
      </c>
      <c r="U7" s="1132"/>
      <c r="V7" s="197"/>
    </row>
    <row r="8" spans="1:29" ht="18" customHeight="1">
      <c r="A8" s="196"/>
      <c r="B8" s="696"/>
      <c r="C8" s="697"/>
      <c r="D8" s="696"/>
      <c r="E8" s="697"/>
      <c r="F8" s="267"/>
      <c r="T8" s="1131"/>
      <c r="U8" s="1132"/>
      <c r="V8" s="197"/>
    </row>
    <row r="9" spans="1:29" ht="18" customHeight="1">
      <c r="A9" s="1153"/>
      <c r="B9" s="1154"/>
      <c r="C9" s="1154"/>
      <c r="D9" s="639"/>
      <c r="H9" s="662" t="s">
        <v>401</v>
      </c>
      <c r="I9" s="662"/>
      <c r="J9" s="661" t="s">
        <v>402</v>
      </c>
      <c r="K9" s="661"/>
      <c r="L9" s="661" t="s">
        <v>403</v>
      </c>
      <c r="M9" s="661"/>
      <c r="T9" s="1131"/>
      <c r="U9" s="1132"/>
      <c r="V9" s="197"/>
    </row>
    <row r="10" spans="1:29" ht="18" customHeight="1">
      <c r="A10" s="196"/>
      <c r="B10" s="47" t="s">
        <v>404</v>
      </c>
      <c r="H10" s="692">
        <v>2500</v>
      </c>
      <c r="I10" s="693"/>
      <c r="J10" s="656" t="s">
        <v>7</v>
      </c>
      <c r="K10" s="657"/>
      <c r="L10" s="656" t="s">
        <v>7</v>
      </c>
      <c r="M10" s="657"/>
      <c r="N10" s="203" t="s">
        <v>353</v>
      </c>
      <c r="O10" s="125">
        <v>1</v>
      </c>
      <c r="P10" s="27" t="s">
        <v>9</v>
      </c>
      <c r="V10" s="197"/>
    </row>
    <row r="11" spans="1:29" ht="18" customHeight="1">
      <c r="A11" s="196"/>
      <c r="B11" s="47" t="s">
        <v>405</v>
      </c>
      <c r="H11" s="656" t="s">
        <v>406</v>
      </c>
      <c r="I11" s="1152"/>
      <c r="V11" s="197"/>
    </row>
    <row r="12" spans="1:29" ht="18" customHeight="1">
      <c r="A12" s="196"/>
      <c r="B12" s="47" t="s">
        <v>407</v>
      </c>
      <c r="G12" s="120" t="s">
        <v>508</v>
      </c>
      <c r="H12" s="656">
        <v>10</v>
      </c>
      <c r="I12" s="657"/>
      <c r="J12" s="204" t="s">
        <v>344</v>
      </c>
      <c r="V12" s="197"/>
    </row>
    <row r="13" spans="1:29" ht="18" customHeight="1">
      <c r="A13" s="196"/>
      <c r="B13" s="47" t="s">
        <v>409</v>
      </c>
      <c r="G13" s="120" t="s">
        <v>509</v>
      </c>
      <c r="H13" s="656">
        <v>400</v>
      </c>
      <c r="I13" s="657"/>
      <c r="J13" s="14" t="s">
        <v>316</v>
      </c>
      <c r="V13" s="197"/>
      <c r="W13" s="30" t="s">
        <v>411</v>
      </c>
      <c r="AB13" s="996">
        <f>D60</f>
        <v>92.34</v>
      </c>
      <c r="AC13" s="997"/>
    </row>
    <row r="14" spans="1:29" ht="18" customHeight="1">
      <c r="A14" s="196"/>
      <c r="B14" s="14" t="s">
        <v>412</v>
      </c>
      <c r="G14" s="120" t="s">
        <v>413</v>
      </c>
      <c r="H14" s="656">
        <v>50</v>
      </c>
      <c r="I14" s="657"/>
      <c r="J14" s="30" t="s">
        <v>414</v>
      </c>
      <c r="V14" s="197"/>
    </row>
    <row r="15" spans="1:29" ht="18" customHeight="1">
      <c r="A15" s="96"/>
      <c r="V15" s="197"/>
    </row>
    <row r="16" spans="1:29" ht="18" customHeight="1">
      <c r="A16" s="205" t="s">
        <v>415</v>
      </c>
      <c r="V16" s="197"/>
    </row>
    <row r="17" spans="1:22" ht="18" customHeight="1">
      <c r="A17" s="196"/>
      <c r="V17" s="197"/>
    </row>
    <row r="18" spans="1:22" ht="18" customHeight="1">
      <c r="A18" s="196"/>
      <c r="B18" s="206" t="s">
        <v>416</v>
      </c>
      <c r="C18" s="207"/>
      <c r="D18" s="207" t="str">
        <f>T7</f>
        <v>7UT85</v>
      </c>
      <c r="E18" s="208"/>
      <c r="F18" s="208"/>
      <c r="G18" s="208"/>
      <c r="H18" s="194" t="s">
        <v>417</v>
      </c>
      <c r="I18" s="195" t="s">
        <v>138</v>
      </c>
      <c r="J18" s="1123">
        <f>'CT-VT Burdens'!Q63</f>
        <v>0.1</v>
      </c>
      <c r="K18" s="685"/>
      <c r="L18" s="3" t="s">
        <v>168</v>
      </c>
      <c r="V18" s="197"/>
    </row>
    <row r="19" spans="1:22" ht="18" customHeight="1">
      <c r="A19" s="196"/>
      <c r="B19" s="196" t="s">
        <v>416</v>
      </c>
      <c r="D19" s="30">
        <f>T8</f>
        <v>0</v>
      </c>
      <c r="H19" s="27"/>
      <c r="I19" s="189" t="s">
        <v>138</v>
      </c>
      <c r="J19" s="1121"/>
      <c r="K19" s="687"/>
      <c r="L19" s="210" t="s">
        <v>168</v>
      </c>
      <c r="V19" s="197"/>
    </row>
    <row r="20" spans="1:22" ht="18" customHeight="1">
      <c r="A20" s="196"/>
      <c r="B20" s="196" t="s">
        <v>416</v>
      </c>
      <c r="D20" s="30">
        <f>T9</f>
        <v>0</v>
      </c>
      <c r="E20" s="14"/>
      <c r="G20" s="211"/>
      <c r="H20" s="27"/>
      <c r="I20" s="189" t="s">
        <v>138</v>
      </c>
      <c r="J20" s="688"/>
      <c r="K20" s="689"/>
      <c r="L20" s="214" t="s">
        <v>168</v>
      </c>
      <c r="V20" s="197"/>
    </row>
    <row r="21" spans="1:22" ht="18" customHeight="1">
      <c r="A21" s="196"/>
      <c r="B21" s="196" t="s">
        <v>423</v>
      </c>
      <c r="H21" s="27" t="s">
        <v>610</v>
      </c>
      <c r="I21" s="189" t="s">
        <v>138</v>
      </c>
      <c r="J21" s="999">
        <f>'CT-VT Burdens'!S22</f>
        <v>1.44186744</v>
      </c>
      <c r="K21" s="1122"/>
      <c r="L21" s="215" t="s">
        <v>168</v>
      </c>
      <c r="V21" s="197"/>
    </row>
    <row r="22" spans="1:22" ht="18" customHeight="1">
      <c r="A22" s="196"/>
      <c r="B22" s="217" t="s">
        <v>424</v>
      </c>
      <c r="C22" s="218"/>
      <c r="D22" s="218"/>
      <c r="E22" s="218"/>
      <c r="F22" s="219"/>
      <c r="G22" s="219"/>
      <c r="H22" s="202" t="s">
        <v>420</v>
      </c>
      <c r="I22" s="220" t="s">
        <v>138</v>
      </c>
      <c r="J22" s="897">
        <f>J19+J21</f>
        <v>1.44186744</v>
      </c>
      <c r="K22" s="649"/>
      <c r="L22" s="222"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7" t="s">
        <v>660</v>
      </c>
      <c r="C25" s="27" t="s">
        <v>138</v>
      </c>
      <c r="D25" s="30" t="s">
        <v>417</v>
      </c>
      <c r="E25" s="283" t="s">
        <v>421</v>
      </c>
      <c r="F25" s="27" t="s">
        <v>157</v>
      </c>
      <c r="G25" s="28" t="s">
        <v>326</v>
      </c>
      <c r="H25" s="230" t="s">
        <v>157</v>
      </c>
      <c r="I25" s="30" t="s">
        <v>361</v>
      </c>
      <c r="J25" s="211"/>
      <c r="L25" s="47"/>
      <c r="M25" s="30" t="s">
        <v>419</v>
      </c>
      <c r="N25" s="27" t="s">
        <v>138</v>
      </c>
      <c r="O25" s="30" t="s">
        <v>420</v>
      </c>
      <c r="P25" s="203" t="s">
        <v>421</v>
      </c>
      <c r="Q25" s="256" t="s">
        <v>422</v>
      </c>
      <c r="R25" s="27" t="s">
        <v>326</v>
      </c>
      <c r="S25" s="30" t="s">
        <v>422</v>
      </c>
      <c r="T25" s="30" t="s">
        <v>361</v>
      </c>
      <c r="V25" s="197"/>
    </row>
    <row r="26" spans="1:22" ht="18" customHeight="1">
      <c r="A26" s="196"/>
      <c r="B26" s="47"/>
      <c r="C26" s="27" t="s">
        <v>138</v>
      </c>
      <c r="D26" s="216">
        <f>J18</f>
        <v>0.1</v>
      </c>
      <c r="E26" s="203" t="s">
        <v>421</v>
      </c>
      <c r="F26" s="27">
        <f>S56</f>
        <v>1</v>
      </c>
      <c r="G26" s="27" t="s">
        <v>326</v>
      </c>
      <c r="H26" s="27">
        <f>S56</f>
        <v>1</v>
      </c>
      <c r="I26" s="30" t="s">
        <v>361</v>
      </c>
      <c r="J26" s="211"/>
      <c r="L26" s="47"/>
      <c r="N26" s="27" t="s">
        <v>138</v>
      </c>
      <c r="O26" s="216">
        <f>J22</f>
        <v>1.44186744</v>
      </c>
      <c r="P26" s="203" t="s">
        <v>421</v>
      </c>
      <c r="Q26" s="27">
        <f>O10</f>
        <v>1</v>
      </c>
      <c r="R26" s="27" t="s">
        <v>326</v>
      </c>
      <c r="S26" s="27">
        <f>O10</f>
        <v>1</v>
      </c>
      <c r="T26" s="30" t="s">
        <v>361</v>
      </c>
      <c r="V26" s="197"/>
    </row>
    <row r="27" spans="1:22" ht="18" customHeight="1">
      <c r="A27" s="196"/>
      <c r="B27" s="47"/>
      <c r="C27" s="27" t="s">
        <v>138</v>
      </c>
      <c r="D27" s="637">
        <f>D26/(F26*H26)</f>
        <v>0.1</v>
      </c>
      <c r="E27" s="637"/>
      <c r="F27" s="204" t="s">
        <v>344</v>
      </c>
      <c r="J27" s="211"/>
      <c r="L27" s="47"/>
      <c r="N27" s="27" t="s">
        <v>138</v>
      </c>
      <c r="O27" s="637">
        <f>O26/(Q26*S26)</f>
        <v>1.44186744</v>
      </c>
      <c r="P27" s="637"/>
      <c r="Q27" s="204" t="s">
        <v>344</v>
      </c>
      <c r="V27" s="197"/>
    </row>
    <row r="28" spans="1:22" ht="18" customHeight="1">
      <c r="A28" s="196"/>
      <c r="B28" s="47"/>
      <c r="C28" s="47"/>
      <c r="D28" s="47"/>
      <c r="E28" s="47"/>
      <c r="H28" s="27"/>
      <c r="I28" s="28"/>
      <c r="J28" s="211"/>
      <c r="L28" s="47"/>
      <c r="O28" s="27"/>
      <c r="P28" s="223"/>
      <c r="Q28" s="223"/>
      <c r="R28" s="204"/>
      <c r="V28" s="197"/>
    </row>
    <row r="29" spans="1:22" ht="18" customHeight="1">
      <c r="A29" s="196"/>
      <c r="B29" s="47" t="s">
        <v>679</v>
      </c>
      <c r="C29" s="47"/>
      <c r="D29" s="47"/>
      <c r="E29" s="47"/>
      <c r="H29" s="27"/>
      <c r="I29" s="28"/>
      <c r="J29" s="211"/>
      <c r="L29" s="28" t="s">
        <v>138</v>
      </c>
      <c r="M29" s="637">
        <f>D27</f>
        <v>0.1</v>
      </c>
      <c r="N29" s="637"/>
      <c r="O29" s="27" t="s">
        <v>358</v>
      </c>
      <c r="P29" s="637">
        <f>O27</f>
        <v>1.44186744</v>
      </c>
      <c r="Q29" s="637"/>
      <c r="R29" s="223" t="s">
        <v>138</v>
      </c>
      <c r="S29" s="637">
        <f>M29+P29</f>
        <v>1.5418674400000001</v>
      </c>
      <c r="T29" s="637"/>
      <c r="U29" s="204" t="s">
        <v>344</v>
      </c>
      <c r="V29" s="197"/>
    </row>
    <row r="30" spans="1:22" s="14" customFormat="1" ht="18" customHeight="1">
      <c r="A30" s="205" t="s">
        <v>611</v>
      </c>
      <c r="B30" s="5"/>
      <c r="C30" s="5"/>
      <c r="D30" s="5"/>
      <c r="E30" s="5"/>
      <c r="F30" s="5"/>
      <c r="G30" s="5"/>
      <c r="H30" s="224"/>
      <c r="I30" s="224"/>
      <c r="J30" s="5"/>
      <c r="K30" s="5"/>
      <c r="L30" s="5"/>
      <c r="M30" s="5"/>
      <c r="N30" s="5"/>
      <c r="O30" s="5"/>
      <c r="P30" s="103"/>
      <c r="Q30" s="224"/>
      <c r="R30" s="225"/>
      <c r="S30" s="226"/>
      <c r="T30" s="18"/>
      <c r="U30" s="18"/>
      <c r="V30" s="97"/>
    </row>
    <row r="31" spans="1:22" s="14" customFormat="1" ht="18" customHeight="1">
      <c r="A31" s="96"/>
      <c r="B31" s="47" t="s">
        <v>612</v>
      </c>
      <c r="C31" s="5"/>
      <c r="D31" s="5"/>
      <c r="E31" s="5"/>
      <c r="I31" s="227"/>
      <c r="M31" s="5"/>
      <c r="N31" s="103" t="s">
        <v>138</v>
      </c>
      <c r="O31" s="1131">
        <v>100</v>
      </c>
      <c r="P31" s="933"/>
      <c r="Q31" s="14" t="s">
        <v>613</v>
      </c>
      <c r="S31" s="226"/>
      <c r="T31" s="18"/>
      <c r="U31" s="18"/>
      <c r="V31" s="97"/>
    </row>
    <row r="32" spans="1:22" s="14" customFormat="1" ht="18" customHeight="1">
      <c r="A32" s="96"/>
      <c r="B32" s="47" t="s">
        <v>614</v>
      </c>
      <c r="C32" s="5"/>
      <c r="D32" s="5"/>
      <c r="E32" s="5"/>
      <c r="I32" s="227"/>
      <c r="M32" s="5"/>
      <c r="N32" s="103" t="s">
        <v>138</v>
      </c>
      <c r="O32" s="1131">
        <v>25</v>
      </c>
      <c r="P32" s="933"/>
      <c r="Q32" s="14" t="s">
        <v>615</v>
      </c>
      <c r="S32" s="226"/>
      <c r="T32" s="18"/>
      <c r="U32" s="18"/>
      <c r="V32" s="97"/>
    </row>
    <row r="33" spans="1:22" s="14" customFormat="1" ht="18" customHeight="1">
      <c r="A33" s="96"/>
      <c r="B33" s="47" t="s">
        <v>616</v>
      </c>
      <c r="C33" s="5"/>
      <c r="D33" s="5"/>
      <c r="E33" s="5"/>
      <c r="M33" s="120" t="s">
        <v>617</v>
      </c>
      <c r="N33" s="103" t="s">
        <v>618</v>
      </c>
      <c r="O33" s="1125">
        <v>33</v>
      </c>
      <c r="P33" s="651"/>
      <c r="Q33" s="14" t="s">
        <v>174</v>
      </c>
      <c r="S33" s="226"/>
      <c r="T33" s="18"/>
      <c r="U33" s="18"/>
      <c r="V33" s="97"/>
    </row>
    <row r="34" spans="1:22" s="14" customFormat="1" ht="18" customHeight="1">
      <c r="A34" s="228"/>
      <c r="B34" s="224"/>
      <c r="C34" s="224"/>
      <c r="D34" s="224"/>
      <c r="E34" s="224"/>
      <c r="T34" s="18"/>
      <c r="U34" s="18"/>
      <c r="V34" s="97"/>
    </row>
    <row r="35" spans="1:22" s="14" customFormat="1" ht="18" customHeight="1">
      <c r="A35" s="284" t="s">
        <v>619</v>
      </c>
      <c r="B35" s="225"/>
      <c r="C35" s="225"/>
      <c r="D35" s="225"/>
      <c r="E35" s="225"/>
      <c r="H35" s="120" t="s">
        <v>620</v>
      </c>
      <c r="I35" s="28" t="s">
        <v>138</v>
      </c>
      <c r="J35" s="638" t="s">
        <v>621</v>
      </c>
      <c r="K35" s="638"/>
      <c r="L35" s="28" t="s">
        <v>326</v>
      </c>
      <c r="M35" s="229">
        <v>1000</v>
      </c>
      <c r="N35" s="102" t="s">
        <v>353</v>
      </c>
      <c r="O35" s="28" t="s">
        <v>622</v>
      </c>
      <c r="P35" s="28" t="s">
        <v>326</v>
      </c>
      <c r="Q35" s="28" t="s">
        <v>617</v>
      </c>
      <c r="R35" s="47" t="s">
        <v>361</v>
      </c>
      <c r="T35" s="18"/>
      <c r="U35" s="18"/>
      <c r="V35" s="97"/>
    </row>
    <row r="36" spans="1:22" s="14" customFormat="1" ht="18" customHeight="1">
      <c r="A36" s="228"/>
      <c r="B36" s="225"/>
      <c r="C36" s="225"/>
      <c r="D36" s="225"/>
      <c r="E36" s="225"/>
      <c r="F36" s="224"/>
      <c r="G36" s="224"/>
      <c r="H36" s="28"/>
      <c r="I36" s="28" t="s">
        <v>138</v>
      </c>
      <c r="J36" s="638">
        <f>O31</f>
        <v>100</v>
      </c>
      <c r="K36" s="638"/>
      <c r="L36" s="28" t="s">
        <v>326</v>
      </c>
      <c r="M36" s="229">
        <v>1000</v>
      </c>
      <c r="N36" s="102" t="s">
        <v>353</v>
      </c>
      <c r="O36" s="28" t="s">
        <v>622</v>
      </c>
      <c r="P36" s="28" t="s">
        <v>326</v>
      </c>
      <c r="Q36" s="28">
        <f>O33</f>
        <v>33</v>
      </c>
      <c r="R36" s="47" t="s">
        <v>361</v>
      </c>
      <c r="T36" s="18"/>
      <c r="U36" s="18"/>
      <c r="V36" s="97"/>
    </row>
    <row r="37" spans="1:22" s="14" customFormat="1" ht="18" customHeight="1">
      <c r="A37" s="228"/>
      <c r="B37" s="224"/>
      <c r="C37" s="224"/>
      <c r="D37" s="224"/>
      <c r="E37" s="224"/>
      <c r="F37" s="224"/>
      <c r="G37" s="224"/>
      <c r="I37" s="28" t="s">
        <v>138</v>
      </c>
      <c r="J37" s="641">
        <f>(O31*1000)/(SQRT(3)*O33)</f>
        <v>1749.5462702715934</v>
      </c>
      <c r="K37" s="641"/>
      <c r="L37" s="14" t="s">
        <v>9</v>
      </c>
      <c r="M37" s="120"/>
      <c r="N37" s="120"/>
      <c r="O37" s="120"/>
      <c r="T37" s="18"/>
      <c r="U37" s="18"/>
      <c r="V37" s="97"/>
    </row>
    <row r="38" spans="1:22" s="14" customFormat="1" ht="18" customHeight="1">
      <c r="A38" s="228"/>
      <c r="B38" s="224"/>
      <c r="C38" s="224"/>
      <c r="D38" s="224"/>
      <c r="E38" s="224"/>
      <c r="G38" s="224"/>
      <c r="H38" s="28"/>
      <c r="I38" s="103"/>
      <c r="J38" s="28"/>
      <c r="M38" s="224"/>
      <c r="N38" s="231"/>
      <c r="O38" s="224"/>
      <c r="T38" s="18"/>
      <c r="U38" s="18"/>
      <c r="V38" s="97"/>
    </row>
    <row r="39" spans="1:22" s="14" customFormat="1" ht="18" customHeight="1">
      <c r="A39" s="159" t="s">
        <v>680</v>
      </c>
      <c r="B39" s="5"/>
      <c r="C39" s="5"/>
      <c r="D39" s="5"/>
      <c r="E39" s="5"/>
      <c r="F39" s="224"/>
      <c r="G39" s="224"/>
      <c r="H39" s="5"/>
      <c r="I39" s="5"/>
      <c r="J39" s="5"/>
      <c r="K39" s="5"/>
      <c r="L39" s="103"/>
      <c r="M39" s="103"/>
      <c r="N39" s="103"/>
      <c r="O39" s="103"/>
      <c r="P39" s="224"/>
      <c r="Q39" s="225"/>
      <c r="U39" s="18"/>
      <c r="V39" s="97"/>
    </row>
    <row r="40" spans="1:22" s="14" customFormat="1" ht="18" customHeight="1">
      <c r="A40" s="159"/>
      <c r="B40" s="5"/>
      <c r="C40" s="5"/>
      <c r="D40" s="5"/>
      <c r="E40" s="5"/>
      <c r="F40" s="224"/>
      <c r="G40" s="224"/>
      <c r="H40" s="5"/>
      <c r="I40" s="5"/>
      <c r="J40" s="5"/>
      <c r="K40" s="5"/>
      <c r="L40" s="103"/>
      <c r="M40" s="103"/>
      <c r="N40" s="103"/>
      <c r="O40" s="103"/>
      <c r="P40" s="224"/>
      <c r="Q40" s="225"/>
      <c r="S40" s="226"/>
      <c r="T40" s="18"/>
      <c r="U40" s="18"/>
      <c r="V40" s="97"/>
    </row>
    <row r="41" spans="1:22" ht="18" customHeight="1">
      <c r="A41" s="196" t="s">
        <v>681</v>
      </c>
      <c r="B41" s="14"/>
      <c r="C41" s="14"/>
      <c r="D41" s="14"/>
      <c r="E41" s="14"/>
      <c r="M41" s="120"/>
      <c r="N41" s="27" t="s">
        <v>138</v>
      </c>
      <c r="O41" s="638">
        <v>50000</v>
      </c>
      <c r="P41" s="920"/>
      <c r="Q41" s="474" t="s">
        <v>9</v>
      </c>
      <c r="R41" s="233"/>
      <c r="S41" s="226"/>
      <c r="V41" s="197"/>
    </row>
    <row r="42" spans="1:22" ht="18" customHeight="1">
      <c r="A42" s="196"/>
      <c r="B42" s="14"/>
      <c r="C42" s="14"/>
      <c r="D42" s="14"/>
      <c r="E42" s="14"/>
      <c r="M42" s="120"/>
      <c r="N42" s="27"/>
      <c r="O42" s="28"/>
      <c r="P42" s="14"/>
      <c r="Q42" s="474"/>
      <c r="R42" s="233"/>
      <c r="S42" s="226"/>
      <c r="V42" s="197"/>
    </row>
    <row r="43" spans="1:22" ht="18" customHeight="1">
      <c r="A43" s="196"/>
      <c r="B43" s="14"/>
      <c r="C43" s="14"/>
      <c r="D43" s="14"/>
      <c r="E43" s="14"/>
      <c r="M43" s="120"/>
      <c r="N43" s="27"/>
      <c r="O43" s="28"/>
      <c r="P43" s="14"/>
      <c r="Q43" s="474"/>
      <c r="R43" s="233"/>
      <c r="S43" s="226"/>
      <c r="V43" s="197"/>
    </row>
    <row r="44" spans="1:22" ht="18" customHeight="1">
      <c r="A44" s="196"/>
      <c r="B44" s="638" t="s">
        <v>484</v>
      </c>
      <c r="C44" s="1124" t="s">
        <v>663</v>
      </c>
      <c r="D44" s="291"/>
      <c r="E44" s="291"/>
      <c r="F44" s="291"/>
      <c r="G44" s="1008">
        <v>0.4</v>
      </c>
      <c r="H44" s="1156" t="s">
        <v>326</v>
      </c>
      <c r="I44" s="701" t="s">
        <v>682</v>
      </c>
      <c r="J44" s="1099"/>
      <c r="K44" s="1099"/>
      <c r="L44" s="1099"/>
      <c r="M44" s="1099"/>
      <c r="N44" s="638" t="s">
        <v>683</v>
      </c>
      <c r="O44" s="661" t="s">
        <v>431</v>
      </c>
      <c r="P44" s="638" t="s">
        <v>358</v>
      </c>
      <c r="Q44" s="701" t="s">
        <v>684</v>
      </c>
      <c r="R44" s="661" t="s">
        <v>685</v>
      </c>
      <c r="S44" s="701" t="s">
        <v>493</v>
      </c>
      <c r="T44" s="14"/>
      <c r="U44" s="958" t="s">
        <v>664</v>
      </c>
      <c r="V44" s="197"/>
    </row>
    <row r="45" spans="1:22" ht="18" customHeight="1">
      <c r="A45" s="96"/>
      <c r="B45" s="638"/>
      <c r="C45" s="638"/>
      <c r="D45" s="291"/>
      <c r="E45" s="291"/>
      <c r="F45" s="291"/>
      <c r="G45" s="1008"/>
      <c r="H45" s="638"/>
      <c r="I45" s="825" t="s">
        <v>494</v>
      </c>
      <c r="J45" s="1158"/>
      <c r="K45" s="1158"/>
      <c r="L45" s="1158"/>
      <c r="M45" s="1158"/>
      <c r="N45" s="638"/>
      <c r="O45" s="638"/>
      <c r="P45" s="638"/>
      <c r="Q45" s="638"/>
      <c r="R45" s="638"/>
      <c r="S45" s="638"/>
      <c r="T45" s="14"/>
      <c r="U45" s="638"/>
      <c r="V45" s="197"/>
    </row>
    <row r="46" spans="1:22" ht="18" customHeight="1">
      <c r="A46" s="96"/>
      <c r="B46" s="5"/>
      <c r="C46" s="5"/>
      <c r="D46" s="5"/>
      <c r="E46" s="5"/>
      <c r="M46" s="120"/>
      <c r="N46" s="28"/>
      <c r="O46" s="638"/>
      <c r="P46" s="920"/>
      <c r="Q46" s="253"/>
      <c r="R46" s="14"/>
      <c r="S46" s="226"/>
      <c r="V46" s="197"/>
    </row>
    <row r="47" spans="1:22" s="14" customFormat="1" ht="18" customHeight="1">
      <c r="A47" s="206"/>
      <c r="B47" s="207"/>
      <c r="C47" s="207"/>
      <c r="D47" s="207"/>
      <c r="E47" s="207"/>
      <c r="F47" s="207"/>
      <c r="G47" s="207"/>
      <c r="H47" s="207"/>
      <c r="I47" s="207"/>
      <c r="J47" s="207"/>
      <c r="K47" s="207"/>
      <c r="L47" s="207"/>
      <c r="M47" s="207"/>
      <c r="N47" s="207"/>
      <c r="O47" s="207"/>
      <c r="P47" s="207"/>
      <c r="Q47" s="236"/>
      <c r="R47" s="194"/>
      <c r="S47" s="237"/>
      <c r="T47" s="207"/>
      <c r="U47" s="207"/>
      <c r="V47" s="140"/>
    </row>
    <row r="48" spans="1:22" s="14" customFormat="1" ht="18" customHeight="1">
      <c r="A48" s="141"/>
      <c r="B48" s="285"/>
      <c r="C48" s="285"/>
      <c r="D48" s="285"/>
      <c r="E48" s="285"/>
      <c r="F48" s="285"/>
      <c r="G48" s="285"/>
      <c r="H48" s="285"/>
      <c r="I48" s="285"/>
      <c r="J48" s="285"/>
      <c r="K48" s="285"/>
      <c r="L48" s="285"/>
      <c r="M48" s="285"/>
      <c r="N48" s="285"/>
      <c r="O48" s="285"/>
      <c r="P48" s="285"/>
      <c r="Q48" s="286"/>
      <c r="R48" s="145"/>
      <c r="S48" s="287"/>
      <c r="T48" s="285"/>
      <c r="U48" s="285"/>
      <c r="V48" s="288"/>
    </row>
    <row r="49" spans="1:22" ht="18" customHeight="1">
      <c r="A49" s="196"/>
      <c r="V49" s="197"/>
    </row>
    <row r="50" spans="1:22" ht="18" customHeight="1">
      <c r="A50" s="196"/>
      <c r="B50" s="47" t="s">
        <v>686</v>
      </c>
      <c r="C50" s="14"/>
      <c r="D50" s="14"/>
      <c r="E50" s="14"/>
      <c r="F50" s="18"/>
      <c r="G50" s="18"/>
      <c r="H50" s="14"/>
      <c r="I50" s="120"/>
      <c r="J50" s="14"/>
      <c r="K50" s="14"/>
      <c r="M50" s="14"/>
      <c r="N50" s="14"/>
      <c r="P50" s="30" t="s">
        <v>494</v>
      </c>
      <c r="R50" s="246" t="s">
        <v>138</v>
      </c>
      <c r="S50" s="639">
        <f>H10</f>
        <v>2500</v>
      </c>
      <c r="T50" s="639"/>
      <c r="U50" s="30" t="s">
        <v>9</v>
      </c>
      <c r="V50" s="197"/>
    </row>
    <row r="51" spans="1:22" ht="18" customHeight="1">
      <c r="A51" s="196"/>
      <c r="B51" s="47" t="s">
        <v>666</v>
      </c>
      <c r="C51" s="14"/>
      <c r="D51" s="14"/>
      <c r="E51" s="14"/>
      <c r="F51" s="18"/>
      <c r="G51" s="18"/>
      <c r="H51" s="14"/>
      <c r="I51" s="120"/>
      <c r="J51" s="14"/>
      <c r="K51" s="14"/>
      <c r="M51" s="14"/>
      <c r="N51" s="14"/>
      <c r="P51" s="14" t="s">
        <v>431</v>
      </c>
      <c r="R51" s="246" t="s">
        <v>138</v>
      </c>
      <c r="S51" s="639">
        <f>H12</f>
        <v>10</v>
      </c>
      <c r="T51" s="639"/>
      <c r="U51" s="204" t="s">
        <v>344</v>
      </c>
      <c r="V51" s="197"/>
    </row>
    <row r="52" spans="1:22" ht="18" customHeight="1">
      <c r="A52" s="196"/>
      <c r="B52" s="47" t="s">
        <v>687</v>
      </c>
      <c r="C52" s="14"/>
      <c r="D52" s="14"/>
      <c r="E52" s="14"/>
      <c r="F52" s="18"/>
      <c r="G52" s="18"/>
      <c r="H52" s="14"/>
      <c r="I52" s="120"/>
      <c r="J52" s="14"/>
      <c r="K52" s="14"/>
      <c r="M52" s="14"/>
      <c r="N52" s="14"/>
      <c r="P52" s="30" t="s">
        <v>684</v>
      </c>
      <c r="R52" s="246" t="s">
        <v>138</v>
      </c>
      <c r="S52" s="637">
        <f>S29</f>
        <v>1.5418674400000001</v>
      </c>
      <c r="T52" s="637"/>
      <c r="U52" s="204" t="s">
        <v>344</v>
      </c>
      <c r="V52" s="197"/>
    </row>
    <row r="53" spans="1:22" ht="18" customHeight="1">
      <c r="A53" s="196"/>
      <c r="B53" s="308" t="s">
        <v>688</v>
      </c>
      <c r="C53" s="14"/>
      <c r="D53" s="14"/>
      <c r="E53" s="14"/>
      <c r="F53" s="14"/>
      <c r="G53" s="14"/>
      <c r="H53" s="14"/>
      <c r="I53" s="120"/>
      <c r="J53" s="14"/>
      <c r="K53" s="14"/>
      <c r="M53" s="14"/>
      <c r="N53" s="14"/>
      <c r="P53" s="14" t="s">
        <v>422</v>
      </c>
      <c r="R53" s="246" t="s">
        <v>138</v>
      </c>
      <c r="S53" s="639">
        <f>O10</f>
        <v>1</v>
      </c>
      <c r="T53" s="639"/>
      <c r="U53" s="30" t="s">
        <v>9</v>
      </c>
      <c r="V53" s="197"/>
    </row>
    <row r="54" spans="1:22" ht="18" customHeight="1">
      <c r="A54" s="196"/>
      <c r="B54" s="47" t="s">
        <v>689</v>
      </c>
      <c r="C54" s="14"/>
      <c r="D54" s="14"/>
      <c r="E54" s="14"/>
      <c r="F54" s="14"/>
      <c r="G54" s="14"/>
      <c r="H54" s="14"/>
      <c r="I54" s="120"/>
      <c r="J54" s="14"/>
      <c r="K54" s="14"/>
      <c r="M54" s="14"/>
      <c r="N54" s="14"/>
      <c r="P54" s="256" t="s">
        <v>682</v>
      </c>
      <c r="R54" s="246" t="s">
        <v>138</v>
      </c>
      <c r="S54" s="639">
        <f>O41</f>
        <v>50000</v>
      </c>
      <c r="T54" s="639"/>
      <c r="U54" s="30" t="s">
        <v>9</v>
      </c>
      <c r="V54" s="197"/>
    </row>
    <row r="55" spans="1:22" ht="18" customHeight="1">
      <c r="A55" s="196"/>
      <c r="B55" s="308" t="s">
        <v>690</v>
      </c>
      <c r="C55" s="14"/>
      <c r="D55" s="14"/>
      <c r="E55" s="14"/>
      <c r="F55" s="14"/>
      <c r="G55" s="14"/>
      <c r="H55" s="14"/>
      <c r="I55" s="120"/>
      <c r="J55" s="14"/>
      <c r="K55" s="14"/>
      <c r="M55" s="14"/>
      <c r="N55" s="14"/>
      <c r="P55" s="120" t="s">
        <v>691</v>
      </c>
      <c r="R55" s="246" t="s">
        <v>138</v>
      </c>
      <c r="S55" s="637">
        <f>J37</f>
        <v>1749.5462702715934</v>
      </c>
      <c r="T55" s="639"/>
      <c r="U55" s="30" t="s">
        <v>9</v>
      </c>
      <c r="V55" s="197"/>
    </row>
    <row r="56" spans="1:22" ht="18" customHeight="1">
      <c r="A56" s="196"/>
      <c r="B56" s="47" t="s">
        <v>670</v>
      </c>
      <c r="C56" s="14"/>
      <c r="D56" s="14"/>
      <c r="E56" s="14"/>
      <c r="F56" s="14"/>
      <c r="G56" s="14"/>
      <c r="H56" s="14"/>
      <c r="I56" s="120"/>
      <c r="J56" s="14"/>
      <c r="K56" s="14"/>
      <c r="M56" s="14"/>
      <c r="N56" s="14"/>
      <c r="P56" s="120" t="s">
        <v>671</v>
      </c>
      <c r="R56" s="246" t="s">
        <v>138</v>
      </c>
      <c r="S56" s="639">
        <f>'[5]CT-VT Burdens'!S18</f>
        <v>1</v>
      </c>
      <c r="T56" s="639"/>
      <c r="U56" s="30" t="s">
        <v>9</v>
      </c>
      <c r="V56" s="197"/>
    </row>
    <row r="57" spans="1:22" ht="18" customHeight="1">
      <c r="A57" s="96"/>
      <c r="B57" s="14"/>
      <c r="C57" s="14"/>
      <c r="D57" s="247"/>
      <c r="E57" s="14"/>
      <c r="F57" s="28"/>
      <c r="G57" s="261"/>
      <c r="H57" s="28"/>
      <c r="I57" s="263"/>
      <c r="J57" s="14"/>
      <c r="K57" s="292"/>
      <c r="M57" s="47"/>
      <c r="N57" s="280"/>
      <c r="P57" s="293"/>
      <c r="R57" s="246"/>
      <c r="S57" s="1161"/>
      <c r="T57" s="985"/>
      <c r="V57" s="197"/>
    </row>
    <row r="58" spans="1:22" s="291" customFormat="1" ht="18" customHeight="1">
      <c r="A58" s="289"/>
      <c r="B58" s="638" t="s">
        <v>484</v>
      </c>
      <c r="C58" s="1124" t="s">
        <v>663</v>
      </c>
      <c r="G58" s="1008">
        <f>G44</f>
        <v>0.4</v>
      </c>
      <c r="H58" s="1157" t="s">
        <v>326</v>
      </c>
      <c r="I58" s="1026">
        <f>O41</f>
        <v>50000</v>
      </c>
      <c r="J58" s="1159"/>
      <c r="K58" s="1159"/>
      <c r="L58" s="1159"/>
      <c r="M58" s="1159"/>
      <c r="N58" s="638" t="s">
        <v>683</v>
      </c>
      <c r="O58" s="661">
        <f>S51</f>
        <v>10</v>
      </c>
      <c r="P58" s="638" t="s">
        <v>358</v>
      </c>
      <c r="Q58" s="1026">
        <f>S52</f>
        <v>1.5418674400000001</v>
      </c>
      <c r="R58" s="661" t="s">
        <v>685</v>
      </c>
      <c r="S58" s="661">
        <f>S53</f>
        <v>1</v>
      </c>
      <c r="T58" s="14"/>
      <c r="U58" s="958" t="s">
        <v>664</v>
      </c>
      <c r="V58" s="197"/>
    </row>
    <row r="59" spans="1:22" s="291" customFormat="1" ht="18" customHeight="1">
      <c r="A59" s="289"/>
      <c r="B59" s="638"/>
      <c r="C59" s="638"/>
      <c r="G59" s="1008"/>
      <c r="H59" s="639"/>
      <c r="I59" s="1158">
        <f>H10</f>
        <v>2500</v>
      </c>
      <c r="J59" s="1158"/>
      <c r="K59" s="1158"/>
      <c r="L59" s="1158"/>
      <c r="M59" s="1158"/>
      <c r="N59" s="638"/>
      <c r="O59" s="638"/>
      <c r="P59" s="638"/>
      <c r="Q59" s="638"/>
      <c r="R59" s="638"/>
      <c r="S59" s="638"/>
      <c r="T59" s="14"/>
      <c r="U59" s="638"/>
      <c r="V59" s="197"/>
    </row>
    <row r="60" spans="1:22" ht="18" customHeight="1">
      <c r="A60" s="96"/>
      <c r="B60" s="14"/>
      <c r="C60" s="27" t="s">
        <v>138</v>
      </c>
      <c r="D60" s="798">
        <f>ROUNDUP(G58*(I58/(I59)*(O58+Q58)*S58),2)</f>
        <v>92.34</v>
      </c>
      <c r="E60" s="799"/>
      <c r="F60" s="30" t="s">
        <v>316</v>
      </c>
      <c r="G60" s="14"/>
      <c r="H60" s="14"/>
      <c r="I60" s="14"/>
      <c r="J60" s="14"/>
      <c r="K60" s="14"/>
      <c r="L60" s="14"/>
      <c r="M60" s="14"/>
      <c r="N60" s="14"/>
      <c r="R60" s="246"/>
      <c r="S60" s="216"/>
      <c r="V60" s="197"/>
    </row>
    <row r="61" spans="1:22" ht="18" customHeight="1">
      <c r="A61" s="96"/>
      <c r="B61" s="14"/>
      <c r="G61" s="14"/>
      <c r="H61" s="14"/>
      <c r="I61" s="14"/>
      <c r="J61" s="14"/>
      <c r="K61" s="14"/>
      <c r="L61" s="14"/>
      <c r="M61" s="14"/>
      <c r="N61" s="14"/>
      <c r="R61" s="246"/>
      <c r="S61" s="216"/>
      <c r="V61" s="197"/>
    </row>
    <row r="62" spans="1:22" ht="18" hidden="1" customHeight="1">
      <c r="A62" s="96"/>
      <c r="B62" s="14"/>
      <c r="G62" s="27"/>
      <c r="M62" s="14"/>
      <c r="N62" s="14"/>
      <c r="R62" s="246"/>
      <c r="S62" s="216"/>
      <c r="V62" s="197"/>
    </row>
    <row r="63" spans="1:22" ht="18" hidden="1" customHeight="1">
      <c r="A63" s="96"/>
      <c r="B63" s="14"/>
      <c r="G63" s="27"/>
      <c r="H63" s="216"/>
      <c r="M63" s="14"/>
      <c r="N63" s="14"/>
      <c r="R63" s="246"/>
      <c r="S63" s="216"/>
      <c r="V63" s="197"/>
    </row>
    <row r="64" spans="1:22" ht="18" hidden="1" customHeight="1">
      <c r="A64" s="96"/>
      <c r="B64" s="14"/>
      <c r="F64" s="256"/>
      <c r="H64" s="18"/>
      <c r="M64" s="14"/>
      <c r="N64" s="14"/>
      <c r="R64" s="246"/>
      <c r="S64" s="216"/>
      <c r="V64" s="197"/>
    </row>
    <row r="65" spans="1:22" ht="18" hidden="1" customHeight="1">
      <c r="A65" s="96"/>
      <c r="B65" s="14"/>
      <c r="G65" s="14"/>
      <c r="H65" s="14"/>
      <c r="I65" s="14"/>
      <c r="J65" s="14"/>
      <c r="K65" s="14"/>
      <c r="L65" s="14"/>
      <c r="M65" s="14"/>
      <c r="N65" s="14"/>
      <c r="R65" s="246"/>
      <c r="S65" s="216"/>
      <c r="V65" s="197"/>
    </row>
    <row r="66" spans="1:22" ht="18" customHeight="1">
      <c r="A66" s="196" t="s">
        <v>623</v>
      </c>
      <c r="B66" s="14"/>
      <c r="C66" s="14"/>
      <c r="D66" s="14"/>
      <c r="E66" s="14"/>
      <c r="M66" s="120" t="s">
        <v>624</v>
      </c>
      <c r="N66" s="28" t="s">
        <v>138</v>
      </c>
      <c r="O66" s="638" t="s">
        <v>620</v>
      </c>
      <c r="P66" s="920"/>
      <c r="Q66" s="257" t="s">
        <v>692</v>
      </c>
      <c r="R66" s="861" t="str">
        <f>B32</f>
        <v>Percentage Impedance</v>
      </c>
      <c r="S66" s="861"/>
      <c r="T66" s="861"/>
      <c r="U66" s="861"/>
      <c r="V66" s="847"/>
    </row>
    <row r="67" spans="1:22" ht="18" customHeight="1">
      <c r="A67" s="96"/>
      <c r="B67" s="5"/>
      <c r="C67" s="5"/>
      <c r="D67" s="5"/>
      <c r="E67" s="5"/>
      <c r="M67" s="262"/>
      <c r="N67" s="28" t="s">
        <v>138</v>
      </c>
      <c r="O67" s="641">
        <f>J37</f>
        <v>1749.5462702715934</v>
      </c>
      <c r="P67" s="920"/>
      <c r="Q67" s="257" t="s">
        <v>353</v>
      </c>
      <c r="R67" s="233">
        <f>O32%</f>
        <v>0.25</v>
      </c>
      <c r="S67" s="226"/>
      <c r="V67" s="197"/>
    </row>
    <row r="68" spans="1:22" ht="18" customHeight="1">
      <c r="A68" s="96"/>
      <c r="B68" s="5"/>
      <c r="C68" s="5"/>
      <c r="D68" s="5"/>
      <c r="E68" s="5"/>
      <c r="M68" s="120" t="s">
        <v>624</v>
      </c>
      <c r="N68" s="28" t="s">
        <v>138</v>
      </c>
      <c r="O68" s="638">
        <f>O67/R67</f>
        <v>6998.1850810863734</v>
      </c>
      <c r="P68" s="920"/>
      <c r="Q68" s="253" t="s">
        <v>9</v>
      </c>
      <c r="R68" s="14"/>
      <c r="S68" s="226"/>
      <c r="V68" s="197"/>
    </row>
    <row r="69" spans="1:22" ht="18" customHeight="1">
      <c r="A69" s="96"/>
      <c r="B69" s="5"/>
      <c r="C69" s="5"/>
      <c r="D69" s="5"/>
      <c r="E69" s="5"/>
      <c r="M69" s="120"/>
      <c r="N69" s="28"/>
      <c r="O69" s="28"/>
      <c r="P69" s="14"/>
      <c r="Q69" s="253"/>
      <c r="R69" s="14"/>
      <c r="S69" s="226"/>
      <c r="V69" s="197"/>
    </row>
    <row r="70" spans="1:22" s="291" customFormat="1" ht="18" customHeight="1">
      <c r="A70" s="289"/>
      <c r="B70" s="638" t="s">
        <v>484</v>
      </c>
      <c r="C70" s="1124" t="s">
        <v>663</v>
      </c>
      <c r="G70" s="1008">
        <v>1.6</v>
      </c>
      <c r="H70" s="1156" t="s">
        <v>326</v>
      </c>
      <c r="I70" s="701" t="s">
        <v>693</v>
      </c>
      <c r="J70" s="1099"/>
      <c r="K70" s="1099"/>
      <c r="L70" s="1099"/>
      <c r="M70" s="1099"/>
      <c r="N70" s="638" t="s">
        <v>683</v>
      </c>
      <c r="O70" s="661" t="s">
        <v>431</v>
      </c>
      <c r="P70" s="638" t="s">
        <v>358</v>
      </c>
      <c r="Q70" s="701" t="s">
        <v>684</v>
      </c>
      <c r="R70" s="661" t="s">
        <v>685</v>
      </c>
      <c r="S70" s="701" t="s">
        <v>493</v>
      </c>
      <c r="T70" s="14"/>
      <c r="U70" s="1160" t="s">
        <v>694</v>
      </c>
      <c r="V70" s="197"/>
    </row>
    <row r="71" spans="1:22" s="291" customFormat="1" ht="18" customHeight="1">
      <c r="A71" s="289"/>
      <c r="B71" s="638"/>
      <c r="C71" s="638"/>
      <c r="G71" s="1008"/>
      <c r="H71" s="638"/>
      <c r="I71" s="825" t="s">
        <v>494</v>
      </c>
      <c r="J71" s="1158"/>
      <c r="K71" s="1158"/>
      <c r="L71" s="1158"/>
      <c r="M71" s="1158"/>
      <c r="N71" s="638"/>
      <c r="O71" s="638"/>
      <c r="P71" s="638"/>
      <c r="Q71" s="638"/>
      <c r="R71" s="638"/>
      <c r="S71" s="638"/>
      <c r="T71" s="14"/>
      <c r="U71" s="638"/>
      <c r="V71" s="197"/>
    </row>
    <row r="72" spans="1:22" ht="18" customHeight="1">
      <c r="A72" s="196"/>
      <c r="V72" s="197"/>
    </row>
    <row r="73" spans="1:22" ht="18" customHeight="1">
      <c r="A73" s="196"/>
      <c r="B73" s="47" t="s">
        <v>686</v>
      </c>
      <c r="C73" s="14"/>
      <c r="D73" s="14"/>
      <c r="E73" s="14"/>
      <c r="F73" s="18"/>
      <c r="G73" s="18"/>
      <c r="H73" s="14"/>
      <c r="I73" s="120"/>
      <c r="J73" s="14"/>
      <c r="K73" s="14"/>
      <c r="M73" s="14"/>
      <c r="N73" s="14"/>
      <c r="P73" s="30" t="s">
        <v>494</v>
      </c>
      <c r="R73" s="246" t="s">
        <v>138</v>
      </c>
      <c r="S73" s="639">
        <f>H10</f>
        <v>2500</v>
      </c>
      <c r="T73" s="639"/>
      <c r="U73" s="30" t="s">
        <v>9</v>
      </c>
      <c r="V73" s="197"/>
    </row>
    <row r="74" spans="1:22" ht="18" customHeight="1">
      <c r="A74" s="196"/>
      <c r="B74" s="47" t="s">
        <v>666</v>
      </c>
      <c r="C74" s="14"/>
      <c r="D74" s="14"/>
      <c r="E74" s="14"/>
      <c r="F74" s="18"/>
      <c r="G74" s="18"/>
      <c r="H74" s="14"/>
      <c r="I74" s="120"/>
      <c r="J74" s="14"/>
      <c r="K74" s="14"/>
      <c r="M74" s="14"/>
      <c r="N74" s="14"/>
      <c r="P74" s="14" t="s">
        <v>431</v>
      </c>
      <c r="R74" s="246" t="s">
        <v>138</v>
      </c>
      <c r="S74" s="639">
        <f>H12</f>
        <v>10</v>
      </c>
      <c r="T74" s="639"/>
      <c r="U74" s="204" t="s">
        <v>344</v>
      </c>
      <c r="V74" s="197"/>
    </row>
    <row r="75" spans="1:22" ht="18" customHeight="1">
      <c r="A75" s="196"/>
      <c r="B75" s="47" t="s">
        <v>687</v>
      </c>
      <c r="C75" s="14"/>
      <c r="D75" s="14"/>
      <c r="E75" s="14"/>
      <c r="F75" s="18"/>
      <c r="G75" s="18"/>
      <c r="H75" s="14"/>
      <c r="I75" s="120"/>
      <c r="J75" s="14"/>
      <c r="K75" s="14"/>
      <c r="M75" s="14"/>
      <c r="N75" s="14"/>
      <c r="P75" s="30" t="s">
        <v>684</v>
      </c>
      <c r="R75" s="246" t="s">
        <v>138</v>
      </c>
      <c r="S75" s="637">
        <f>S29</f>
        <v>1.5418674400000001</v>
      </c>
      <c r="T75" s="637"/>
      <c r="U75" s="204" t="s">
        <v>344</v>
      </c>
      <c r="V75" s="197"/>
    </row>
    <row r="76" spans="1:22" ht="18" customHeight="1">
      <c r="A76" s="196"/>
      <c r="B76" s="308" t="s">
        <v>688</v>
      </c>
      <c r="C76" s="14"/>
      <c r="D76" s="14"/>
      <c r="E76" s="14"/>
      <c r="F76" s="14"/>
      <c r="G76" s="14"/>
      <c r="H76" s="14"/>
      <c r="I76" s="120"/>
      <c r="J76" s="14"/>
      <c r="K76" s="14"/>
      <c r="M76" s="14"/>
      <c r="N76" s="14"/>
      <c r="P76" s="14" t="s">
        <v>422</v>
      </c>
      <c r="R76" s="246" t="s">
        <v>138</v>
      </c>
      <c r="S76" s="639">
        <f>O10</f>
        <v>1</v>
      </c>
      <c r="T76" s="639"/>
      <c r="U76" s="30" t="s">
        <v>9</v>
      </c>
      <c r="V76" s="197"/>
    </row>
    <row r="77" spans="1:22" ht="18" customHeight="1">
      <c r="A77" s="196"/>
      <c r="B77" s="47" t="s">
        <v>689</v>
      </c>
      <c r="C77" s="14"/>
      <c r="D77" s="14"/>
      <c r="E77" s="14"/>
      <c r="F77" s="14"/>
      <c r="G77" s="14"/>
      <c r="H77" s="14"/>
      <c r="I77" s="120"/>
      <c r="J77" s="14"/>
      <c r="K77" s="14"/>
      <c r="M77" s="14"/>
      <c r="N77" s="14"/>
      <c r="P77" s="256" t="s">
        <v>693</v>
      </c>
      <c r="R77" s="246" t="s">
        <v>138</v>
      </c>
      <c r="S77" s="639">
        <f>O68</f>
        <v>6998.1850810863734</v>
      </c>
      <c r="T77" s="639"/>
      <c r="U77" s="30" t="s">
        <v>9</v>
      </c>
      <c r="V77" s="197"/>
    </row>
    <row r="78" spans="1:22" ht="18" customHeight="1">
      <c r="A78" s="196"/>
      <c r="B78" s="308" t="s">
        <v>690</v>
      </c>
      <c r="C78" s="14"/>
      <c r="D78" s="14"/>
      <c r="E78" s="14"/>
      <c r="F78" s="14"/>
      <c r="G78" s="14"/>
      <c r="H78" s="14"/>
      <c r="I78" s="120"/>
      <c r="J78" s="14"/>
      <c r="K78" s="14"/>
      <c r="M78" s="14"/>
      <c r="N78" s="14"/>
      <c r="P78" s="120" t="s">
        <v>691</v>
      </c>
      <c r="R78" s="246" t="s">
        <v>138</v>
      </c>
      <c r="S78" s="637">
        <f>J37</f>
        <v>1749.5462702715934</v>
      </c>
      <c r="T78" s="639"/>
      <c r="U78" s="30" t="s">
        <v>9</v>
      </c>
      <c r="V78" s="197"/>
    </row>
    <row r="79" spans="1:22" ht="18" customHeight="1">
      <c r="A79" s="196"/>
      <c r="B79" s="47" t="s">
        <v>670</v>
      </c>
      <c r="C79" s="14"/>
      <c r="D79" s="14"/>
      <c r="E79" s="14"/>
      <c r="F79" s="14"/>
      <c r="G79" s="14"/>
      <c r="H79" s="14"/>
      <c r="I79" s="120"/>
      <c r="J79" s="14"/>
      <c r="K79" s="14"/>
      <c r="M79" s="14"/>
      <c r="N79" s="14"/>
      <c r="P79" s="120" t="s">
        <v>671</v>
      </c>
      <c r="R79" s="246" t="s">
        <v>138</v>
      </c>
      <c r="S79" s="639">
        <f>O10</f>
        <v>1</v>
      </c>
      <c r="T79" s="639"/>
      <c r="U79" s="30" t="s">
        <v>9</v>
      </c>
      <c r="V79" s="197"/>
    </row>
    <row r="80" spans="1:22" ht="18" customHeight="1">
      <c r="A80" s="96"/>
      <c r="B80" s="14"/>
      <c r="C80" s="14"/>
      <c r="D80" s="247"/>
      <c r="E80" s="14"/>
      <c r="F80" s="28"/>
      <c r="G80" s="261"/>
      <c r="H80" s="28"/>
      <c r="I80" s="263"/>
      <c r="J80" s="14"/>
      <c r="K80" s="292"/>
      <c r="M80" s="47"/>
      <c r="N80" s="280"/>
      <c r="P80" s="293"/>
      <c r="R80" s="246"/>
      <c r="S80" s="1161"/>
      <c r="T80" s="985"/>
      <c r="V80" s="197"/>
    </row>
    <row r="81" spans="1:27" s="291" customFormat="1" ht="18" customHeight="1">
      <c r="A81" s="289"/>
      <c r="B81" s="638" t="s">
        <v>484</v>
      </c>
      <c r="C81" s="1124" t="s">
        <v>663</v>
      </c>
      <c r="G81" s="1008">
        <f>G70</f>
        <v>1.6</v>
      </c>
      <c r="H81" s="1157" t="s">
        <v>326</v>
      </c>
      <c r="I81" s="1026">
        <f>O68</f>
        <v>6998.1850810863734</v>
      </c>
      <c r="J81" s="1159"/>
      <c r="K81" s="1159"/>
      <c r="L81" s="1159"/>
      <c r="M81" s="1159"/>
      <c r="N81" s="638" t="s">
        <v>683</v>
      </c>
      <c r="O81" s="661">
        <f>S74</f>
        <v>10</v>
      </c>
      <c r="P81" s="638" t="s">
        <v>358</v>
      </c>
      <c r="Q81" s="1026">
        <f>S75</f>
        <v>1.5418674400000001</v>
      </c>
      <c r="R81" s="661" t="s">
        <v>685</v>
      </c>
      <c r="S81" s="661">
        <f>S76</f>
        <v>1</v>
      </c>
      <c r="T81" s="14"/>
      <c r="U81" s="1160" t="s">
        <v>694</v>
      </c>
      <c r="V81" s="197"/>
    </row>
    <row r="82" spans="1:27" s="291" customFormat="1" ht="18" customHeight="1">
      <c r="A82" s="289"/>
      <c r="B82" s="638"/>
      <c r="C82" s="638"/>
      <c r="G82" s="1008"/>
      <c r="H82" s="639"/>
      <c r="I82" s="1158">
        <f>H10</f>
        <v>2500</v>
      </c>
      <c r="J82" s="1158"/>
      <c r="K82" s="1158"/>
      <c r="L82" s="1158"/>
      <c r="M82" s="1158"/>
      <c r="N82" s="638"/>
      <c r="O82" s="638"/>
      <c r="P82" s="638"/>
      <c r="Q82" s="638"/>
      <c r="R82" s="638"/>
      <c r="S82" s="638"/>
      <c r="T82" s="14"/>
      <c r="U82" s="638"/>
      <c r="V82" s="197"/>
    </row>
    <row r="83" spans="1:27" ht="18" customHeight="1">
      <c r="A83" s="96"/>
      <c r="B83" s="14"/>
      <c r="C83" s="27" t="s">
        <v>138</v>
      </c>
      <c r="D83" s="798">
        <f>ROUNDUP(G81*(I81/(I82)*(O81+Q81)*S81),2)</f>
        <v>51.699999999999996</v>
      </c>
      <c r="E83" s="799"/>
      <c r="F83" s="30" t="s">
        <v>316</v>
      </c>
      <c r="G83" s="14"/>
      <c r="H83" s="14"/>
      <c r="I83" s="14"/>
      <c r="J83" s="14"/>
      <c r="K83" s="14"/>
      <c r="L83" s="14"/>
      <c r="M83" s="14"/>
      <c r="N83" s="14"/>
      <c r="R83" s="246"/>
      <c r="S83" s="216"/>
      <c r="V83" s="197"/>
    </row>
    <row r="84" spans="1:27" ht="18" customHeight="1">
      <c r="A84" s="96"/>
      <c r="B84" s="14"/>
      <c r="G84" s="14"/>
      <c r="H84" s="14"/>
      <c r="I84" s="14"/>
      <c r="J84" s="14"/>
      <c r="K84" s="14"/>
      <c r="L84" s="14"/>
      <c r="M84" s="14"/>
      <c r="N84" s="14"/>
      <c r="R84" s="246"/>
      <c r="S84" s="216"/>
      <c r="V84" s="197"/>
    </row>
    <row r="85" spans="1:27" ht="18" customHeight="1">
      <c r="A85" s="196" t="s">
        <v>695</v>
      </c>
      <c r="B85" s="14"/>
      <c r="G85" s="14"/>
      <c r="H85" s="14"/>
      <c r="I85" s="14"/>
      <c r="J85" s="14"/>
      <c r="K85" s="14"/>
      <c r="L85" s="14"/>
      <c r="M85" s="14"/>
      <c r="N85" s="14"/>
      <c r="R85" s="246"/>
      <c r="S85" s="216"/>
      <c r="U85" s="1160" t="s">
        <v>696</v>
      </c>
      <c r="V85" s="197"/>
    </row>
    <row r="86" spans="1:27" ht="18" customHeight="1">
      <c r="A86" s="196"/>
      <c r="E86" s="30" t="s">
        <v>484</v>
      </c>
      <c r="F86" s="290" t="s">
        <v>663</v>
      </c>
      <c r="G86" s="28">
        <v>20</v>
      </c>
      <c r="H86" s="27" t="s">
        <v>326</v>
      </c>
      <c r="I86" s="27" t="s">
        <v>493</v>
      </c>
      <c r="J86" s="27" t="s">
        <v>383</v>
      </c>
      <c r="K86" s="27" t="s">
        <v>431</v>
      </c>
      <c r="L86" s="27" t="s">
        <v>358</v>
      </c>
      <c r="M86" s="27" t="s">
        <v>684</v>
      </c>
      <c r="N86" s="27" t="s">
        <v>361</v>
      </c>
      <c r="R86" s="246"/>
      <c r="S86" s="216"/>
      <c r="U86" s="638"/>
      <c r="V86" s="197"/>
    </row>
    <row r="87" spans="1:27" ht="18" customHeight="1">
      <c r="A87" s="196"/>
      <c r="B87" s="47" t="s">
        <v>666</v>
      </c>
      <c r="C87" s="14"/>
      <c r="D87" s="14"/>
      <c r="E87" s="14"/>
      <c r="F87" s="18"/>
      <c r="G87" s="18"/>
      <c r="H87" s="14"/>
      <c r="I87" s="120"/>
      <c r="J87" s="14"/>
      <c r="K87" s="14"/>
      <c r="M87" s="14"/>
      <c r="N87" s="14"/>
      <c r="P87" s="14" t="s">
        <v>431</v>
      </c>
      <c r="R87" s="246" t="s">
        <v>138</v>
      </c>
      <c r="S87" s="639">
        <f>H12</f>
        <v>10</v>
      </c>
      <c r="T87" s="639"/>
      <c r="U87" s="204" t="s">
        <v>344</v>
      </c>
      <c r="V87" s="197"/>
    </row>
    <row r="88" spans="1:27" ht="18" customHeight="1">
      <c r="A88" s="196"/>
      <c r="B88" s="47" t="s">
        <v>687</v>
      </c>
      <c r="C88" s="14"/>
      <c r="D88" s="14"/>
      <c r="E88" s="14"/>
      <c r="F88" s="18"/>
      <c r="G88" s="18"/>
      <c r="H88" s="14"/>
      <c r="I88" s="120"/>
      <c r="J88" s="14"/>
      <c r="K88" s="14"/>
      <c r="M88" s="14"/>
      <c r="N88" s="14"/>
      <c r="P88" s="30" t="s">
        <v>684</v>
      </c>
      <c r="R88" s="246" t="s">
        <v>138</v>
      </c>
      <c r="S88" s="637">
        <f>S29</f>
        <v>1.5418674400000001</v>
      </c>
      <c r="T88" s="637"/>
      <c r="U88" s="204" t="s">
        <v>344</v>
      </c>
      <c r="V88" s="197"/>
    </row>
    <row r="89" spans="1:27" ht="18" customHeight="1">
      <c r="A89" s="196"/>
      <c r="B89" s="308" t="s">
        <v>688</v>
      </c>
      <c r="C89" s="14"/>
      <c r="D89" s="14"/>
      <c r="E89" s="14"/>
      <c r="F89" s="14"/>
      <c r="G89" s="14"/>
      <c r="H89" s="14"/>
      <c r="I89" s="120"/>
      <c r="J89" s="14"/>
      <c r="K89" s="14"/>
      <c r="M89" s="14"/>
      <c r="N89" s="14"/>
      <c r="P89" s="30" t="s">
        <v>493</v>
      </c>
      <c r="R89" s="246" t="s">
        <v>138</v>
      </c>
      <c r="S89" s="639">
        <v>1</v>
      </c>
      <c r="T89" s="639"/>
      <c r="U89" s="30" t="s">
        <v>9</v>
      </c>
      <c r="V89" s="197"/>
    </row>
    <row r="90" spans="1:27" ht="18" customHeight="1">
      <c r="A90" s="196"/>
      <c r="B90" s="308"/>
      <c r="C90" s="14"/>
      <c r="D90" s="14"/>
      <c r="E90" s="14"/>
      <c r="F90" s="14"/>
      <c r="G90" s="14"/>
      <c r="H90" s="14"/>
      <c r="I90" s="120"/>
      <c r="J90" s="14"/>
      <c r="K90" s="14"/>
      <c r="M90" s="14"/>
      <c r="N90" s="14"/>
      <c r="R90" s="246"/>
      <c r="S90" s="27"/>
      <c r="T90" s="27"/>
      <c r="V90" s="197"/>
    </row>
    <row r="91" spans="1:27" ht="18" customHeight="1">
      <c r="A91" s="205"/>
      <c r="B91" s="14"/>
      <c r="E91" s="30" t="s">
        <v>484</v>
      </c>
      <c r="F91" s="290" t="s">
        <v>663</v>
      </c>
      <c r="G91" s="28">
        <f>G86</f>
        <v>20</v>
      </c>
      <c r="H91" s="28" t="str">
        <f>H86</f>
        <v>x</v>
      </c>
      <c r="I91" s="28">
        <f>S89</f>
        <v>1</v>
      </c>
      <c r="J91" s="27" t="s">
        <v>383</v>
      </c>
      <c r="K91" s="28">
        <f>S87</f>
        <v>10</v>
      </c>
      <c r="L91" s="27" t="s">
        <v>358</v>
      </c>
      <c r="M91" s="230">
        <f>S88</f>
        <v>1.5418674400000001</v>
      </c>
      <c r="N91" s="28" t="str">
        <f>N86</f>
        <v>)</v>
      </c>
      <c r="R91" s="246"/>
      <c r="S91" s="216"/>
      <c r="V91" s="197"/>
    </row>
    <row r="92" spans="1:27" ht="18" customHeight="1">
      <c r="A92" s="205"/>
      <c r="B92" s="14"/>
      <c r="C92" s="290"/>
      <c r="G92" s="28"/>
      <c r="H92" s="28"/>
      <c r="I92" s="28"/>
      <c r="J92" s="27"/>
      <c r="K92" s="28"/>
      <c r="L92" s="27"/>
      <c r="M92" s="230"/>
      <c r="N92" s="28"/>
      <c r="R92" s="246"/>
      <c r="S92" s="216"/>
      <c r="V92" s="197"/>
    </row>
    <row r="93" spans="1:27" ht="18" customHeight="1">
      <c r="A93" s="205"/>
      <c r="B93" s="14"/>
      <c r="C93" s="290"/>
      <c r="F93" s="30" t="s">
        <v>138</v>
      </c>
      <c r="G93" s="989">
        <f>ROUNDUP(G91*I91*(K91+M91),2)</f>
        <v>230.84</v>
      </c>
      <c r="H93" s="989"/>
      <c r="I93" s="28"/>
      <c r="J93" s="27"/>
      <c r="K93" s="28"/>
      <c r="L93" s="27"/>
      <c r="M93" s="230"/>
      <c r="N93" s="28"/>
      <c r="R93" s="246"/>
      <c r="S93" s="216"/>
      <c r="V93" s="197"/>
    </row>
    <row r="94" spans="1:27" ht="18" customHeight="1">
      <c r="A94" s="524"/>
      <c r="B94" s="207"/>
      <c r="C94" s="539"/>
      <c r="D94" s="208"/>
      <c r="E94" s="208"/>
      <c r="F94" s="208"/>
      <c r="G94" s="540"/>
      <c r="H94" s="540"/>
      <c r="I94" s="194"/>
      <c r="J94" s="319"/>
      <c r="K94" s="194"/>
      <c r="L94" s="319"/>
      <c r="M94" s="526"/>
      <c r="N94" s="194"/>
      <c r="O94" s="208"/>
      <c r="P94" s="208"/>
      <c r="Q94" s="208"/>
      <c r="R94" s="541"/>
      <c r="S94" s="542"/>
      <c r="T94" s="208"/>
      <c r="U94" s="208"/>
      <c r="V94" s="303"/>
    </row>
    <row r="95" spans="1:27" ht="18" customHeight="1">
      <c r="A95" s="396"/>
      <c r="B95" s="285"/>
      <c r="C95" s="543"/>
      <c r="D95" s="239"/>
      <c r="E95" s="239"/>
      <c r="F95" s="239"/>
      <c r="G95" s="145"/>
      <c r="H95" s="145"/>
      <c r="I95" s="145"/>
      <c r="J95" s="323"/>
      <c r="K95" s="145"/>
      <c r="L95" s="323"/>
      <c r="M95" s="544"/>
      <c r="N95" s="145"/>
      <c r="O95" s="239"/>
      <c r="P95" s="239"/>
      <c r="Q95" s="239"/>
      <c r="R95" s="545"/>
      <c r="S95" s="546"/>
      <c r="T95" s="239"/>
      <c r="U95" s="239"/>
      <c r="V95" s="240"/>
    </row>
    <row r="96" spans="1:27" ht="18" customHeight="1">
      <c r="A96" s="96"/>
      <c r="B96" s="14"/>
      <c r="D96" s="30" t="s">
        <v>538</v>
      </c>
      <c r="E96" s="14"/>
      <c r="F96" s="291"/>
      <c r="G96" s="14"/>
      <c r="H96" s="14"/>
      <c r="I96" s="291"/>
      <c r="J96" s="14"/>
      <c r="K96" s="14"/>
      <c r="L96" s="30" t="s">
        <v>484</v>
      </c>
      <c r="M96" s="519" t="s">
        <v>540</v>
      </c>
      <c r="N96" s="30" t="str">
        <f>CONCATENATE(Y96,X96,D60,Z96,D83,Z96,G93,AA96)</f>
        <v>max(92.34,51.7,230.84)</v>
      </c>
      <c r="R96" s="246"/>
      <c r="S96" s="216"/>
      <c r="V96" s="197"/>
      <c r="X96" s="30" t="s">
        <v>430</v>
      </c>
      <c r="Y96" s="30" t="s">
        <v>541</v>
      </c>
      <c r="Z96" s="30" t="s">
        <v>542</v>
      </c>
      <c r="AA96" s="30" t="s">
        <v>361</v>
      </c>
    </row>
    <row r="97" spans="1:29" ht="18" customHeight="1">
      <c r="A97" s="96"/>
      <c r="B97" s="14"/>
      <c r="D97" s="14"/>
      <c r="E97" s="14"/>
      <c r="F97" s="291"/>
      <c r="G97" s="14"/>
      <c r="H97" s="14"/>
      <c r="I97" s="291"/>
      <c r="J97" s="14"/>
      <c r="K97" s="14"/>
      <c r="L97" s="30" t="s">
        <v>484</v>
      </c>
      <c r="M97" s="519" t="s">
        <v>540</v>
      </c>
      <c r="N97" s="637">
        <f>MAX(D83,D60,G93)</f>
        <v>230.84</v>
      </c>
      <c r="O97" s="637"/>
      <c r="R97" s="246"/>
      <c r="S97" s="216"/>
      <c r="V97" s="197"/>
    </row>
    <row r="98" spans="1:29" ht="18" customHeight="1">
      <c r="A98" s="96"/>
      <c r="B98" s="14"/>
      <c r="G98" s="14"/>
      <c r="H98" s="14"/>
      <c r="I98" s="14"/>
      <c r="J98" s="14"/>
      <c r="K98" s="14"/>
      <c r="L98" s="308">
        <f>H13</f>
        <v>400</v>
      </c>
      <c r="M98" s="519" t="s">
        <v>540</v>
      </c>
      <c r="N98" s="637">
        <f>N97</f>
        <v>230.84</v>
      </c>
      <c r="O98" s="637"/>
      <c r="R98" s="246"/>
      <c r="S98" s="216"/>
      <c r="V98" s="197"/>
    </row>
    <row r="99" spans="1:29" ht="18" customHeight="1">
      <c r="A99" s="96"/>
      <c r="B99" s="14"/>
      <c r="F99" s="14"/>
      <c r="G99" s="14"/>
      <c r="H99" s="14"/>
      <c r="I99" s="14"/>
      <c r="J99" s="14"/>
      <c r="K99" s="14"/>
      <c r="L99" s="14"/>
      <c r="M99" s="14"/>
      <c r="N99" s="14"/>
      <c r="O99" s="166"/>
      <c r="P99" s="14"/>
      <c r="R99" s="246"/>
      <c r="S99" s="216"/>
      <c r="V99" s="197"/>
    </row>
    <row r="100" spans="1:29" ht="18" customHeight="1">
      <c r="A100" s="96"/>
      <c r="B100" s="14"/>
      <c r="D100"/>
      <c r="E100"/>
      <c r="F100" s="256" t="s">
        <v>489</v>
      </c>
      <c r="G100"/>
      <c r="H100" s="18" t="str">
        <f>IF(L98&gt;N98,"Suitably Dimensioned","Under Dimensioned")</f>
        <v>Suitably Dimensioned</v>
      </c>
      <c r="I100"/>
      <c r="J100"/>
      <c r="K100"/>
      <c r="L100"/>
      <c r="N100" s="14"/>
      <c r="R100" s="246"/>
      <c r="S100" s="216"/>
      <c r="V100" s="197"/>
    </row>
    <row r="101" spans="1:29" s="14" customFormat="1" ht="18" hidden="1" customHeight="1">
      <c r="A101" s="206"/>
      <c r="B101" s="207"/>
      <c r="C101" s="207"/>
      <c r="D101" s="207"/>
      <c r="E101" s="207"/>
      <c r="F101" s="207"/>
      <c r="G101" s="207"/>
      <c r="H101" s="207"/>
      <c r="I101" s="207"/>
      <c r="J101" s="207"/>
      <c r="K101" s="207"/>
      <c r="L101" s="207"/>
      <c r="M101" s="207"/>
      <c r="N101" s="207"/>
      <c r="O101" s="207"/>
      <c r="P101" s="207"/>
      <c r="Q101" s="236"/>
      <c r="R101" s="194"/>
      <c r="S101" s="237"/>
      <c r="T101" s="207"/>
      <c r="U101" s="207"/>
      <c r="V101" s="140" t="s">
        <v>563</v>
      </c>
    </row>
    <row r="102" spans="1:29" ht="18" hidden="1" customHeight="1">
      <c r="A102" s="238"/>
      <c r="B102" s="239"/>
      <c r="C102" s="239"/>
      <c r="D102" s="239"/>
      <c r="E102" s="239"/>
      <c r="F102" s="239"/>
      <c r="G102" s="239"/>
      <c r="H102" s="239"/>
      <c r="I102" s="239"/>
      <c r="J102" s="239"/>
      <c r="K102" s="239"/>
      <c r="L102" s="239"/>
      <c r="M102" s="239"/>
      <c r="N102" s="239"/>
      <c r="O102" s="239"/>
      <c r="P102" s="239"/>
      <c r="Q102" s="239"/>
      <c r="R102" s="239"/>
      <c r="S102" s="239"/>
      <c r="T102" s="239"/>
      <c r="U102" s="239"/>
      <c r="V102" s="240"/>
    </row>
    <row r="103" spans="1:29" ht="18" hidden="1" customHeight="1">
      <c r="A103" s="196"/>
      <c r="B103" s="650" t="str">
        <f>B7</f>
        <v>T1</v>
      </c>
      <c r="C103" s="651"/>
      <c r="D103" s="663" t="str">
        <f>D7</f>
        <v>Core2</v>
      </c>
      <c r="E103" s="664"/>
      <c r="F103" s="198" t="s">
        <v>642</v>
      </c>
      <c r="H103" s="639" t="str">
        <f>H7</f>
        <v>(Transformer Differential)</v>
      </c>
      <c r="I103" s="639"/>
      <c r="J103" s="639"/>
      <c r="K103" s="639"/>
      <c r="L103" s="639"/>
      <c r="M103" s="639"/>
      <c r="P103" s="198"/>
      <c r="S103" s="199" t="s">
        <v>398</v>
      </c>
      <c r="T103" s="1125" t="str">
        <f>T7</f>
        <v>7UT85</v>
      </c>
      <c r="U103" s="1126"/>
      <c r="V103" s="197"/>
    </row>
    <row r="104" spans="1:29" ht="18" hidden="1" customHeight="1">
      <c r="A104" s="196"/>
      <c r="B104" s="660">
        <f>B8</f>
        <v>0</v>
      </c>
      <c r="C104" s="660"/>
      <c r="D104" s="665"/>
      <c r="E104" s="666"/>
      <c r="F104" s="299"/>
      <c r="T104" s="1125">
        <f>T8</f>
        <v>0</v>
      </c>
      <c r="U104" s="1126"/>
      <c r="V104" s="197"/>
    </row>
    <row r="105" spans="1:29" ht="18" hidden="1" customHeight="1">
      <c r="A105" s="196"/>
      <c r="H105" s="661" t="s">
        <v>401</v>
      </c>
      <c r="I105" s="661"/>
      <c r="J105" s="662" t="s">
        <v>402</v>
      </c>
      <c r="K105" s="662"/>
      <c r="L105" s="661" t="s">
        <v>403</v>
      </c>
      <c r="M105" s="661"/>
      <c r="T105" s="1125">
        <f>T9</f>
        <v>0</v>
      </c>
      <c r="U105" s="1126"/>
      <c r="V105" s="197"/>
    </row>
    <row r="106" spans="1:29" ht="18" hidden="1" customHeight="1">
      <c r="A106" s="196"/>
      <c r="B106" s="47" t="s">
        <v>404</v>
      </c>
      <c r="H106" s="650">
        <f>H10</f>
        <v>2500</v>
      </c>
      <c r="I106" s="651"/>
      <c r="J106" s="652" t="str">
        <f>J10</f>
        <v>-</v>
      </c>
      <c r="K106" s="653"/>
      <c r="L106" s="650" t="str">
        <f>L10</f>
        <v>-</v>
      </c>
      <c r="M106" s="651"/>
      <c r="N106" s="102" t="s">
        <v>353</v>
      </c>
      <c r="O106" s="268">
        <f>O10</f>
        <v>1</v>
      </c>
      <c r="P106" s="27" t="s">
        <v>9</v>
      </c>
      <c r="V106" s="197"/>
    </row>
    <row r="107" spans="1:29" ht="18" hidden="1" customHeight="1">
      <c r="A107" s="196"/>
      <c r="B107" s="47" t="s">
        <v>405</v>
      </c>
      <c r="H107" s="14"/>
      <c r="I107" s="14"/>
      <c r="J107" s="650" t="str">
        <f>H11</f>
        <v>PX</v>
      </c>
      <c r="K107" s="707"/>
      <c r="L107" s="14"/>
      <c r="M107" s="14"/>
      <c r="V107" s="197"/>
    </row>
    <row r="108" spans="1:29" ht="18" hidden="1" customHeight="1">
      <c r="A108" s="196"/>
      <c r="B108" s="47" t="s">
        <v>407</v>
      </c>
      <c r="I108" s="120" t="s">
        <v>508</v>
      </c>
      <c r="J108" s="656">
        <v>5</v>
      </c>
      <c r="K108" s="657"/>
      <c r="L108" s="204" t="s">
        <v>344</v>
      </c>
      <c r="V108" s="197"/>
    </row>
    <row r="109" spans="1:29" ht="18" hidden="1" customHeight="1">
      <c r="A109" s="196"/>
      <c r="B109" s="47" t="s">
        <v>409</v>
      </c>
      <c r="I109" s="120" t="s">
        <v>509</v>
      </c>
      <c r="J109" s="656">
        <v>300</v>
      </c>
      <c r="K109" s="657"/>
      <c r="L109" s="14" t="s">
        <v>316</v>
      </c>
      <c r="V109" s="197"/>
      <c r="W109" s="30" t="s">
        <v>411</v>
      </c>
      <c r="AB109" s="996" t="e">
        <f>D164</f>
        <v>#VALUE!</v>
      </c>
      <c r="AC109" s="997"/>
    </row>
    <row r="110" spans="1:29" ht="18" hidden="1" customHeight="1">
      <c r="A110" s="196"/>
      <c r="B110" s="14" t="s">
        <v>412</v>
      </c>
      <c r="I110" s="120" t="s">
        <v>413</v>
      </c>
      <c r="J110" s="656">
        <v>40</v>
      </c>
      <c r="K110" s="657"/>
      <c r="L110" s="30" t="s">
        <v>414</v>
      </c>
      <c r="V110" s="197"/>
    </row>
    <row r="111" spans="1:29" ht="18" hidden="1" customHeight="1">
      <c r="A111" s="96"/>
      <c r="V111" s="197"/>
    </row>
    <row r="112" spans="1:29" ht="18" hidden="1" customHeight="1">
      <c r="A112" s="205" t="s">
        <v>415</v>
      </c>
      <c r="V112" s="197"/>
    </row>
    <row r="113" spans="1:22" ht="18" hidden="1" customHeight="1">
      <c r="A113" s="196"/>
      <c r="V113" s="197"/>
    </row>
    <row r="114" spans="1:22" ht="18" hidden="1" customHeight="1">
      <c r="A114" s="196"/>
      <c r="B114" s="206" t="s">
        <v>416</v>
      </c>
      <c r="C114" s="207"/>
      <c r="D114" s="207" t="str">
        <f>T103</f>
        <v>7UT85</v>
      </c>
      <c r="E114" s="208"/>
      <c r="F114" s="208"/>
      <c r="G114" s="208"/>
      <c r="H114" s="194" t="s">
        <v>417</v>
      </c>
      <c r="I114" s="195" t="s">
        <v>138</v>
      </c>
      <c r="J114" s="897">
        <f>J18</f>
        <v>0.1</v>
      </c>
      <c r="K114" s="649"/>
      <c r="L114" s="3" t="s">
        <v>168</v>
      </c>
      <c r="V114" s="197"/>
    </row>
    <row r="115" spans="1:22" ht="18" hidden="1" customHeight="1">
      <c r="A115" s="196"/>
      <c r="B115" s="196" t="s">
        <v>416</v>
      </c>
      <c r="D115" s="30">
        <f>T104</f>
        <v>0</v>
      </c>
      <c r="H115" s="27"/>
      <c r="I115" s="189" t="s">
        <v>138</v>
      </c>
      <c r="J115" s="1042">
        <f>J19</f>
        <v>0</v>
      </c>
      <c r="K115" s="643"/>
      <c r="L115" s="210" t="s">
        <v>168</v>
      </c>
      <c r="V115" s="197"/>
    </row>
    <row r="116" spans="1:22" ht="18" hidden="1" customHeight="1">
      <c r="A116" s="196"/>
      <c r="B116" s="196" t="s">
        <v>416</v>
      </c>
      <c r="D116" s="30">
        <f>T105</f>
        <v>0</v>
      </c>
      <c r="E116" s="14"/>
      <c r="G116" s="211"/>
      <c r="H116" s="27"/>
      <c r="I116" s="189" t="s">
        <v>138</v>
      </c>
      <c r="J116" s="644">
        <f>J20</f>
        <v>0</v>
      </c>
      <c r="K116" s="645"/>
      <c r="L116" s="214" t="s">
        <v>168</v>
      </c>
      <c r="V116" s="197"/>
    </row>
    <row r="117" spans="1:22" ht="18" hidden="1" customHeight="1">
      <c r="A117" s="196"/>
      <c r="B117" s="196" t="s">
        <v>423</v>
      </c>
      <c r="H117" s="27" t="s">
        <v>610</v>
      </c>
      <c r="I117" s="189" t="s">
        <v>138</v>
      </c>
      <c r="J117" s="1042">
        <f>J21</f>
        <v>1.44186744</v>
      </c>
      <c r="K117" s="643"/>
      <c r="L117" s="215" t="s">
        <v>168</v>
      </c>
      <c r="V117" s="197"/>
    </row>
    <row r="118" spans="1:22" ht="18" hidden="1" customHeight="1">
      <c r="A118" s="196"/>
      <c r="B118" s="217" t="s">
        <v>424</v>
      </c>
      <c r="C118" s="218"/>
      <c r="D118" s="218"/>
      <c r="E118" s="218"/>
      <c r="F118" s="219"/>
      <c r="G118" s="219"/>
      <c r="H118" s="202" t="s">
        <v>420</v>
      </c>
      <c r="I118" s="220" t="s">
        <v>138</v>
      </c>
      <c r="J118" s="897">
        <f>J115+J117</f>
        <v>1.44186744</v>
      </c>
      <c r="K118" s="649"/>
      <c r="L118" s="222" t="s">
        <v>168</v>
      </c>
      <c r="V118" s="197"/>
    </row>
    <row r="119" spans="1:22" ht="18" hidden="1" customHeight="1">
      <c r="A119" s="196"/>
      <c r="B119" s="47"/>
      <c r="C119" s="47"/>
      <c r="D119" s="47"/>
      <c r="E119" s="47"/>
      <c r="H119" s="27"/>
      <c r="I119" s="28"/>
      <c r="J119" s="211"/>
      <c r="L119" s="47"/>
      <c r="O119" s="27"/>
      <c r="P119" s="223"/>
      <c r="Q119" s="223"/>
      <c r="R119" s="204"/>
      <c r="V119" s="197"/>
    </row>
    <row r="120" spans="1:22" ht="18" hidden="1" customHeight="1">
      <c r="A120" s="196"/>
      <c r="B120" s="209" t="s">
        <v>659</v>
      </c>
      <c r="L120" s="47"/>
      <c r="M120" s="209" t="s">
        <v>418</v>
      </c>
      <c r="V120" s="197"/>
    </row>
    <row r="121" spans="1:22" ht="18" hidden="1" customHeight="1">
      <c r="A121" s="196"/>
      <c r="B121" s="27" t="s">
        <v>660</v>
      </c>
      <c r="C121" s="27" t="s">
        <v>138</v>
      </c>
      <c r="D121" s="30" t="s">
        <v>417</v>
      </c>
      <c r="E121" s="283" t="s">
        <v>421</v>
      </c>
      <c r="F121" s="27" t="s">
        <v>157</v>
      </c>
      <c r="G121" s="28" t="s">
        <v>326</v>
      </c>
      <c r="H121" s="230" t="s">
        <v>157</v>
      </c>
      <c r="I121" s="30" t="s">
        <v>361</v>
      </c>
      <c r="J121" s="211"/>
      <c r="L121" s="47"/>
      <c r="M121" s="30" t="s">
        <v>419</v>
      </c>
      <c r="N121" s="27" t="s">
        <v>138</v>
      </c>
      <c r="O121" s="30" t="s">
        <v>420</v>
      </c>
      <c r="P121" s="203" t="s">
        <v>421</v>
      </c>
      <c r="Q121" s="256" t="s">
        <v>422</v>
      </c>
      <c r="R121" s="27" t="s">
        <v>326</v>
      </c>
      <c r="S121" s="30" t="s">
        <v>422</v>
      </c>
      <c r="T121" s="30" t="s">
        <v>361</v>
      </c>
      <c r="V121" s="197"/>
    </row>
    <row r="122" spans="1:22" ht="18" hidden="1" customHeight="1">
      <c r="A122" s="196"/>
      <c r="B122" s="47"/>
      <c r="C122" s="27" t="s">
        <v>138</v>
      </c>
      <c r="D122" s="216">
        <f>J114</f>
        <v>0.1</v>
      </c>
      <c r="E122" s="203" t="s">
        <v>421</v>
      </c>
      <c r="F122" s="27">
        <f>F26</f>
        <v>1</v>
      </c>
      <c r="G122" s="27" t="s">
        <v>326</v>
      </c>
      <c r="H122" s="27">
        <f>H26</f>
        <v>1</v>
      </c>
      <c r="I122" s="30" t="s">
        <v>361</v>
      </c>
      <c r="J122" s="211"/>
      <c r="L122" s="47"/>
      <c r="N122" s="27" t="s">
        <v>138</v>
      </c>
      <c r="O122" s="216">
        <f>J118</f>
        <v>1.44186744</v>
      </c>
      <c r="P122" s="203" t="s">
        <v>421</v>
      </c>
      <c r="Q122" s="27">
        <f>O106</f>
        <v>1</v>
      </c>
      <c r="R122" s="27" t="s">
        <v>326</v>
      </c>
      <c r="S122" s="27">
        <f>O106</f>
        <v>1</v>
      </c>
      <c r="T122" s="30" t="s">
        <v>361</v>
      </c>
      <c r="V122" s="197"/>
    </row>
    <row r="123" spans="1:22" ht="18" hidden="1" customHeight="1">
      <c r="A123" s="196"/>
      <c r="B123" s="47"/>
      <c r="C123" s="27" t="s">
        <v>138</v>
      </c>
      <c r="D123" s="637">
        <f>D122/(F122*H122)</f>
        <v>0.1</v>
      </c>
      <c r="E123" s="637"/>
      <c r="F123" s="204" t="s">
        <v>344</v>
      </c>
      <c r="J123" s="211"/>
      <c r="L123" s="47"/>
      <c r="N123" s="27" t="s">
        <v>138</v>
      </c>
      <c r="O123" s="637">
        <f>O122/(Q122*S122)</f>
        <v>1.44186744</v>
      </c>
      <c r="P123" s="637"/>
      <c r="Q123" s="204" t="s">
        <v>344</v>
      </c>
      <c r="V123" s="197"/>
    </row>
    <row r="124" spans="1:22" ht="18" hidden="1" customHeight="1">
      <c r="A124" s="196"/>
      <c r="B124" s="47"/>
      <c r="C124" s="47"/>
      <c r="D124" s="47"/>
      <c r="E124" s="47"/>
      <c r="H124" s="27"/>
      <c r="I124" s="28"/>
      <c r="J124" s="211"/>
      <c r="L124" s="47"/>
      <c r="O124" s="27"/>
      <c r="P124" s="223"/>
      <c r="Q124" s="223"/>
      <c r="R124" s="204"/>
      <c r="V124" s="197"/>
    </row>
    <row r="125" spans="1:22" ht="18" hidden="1" customHeight="1">
      <c r="A125" s="196"/>
      <c r="B125" s="47" t="s">
        <v>679</v>
      </c>
      <c r="C125" s="47"/>
      <c r="D125" s="47"/>
      <c r="E125" s="47"/>
      <c r="H125" s="27"/>
      <c r="I125" s="28"/>
      <c r="J125" s="211"/>
      <c r="L125" s="28" t="s">
        <v>138</v>
      </c>
      <c r="M125" s="637">
        <f>D123</f>
        <v>0.1</v>
      </c>
      <c r="N125" s="637"/>
      <c r="O125" s="27" t="s">
        <v>358</v>
      </c>
      <c r="P125" s="637">
        <f>O123</f>
        <v>1.44186744</v>
      </c>
      <c r="Q125" s="637"/>
      <c r="R125" s="223" t="s">
        <v>138</v>
      </c>
      <c r="S125" s="637">
        <f>M125+P125</f>
        <v>1.5418674400000001</v>
      </c>
      <c r="T125" s="637"/>
      <c r="U125" s="204" t="s">
        <v>344</v>
      </c>
      <c r="V125" s="197"/>
    </row>
    <row r="126" spans="1:22" s="14" customFormat="1" ht="18" hidden="1" customHeight="1">
      <c r="A126" s="205" t="s">
        <v>611</v>
      </c>
      <c r="B126" s="5"/>
      <c r="C126" s="5"/>
      <c r="D126" s="5"/>
      <c r="E126" s="5"/>
      <c r="F126" s="5"/>
      <c r="G126" s="5"/>
      <c r="H126" s="224"/>
      <c r="I126" s="224"/>
      <c r="J126" s="5"/>
      <c r="K126" s="5"/>
      <c r="L126" s="5"/>
      <c r="M126" s="5"/>
      <c r="N126" s="5"/>
      <c r="O126" s="5"/>
      <c r="P126" s="103"/>
      <c r="Q126" s="224"/>
      <c r="R126" s="225"/>
      <c r="S126" s="226"/>
      <c r="T126" s="18"/>
      <c r="U126" s="18"/>
      <c r="V126" s="97"/>
    </row>
    <row r="127" spans="1:22" s="14" customFormat="1" ht="18" hidden="1" customHeight="1">
      <c r="A127" s="96"/>
      <c r="B127" s="47" t="s">
        <v>612</v>
      </c>
      <c r="C127" s="5"/>
      <c r="D127" s="5"/>
      <c r="E127" s="5"/>
      <c r="I127" s="227"/>
      <c r="M127" s="5"/>
      <c r="N127" s="103" t="s">
        <v>138</v>
      </c>
      <c r="O127" s="1125">
        <f>O31</f>
        <v>100</v>
      </c>
      <c r="P127" s="651"/>
      <c r="Q127" s="14" t="s">
        <v>613</v>
      </c>
      <c r="S127" s="226"/>
      <c r="T127" s="18"/>
      <c r="U127" s="18"/>
      <c r="V127" s="97"/>
    </row>
    <row r="128" spans="1:22" s="14" customFormat="1" ht="18" hidden="1" customHeight="1">
      <c r="A128" s="96"/>
      <c r="B128" s="47" t="s">
        <v>614</v>
      </c>
      <c r="C128" s="5"/>
      <c r="D128" s="5"/>
      <c r="E128" s="5"/>
      <c r="I128" s="227"/>
      <c r="M128" s="5"/>
      <c r="N128" s="103" t="s">
        <v>138</v>
      </c>
      <c r="O128" s="1125">
        <f>O32</f>
        <v>25</v>
      </c>
      <c r="P128" s="651"/>
      <c r="Q128" s="14" t="s">
        <v>615</v>
      </c>
      <c r="S128" s="226"/>
      <c r="T128" s="18"/>
      <c r="U128" s="18"/>
      <c r="V128" s="97"/>
    </row>
    <row r="129" spans="1:22" s="14" customFormat="1" ht="18" hidden="1" customHeight="1">
      <c r="A129" s="96"/>
      <c r="B129" s="47" t="s">
        <v>616</v>
      </c>
      <c r="C129" s="5"/>
      <c r="D129" s="5"/>
      <c r="E129" s="5"/>
      <c r="M129" s="120" t="s">
        <v>617</v>
      </c>
      <c r="N129" s="103" t="s">
        <v>618</v>
      </c>
      <c r="O129" s="1125">
        <f>O33</f>
        <v>33</v>
      </c>
      <c r="P129" s="651"/>
      <c r="Q129" s="14" t="s">
        <v>174</v>
      </c>
      <c r="S129" s="226"/>
      <c r="T129" s="18"/>
      <c r="U129" s="18"/>
      <c r="V129" s="97"/>
    </row>
    <row r="130" spans="1:22" s="14" customFormat="1" ht="18" hidden="1" customHeight="1">
      <c r="A130" s="228"/>
      <c r="B130" s="224"/>
      <c r="C130" s="224"/>
      <c r="D130" s="224"/>
      <c r="E130" s="224"/>
      <c r="T130" s="18"/>
      <c r="U130" s="18"/>
      <c r="V130" s="97"/>
    </row>
    <row r="131" spans="1:22" s="14" customFormat="1" ht="18" hidden="1" customHeight="1">
      <c r="A131" s="284" t="s">
        <v>619</v>
      </c>
      <c r="B131" s="225"/>
      <c r="C131" s="225"/>
      <c r="D131" s="225"/>
      <c r="E131" s="225"/>
      <c r="H131" s="120" t="s">
        <v>620</v>
      </c>
      <c r="I131" s="28" t="s">
        <v>138</v>
      </c>
      <c r="J131" s="638" t="s">
        <v>621</v>
      </c>
      <c r="K131" s="638"/>
      <c r="L131" s="28" t="s">
        <v>326</v>
      </c>
      <c r="M131" s="229">
        <v>1000</v>
      </c>
      <c r="N131" s="102" t="s">
        <v>353</v>
      </c>
      <c r="O131" s="28" t="s">
        <v>622</v>
      </c>
      <c r="P131" s="28" t="s">
        <v>326</v>
      </c>
      <c r="Q131" s="28" t="s">
        <v>617</v>
      </c>
      <c r="R131" s="47" t="s">
        <v>361</v>
      </c>
      <c r="T131" s="18"/>
      <c r="U131" s="18"/>
      <c r="V131" s="97"/>
    </row>
    <row r="132" spans="1:22" s="14" customFormat="1" ht="18" hidden="1" customHeight="1">
      <c r="A132" s="228"/>
      <c r="B132" s="225"/>
      <c r="C132" s="225"/>
      <c r="D132" s="225"/>
      <c r="E132" s="225"/>
      <c r="F132" s="224"/>
      <c r="G132" s="224"/>
      <c r="H132" s="28"/>
      <c r="I132" s="28" t="s">
        <v>138</v>
      </c>
      <c r="J132" s="638">
        <f>O127</f>
        <v>100</v>
      </c>
      <c r="K132" s="638"/>
      <c r="L132" s="28" t="s">
        <v>326</v>
      </c>
      <c r="M132" s="229">
        <v>1000</v>
      </c>
      <c r="N132" s="102" t="s">
        <v>353</v>
      </c>
      <c r="O132" s="28" t="s">
        <v>622</v>
      </c>
      <c r="P132" s="28" t="s">
        <v>326</v>
      </c>
      <c r="Q132" s="28">
        <f>O129</f>
        <v>33</v>
      </c>
      <c r="R132" s="47" t="s">
        <v>361</v>
      </c>
      <c r="T132" s="18"/>
      <c r="U132" s="18"/>
      <c r="V132" s="97"/>
    </row>
    <row r="133" spans="1:22" s="14" customFormat="1" ht="18" hidden="1" customHeight="1">
      <c r="A133" s="228"/>
      <c r="B133" s="224"/>
      <c r="C133" s="224"/>
      <c r="D133" s="224"/>
      <c r="E133" s="224"/>
      <c r="F133" s="224"/>
      <c r="G133" s="224"/>
      <c r="I133" s="28" t="s">
        <v>138</v>
      </c>
      <c r="J133" s="641">
        <f>(O127*1000)/(SQRT(3)*O129)</f>
        <v>1749.5462702715934</v>
      </c>
      <c r="K133" s="641"/>
      <c r="L133" s="14" t="s">
        <v>9</v>
      </c>
      <c r="M133" s="120"/>
      <c r="N133" s="120"/>
      <c r="O133" s="120"/>
      <c r="T133" s="18"/>
      <c r="U133" s="18"/>
      <c r="V133" s="97"/>
    </row>
    <row r="134" spans="1:22" s="14" customFormat="1" ht="18" hidden="1" customHeight="1">
      <c r="A134" s="228"/>
      <c r="B134" s="224"/>
      <c r="C134" s="224"/>
      <c r="D134" s="224"/>
      <c r="E134" s="224"/>
      <c r="G134" s="224"/>
      <c r="H134" s="28"/>
      <c r="I134" s="103"/>
      <c r="J134" s="28"/>
      <c r="M134" s="224"/>
      <c r="N134" s="231"/>
      <c r="O134" s="224"/>
      <c r="T134" s="18"/>
      <c r="U134" s="18"/>
      <c r="V134" s="97"/>
    </row>
    <row r="135" spans="1:22" s="14" customFormat="1" ht="18" hidden="1" customHeight="1">
      <c r="A135" s="159" t="s">
        <v>640</v>
      </c>
      <c r="B135" s="5"/>
      <c r="C135" s="5"/>
      <c r="D135" s="5"/>
      <c r="E135" s="5"/>
      <c r="F135" s="224"/>
      <c r="G135" s="224"/>
      <c r="H135" s="5"/>
      <c r="I135" s="5"/>
      <c r="J135" s="5"/>
      <c r="K135" s="5"/>
      <c r="L135" s="103"/>
      <c r="M135" s="103"/>
      <c r="N135" s="103"/>
      <c r="O135" s="103"/>
      <c r="P135" s="224"/>
      <c r="Q135" s="225"/>
      <c r="S135" s="232"/>
      <c r="T135" s="18"/>
      <c r="U135" s="18"/>
      <c r="V135" s="97"/>
    </row>
    <row r="136" spans="1:22" s="14" customFormat="1" ht="18" hidden="1" customHeight="1">
      <c r="A136" s="159"/>
      <c r="B136" s="5"/>
      <c r="C136" s="5"/>
      <c r="D136" s="5"/>
      <c r="E136" s="5"/>
      <c r="F136" s="224"/>
      <c r="G136" s="224"/>
      <c r="H136" s="5"/>
      <c r="I136" s="5"/>
      <c r="J136" s="5"/>
      <c r="K136" s="5"/>
      <c r="L136" s="103"/>
      <c r="M136" s="103"/>
      <c r="N136" s="103"/>
      <c r="O136" s="103"/>
      <c r="P136" s="224"/>
      <c r="Q136" s="225"/>
      <c r="S136" s="226"/>
      <c r="T136" s="18"/>
      <c r="U136" s="18"/>
      <c r="V136" s="97"/>
    </row>
    <row r="137" spans="1:22" ht="18" hidden="1" customHeight="1">
      <c r="A137" s="96" t="s">
        <v>643</v>
      </c>
      <c r="B137" s="14"/>
      <c r="C137" s="14"/>
      <c r="D137" s="14"/>
      <c r="E137" s="14"/>
      <c r="M137" s="120" t="s">
        <v>624</v>
      </c>
      <c r="N137" s="28" t="s">
        <v>138</v>
      </c>
      <c r="O137" s="638" t="s">
        <v>620</v>
      </c>
      <c r="P137" s="920"/>
      <c r="Q137" s="233" t="s">
        <v>641</v>
      </c>
      <c r="R137" s="233">
        <v>16</v>
      </c>
      <c r="S137" s="198"/>
      <c r="V137" s="197"/>
    </row>
    <row r="138" spans="1:22" ht="18" hidden="1" customHeight="1">
      <c r="A138" s="96"/>
      <c r="B138" s="5"/>
      <c r="C138" s="5"/>
      <c r="D138" s="5"/>
      <c r="E138" s="5"/>
      <c r="M138" s="262"/>
      <c r="N138" s="28" t="s">
        <v>138</v>
      </c>
      <c r="O138" s="638">
        <f>+J133</f>
        <v>1749.5462702715934</v>
      </c>
      <c r="P138" s="920"/>
      <c r="Q138" s="233" t="s">
        <v>641</v>
      </c>
      <c r="R138" s="233">
        <v>16</v>
      </c>
      <c r="S138" s="198"/>
      <c r="V138" s="197"/>
    </row>
    <row r="139" spans="1:22" ht="18" hidden="1" customHeight="1">
      <c r="A139" s="96"/>
      <c r="B139" s="5"/>
      <c r="C139" s="5"/>
      <c r="D139" s="5"/>
      <c r="E139" s="5"/>
      <c r="M139" s="120" t="s">
        <v>624</v>
      </c>
      <c r="N139" s="28" t="s">
        <v>138</v>
      </c>
      <c r="O139" s="638">
        <f>O138*R138</f>
        <v>27992.740324345494</v>
      </c>
      <c r="P139" s="920"/>
      <c r="Q139" s="253" t="s">
        <v>9</v>
      </c>
      <c r="R139" s="14"/>
      <c r="S139" s="198"/>
      <c r="V139" s="197"/>
    </row>
    <row r="140" spans="1:22" ht="18" hidden="1" customHeight="1">
      <c r="A140" s="96"/>
      <c r="B140" s="5"/>
      <c r="C140" s="5"/>
      <c r="D140" s="5"/>
      <c r="E140" s="5"/>
      <c r="M140" s="120"/>
      <c r="N140" s="28"/>
      <c r="O140" s="28"/>
      <c r="P140" s="14"/>
      <c r="Q140" s="253"/>
      <c r="R140" s="14"/>
      <c r="S140" s="198"/>
      <c r="V140" s="197"/>
    </row>
    <row r="141" spans="1:22" ht="18" hidden="1" customHeight="1">
      <c r="A141" s="96"/>
      <c r="B141" s="5"/>
      <c r="C141" s="5"/>
      <c r="D141" s="5"/>
      <c r="E141" s="5"/>
      <c r="M141" s="120"/>
      <c r="N141" s="28"/>
      <c r="O141" s="28"/>
      <c r="P141" s="14"/>
      <c r="Q141" s="253"/>
      <c r="R141" s="14"/>
      <c r="S141" s="198"/>
      <c r="V141" s="197"/>
    </row>
    <row r="142" spans="1:22" ht="18" hidden="1" customHeight="1">
      <c r="A142" s="96"/>
      <c r="B142" s="5"/>
      <c r="C142" s="5"/>
      <c r="D142" s="5"/>
      <c r="E142" s="5"/>
      <c r="M142" s="120"/>
      <c r="N142" s="28"/>
      <c r="O142" s="28"/>
      <c r="P142" s="14"/>
      <c r="Q142" s="253"/>
      <c r="R142" s="14"/>
      <c r="S142" s="198"/>
      <c r="V142" s="197"/>
    </row>
    <row r="143" spans="1:22" ht="18" hidden="1" customHeight="1">
      <c r="A143" s="96"/>
      <c r="B143" s="5"/>
      <c r="C143" s="5"/>
      <c r="D143" s="5"/>
      <c r="E143" s="5"/>
      <c r="M143" s="120"/>
      <c r="N143" s="28"/>
      <c r="O143" s="28"/>
      <c r="P143" s="14"/>
      <c r="Q143" s="253"/>
      <c r="R143" s="14"/>
      <c r="S143" s="198"/>
      <c r="V143" s="197"/>
    </row>
    <row r="144" spans="1:22" ht="18" hidden="1" customHeight="1">
      <c r="A144" s="96"/>
      <c r="B144" s="5"/>
      <c r="C144" s="5"/>
      <c r="D144" s="5"/>
      <c r="E144" s="5"/>
      <c r="M144" s="120"/>
      <c r="N144" s="28"/>
      <c r="O144" s="28"/>
      <c r="P144" s="14"/>
      <c r="Q144" s="253"/>
      <c r="R144" s="14"/>
      <c r="S144" s="198"/>
      <c r="V144" s="197"/>
    </row>
    <row r="145" spans="1:22" s="14" customFormat="1" ht="18" hidden="1" customHeight="1">
      <c r="A145" s="206"/>
      <c r="B145" s="207"/>
      <c r="C145" s="207"/>
      <c r="D145" s="207"/>
      <c r="E145" s="207"/>
      <c r="F145" s="207"/>
      <c r="G145" s="207"/>
      <c r="H145" s="207"/>
      <c r="I145" s="207"/>
      <c r="J145" s="207"/>
      <c r="K145" s="207"/>
      <c r="L145" s="207"/>
      <c r="M145" s="207"/>
      <c r="N145" s="207"/>
      <c r="O145" s="207"/>
      <c r="P145" s="207"/>
      <c r="Q145" s="236"/>
      <c r="R145" s="194"/>
      <c r="S145" s="237"/>
      <c r="T145" s="207"/>
      <c r="U145" s="207"/>
      <c r="V145" s="140" t="s">
        <v>563</v>
      </c>
    </row>
    <row r="146" spans="1:22" s="14" customFormat="1" ht="18" hidden="1" customHeight="1">
      <c r="A146" s="141"/>
      <c r="B146" s="285"/>
      <c r="C146" s="285"/>
      <c r="D146" s="285"/>
      <c r="E146" s="285"/>
      <c r="F146" s="285"/>
      <c r="G146" s="285"/>
      <c r="H146" s="285"/>
      <c r="I146" s="285"/>
      <c r="J146" s="285"/>
      <c r="K146" s="285"/>
      <c r="L146" s="285"/>
      <c r="M146" s="285"/>
      <c r="N146" s="285"/>
      <c r="O146" s="285"/>
      <c r="P146" s="285"/>
      <c r="Q146" s="286"/>
      <c r="R146" s="145"/>
      <c r="S146" s="287"/>
      <c r="T146" s="285"/>
      <c r="U146" s="285"/>
      <c r="V146" s="288"/>
    </row>
    <row r="147" spans="1:22" ht="18" hidden="1" customHeight="1">
      <c r="A147" s="96" t="s">
        <v>697</v>
      </c>
      <c r="V147" s="197"/>
    </row>
    <row r="148" spans="1:22" ht="18" hidden="1" customHeight="1">
      <c r="A148" s="196"/>
      <c r="V148" s="197"/>
    </row>
    <row r="149" spans="1:22" s="291" customFormat="1" ht="18" hidden="1" customHeight="1">
      <c r="A149" s="289"/>
      <c r="B149" s="638" t="s">
        <v>484</v>
      </c>
      <c r="C149" s="1124" t="s">
        <v>663</v>
      </c>
      <c r="G149" s="1008" t="s">
        <v>698</v>
      </c>
      <c r="H149" s="1156" t="s">
        <v>326</v>
      </c>
      <c r="I149" s="661" t="s">
        <v>699</v>
      </c>
      <c r="J149" s="1099"/>
      <c r="K149" s="1099"/>
      <c r="L149" s="1099"/>
      <c r="M149" s="1099"/>
      <c r="N149" s="638" t="s">
        <v>683</v>
      </c>
      <c r="O149" s="661" t="s">
        <v>431</v>
      </c>
      <c r="P149" s="638" t="s">
        <v>358</v>
      </c>
      <c r="Q149" s="661" t="s">
        <v>700</v>
      </c>
      <c r="R149" s="661" t="s">
        <v>685</v>
      </c>
      <c r="S149" s="661" t="s">
        <v>422</v>
      </c>
      <c r="T149" s="14"/>
      <c r="U149" s="958" t="s">
        <v>664</v>
      </c>
      <c r="V149" s="197"/>
    </row>
    <row r="150" spans="1:22" s="291" customFormat="1" ht="18" hidden="1" customHeight="1">
      <c r="A150" s="289"/>
      <c r="B150" s="638"/>
      <c r="C150" s="638"/>
      <c r="G150" s="1008"/>
      <c r="H150" s="638"/>
      <c r="I150" s="638">
        <v>1.3</v>
      </c>
      <c r="J150" s="638"/>
      <c r="K150" s="28" t="s">
        <v>326</v>
      </c>
      <c r="L150" s="638" t="s">
        <v>434</v>
      </c>
      <c r="M150" s="638"/>
      <c r="N150" s="638"/>
      <c r="O150" s="638"/>
      <c r="P150" s="638"/>
      <c r="Q150" s="638"/>
      <c r="R150" s="638"/>
      <c r="S150" s="638"/>
      <c r="T150" s="14"/>
      <c r="U150" s="638"/>
      <c r="V150" s="197"/>
    </row>
    <row r="151" spans="1:22" ht="18" hidden="1" customHeight="1">
      <c r="A151" s="196"/>
      <c r="V151" s="197"/>
    </row>
    <row r="152" spans="1:22" ht="18" hidden="1" customHeight="1">
      <c r="A152" s="196"/>
      <c r="B152" s="47" t="s">
        <v>665</v>
      </c>
      <c r="C152" s="14"/>
      <c r="D152" s="14"/>
      <c r="E152" s="14"/>
      <c r="F152" s="18"/>
      <c r="G152" s="18"/>
      <c r="H152" s="14"/>
      <c r="I152" s="120"/>
      <c r="J152" s="14"/>
      <c r="K152" s="14"/>
      <c r="M152" s="14"/>
      <c r="N152" s="14"/>
      <c r="P152" s="14" t="s">
        <v>434</v>
      </c>
      <c r="R152" s="246" t="s">
        <v>138</v>
      </c>
      <c r="S152" s="639" t="str">
        <f>J106</f>
        <v>-</v>
      </c>
      <c r="T152" s="639"/>
      <c r="U152" s="30" t="s">
        <v>9</v>
      </c>
      <c r="V152" s="197"/>
    </row>
    <row r="153" spans="1:22" ht="18" hidden="1" customHeight="1">
      <c r="A153" s="196"/>
      <c r="B153" s="47" t="s">
        <v>666</v>
      </c>
      <c r="C153" s="14"/>
      <c r="D153" s="14"/>
      <c r="E153" s="14"/>
      <c r="F153" s="18"/>
      <c r="G153" s="18"/>
      <c r="H153" s="14"/>
      <c r="I153" s="120"/>
      <c r="J153" s="14"/>
      <c r="K153" s="14"/>
      <c r="M153" s="14"/>
      <c r="N153" s="14"/>
      <c r="P153" s="14" t="s">
        <v>431</v>
      </c>
      <c r="R153" s="246" t="s">
        <v>138</v>
      </c>
      <c r="S153" s="639">
        <f>J108</f>
        <v>5</v>
      </c>
      <c r="T153" s="639"/>
      <c r="U153" s="204" t="s">
        <v>344</v>
      </c>
      <c r="V153" s="197"/>
    </row>
    <row r="154" spans="1:22" ht="18" hidden="1" customHeight="1">
      <c r="A154" s="196"/>
      <c r="B154" s="47" t="s">
        <v>687</v>
      </c>
      <c r="C154" s="14"/>
      <c r="D154" s="14"/>
      <c r="E154" s="14"/>
      <c r="F154" s="18"/>
      <c r="G154" s="18"/>
      <c r="H154" s="14"/>
      <c r="I154" s="120"/>
      <c r="J154" s="14"/>
      <c r="K154" s="14"/>
      <c r="M154" s="14"/>
      <c r="N154" s="14"/>
      <c r="P154" s="14" t="s">
        <v>701</v>
      </c>
      <c r="R154" s="246" t="s">
        <v>138</v>
      </c>
      <c r="S154" s="637">
        <f>S125</f>
        <v>1.5418674400000001</v>
      </c>
      <c r="T154" s="637"/>
      <c r="U154" s="204" t="s">
        <v>344</v>
      </c>
      <c r="V154" s="197"/>
    </row>
    <row r="155" spans="1:22" ht="18" hidden="1" customHeight="1">
      <c r="A155" s="196"/>
      <c r="B155" s="47" t="s">
        <v>702</v>
      </c>
      <c r="C155" s="14"/>
      <c r="D155" s="14"/>
      <c r="E155" s="14"/>
      <c r="F155" s="14"/>
      <c r="G155" s="14"/>
      <c r="H155" s="14"/>
      <c r="I155" s="120"/>
      <c r="J155" s="14"/>
      <c r="K155" s="14"/>
      <c r="M155" s="14"/>
      <c r="N155" s="14"/>
      <c r="P155" s="14" t="s">
        <v>422</v>
      </c>
      <c r="R155" s="246" t="s">
        <v>138</v>
      </c>
      <c r="S155" s="639">
        <f>O106</f>
        <v>1</v>
      </c>
      <c r="T155" s="639"/>
      <c r="U155" s="30" t="s">
        <v>9</v>
      </c>
      <c r="V155" s="197"/>
    </row>
    <row r="156" spans="1:22" ht="18" hidden="1" customHeight="1">
      <c r="A156" s="196"/>
      <c r="B156" s="47" t="s">
        <v>689</v>
      </c>
      <c r="C156" s="14"/>
      <c r="D156" s="14"/>
      <c r="E156" s="14"/>
      <c r="F156" s="14"/>
      <c r="G156" s="14"/>
      <c r="H156" s="14"/>
      <c r="I156" s="120"/>
      <c r="J156" s="14"/>
      <c r="K156" s="14"/>
      <c r="M156" s="14"/>
      <c r="N156" s="14"/>
      <c r="P156" s="120" t="s">
        <v>699</v>
      </c>
      <c r="R156" s="246" t="s">
        <v>138</v>
      </c>
      <c r="S156" s="639">
        <f>O139</f>
        <v>27992.740324345494</v>
      </c>
      <c r="T156" s="639"/>
      <c r="U156" s="30" t="s">
        <v>9</v>
      </c>
      <c r="V156" s="197"/>
    </row>
    <row r="157" spans="1:22" ht="18" hidden="1" customHeight="1">
      <c r="A157" s="196"/>
      <c r="B157" s="47" t="s">
        <v>703</v>
      </c>
      <c r="C157" s="14"/>
      <c r="D157" s="14"/>
      <c r="E157" s="14"/>
      <c r="F157" s="14"/>
      <c r="G157" s="14"/>
      <c r="H157" s="14"/>
      <c r="I157" s="120"/>
      <c r="J157" s="14"/>
      <c r="K157" s="14"/>
      <c r="M157" s="14"/>
      <c r="N157" s="14"/>
      <c r="P157" s="120" t="s">
        <v>691</v>
      </c>
      <c r="R157" s="246" t="s">
        <v>138</v>
      </c>
      <c r="S157" s="637">
        <f>J133</f>
        <v>1749.5462702715934</v>
      </c>
      <c r="T157" s="639"/>
      <c r="U157" s="30" t="s">
        <v>9</v>
      </c>
      <c r="V157" s="197"/>
    </row>
    <row r="158" spans="1:22" ht="18" hidden="1" customHeight="1">
      <c r="A158" s="196"/>
      <c r="B158" s="47" t="s">
        <v>670</v>
      </c>
      <c r="C158" s="14"/>
      <c r="D158" s="14"/>
      <c r="E158" s="14"/>
      <c r="F158" s="14"/>
      <c r="G158" s="14"/>
      <c r="H158" s="14"/>
      <c r="I158" s="120"/>
      <c r="J158" s="14"/>
      <c r="K158" s="14"/>
      <c r="M158" s="14"/>
      <c r="N158" s="14"/>
      <c r="P158" s="120" t="s">
        <v>671</v>
      </c>
      <c r="R158" s="246" t="s">
        <v>138</v>
      </c>
      <c r="S158" s="639">
        <f>S56</f>
        <v>1</v>
      </c>
      <c r="T158" s="639"/>
      <c r="U158" s="30" t="s">
        <v>9</v>
      </c>
      <c r="V158" s="197"/>
    </row>
    <row r="159" spans="1:22" ht="18" hidden="1" customHeight="1">
      <c r="A159" s="96"/>
      <c r="B159" s="14"/>
      <c r="C159" s="14"/>
      <c r="D159" s="247"/>
      <c r="E159" s="14"/>
      <c r="F159" s="28"/>
      <c r="G159" s="261"/>
      <c r="H159" s="28"/>
      <c r="I159" s="263"/>
      <c r="J159" s="14"/>
      <c r="K159" s="292"/>
      <c r="M159" s="47"/>
      <c r="N159" s="280"/>
      <c r="P159" s="293"/>
      <c r="R159" s="246"/>
      <c r="S159" s="1161"/>
      <c r="T159" s="985"/>
      <c r="V159" s="197"/>
    </row>
    <row r="160" spans="1:22" ht="18" hidden="1" customHeight="1">
      <c r="A160" s="284" t="s">
        <v>704</v>
      </c>
      <c r="B160" s="14"/>
      <c r="C160" s="14"/>
      <c r="D160" s="14"/>
      <c r="E160" s="14"/>
      <c r="F160" s="14"/>
      <c r="G160" s="14"/>
      <c r="H160" s="28">
        <v>3</v>
      </c>
      <c r="I160" s="47" t="s">
        <v>705</v>
      </c>
      <c r="J160" s="14"/>
      <c r="K160" s="14"/>
      <c r="M160" s="14" t="s">
        <v>348</v>
      </c>
      <c r="N160" s="14"/>
      <c r="P160" s="120"/>
      <c r="R160" s="246"/>
      <c r="S160" s="1162"/>
      <c r="T160" s="985"/>
      <c r="V160" s="197"/>
    </row>
    <row r="161" spans="1:22" ht="18" hidden="1" customHeight="1">
      <c r="A161" s="284"/>
      <c r="B161" s="14"/>
      <c r="C161" s="14"/>
      <c r="D161" s="14"/>
      <c r="E161" s="14"/>
      <c r="F161" s="14"/>
      <c r="G161" s="14"/>
      <c r="H161" s="28"/>
      <c r="I161" s="47"/>
      <c r="J161" s="14"/>
      <c r="K161" s="14"/>
      <c r="M161" s="14"/>
      <c r="N161" s="14"/>
      <c r="P161" s="120"/>
      <c r="R161" s="246"/>
      <c r="S161" s="294"/>
      <c r="V161" s="197"/>
    </row>
    <row r="162" spans="1:22" s="291" customFormat="1" ht="18" hidden="1" customHeight="1">
      <c r="A162" s="289"/>
      <c r="B162" s="638" t="s">
        <v>484</v>
      </c>
      <c r="C162" s="1124" t="s">
        <v>663</v>
      </c>
      <c r="G162" s="1008">
        <f>H160</f>
        <v>3</v>
      </c>
      <c r="H162" s="1157" t="s">
        <v>326</v>
      </c>
      <c r="I162" s="1026">
        <f>S156</f>
        <v>27992.740324345494</v>
      </c>
      <c r="J162" s="1159"/>
      <c r="K162" s="1159"/>
      <c r="L162" s="1159"/>
      <c r="M162" s="1159"/>
      <c r="N162" s="638" t="s">
        <v>683</v>
      </c>
      <c r="O162" s="661">
        <f>S153</f>
        <v>5</v>
      </c>
      <c r="P162" s="638" t="s">
        <v>358</v>
      </c>
      <c r="Q162" s="1026">
        <f>S154</f>
        <v>1.5418674400000001</v>
      </c>
      <c r="R162" s="661" t="s">
        <v>685</v>
      </c>
      <c r="S162" s="661">
        <f>S155</f>
        <v>1</v>
      </c>
      <c r="T162" s="14"/>
      <c r="U162" s="958" t="s">
        <v>664</v>
      </c>
      <c r="V162" s="197"/>
    </row>
    <row r="163" spans="1:22" s="291" customFormat="1" ht="18" hidden="1" customHeight="1">
      <c r="A163" s="289"/>
      <c r="B163" s="638"/>
      <c r="C163" s="638"/>
      <c r="G163" s="1008"/>
      <c r="H163" s="639"/>
      <c r="I163" s="638">
        <v>1.3</v>
      </c>
      <c r="J163" s="639"/>
      <c r="K163" s="28" t="s">
        <v>326</v>
      </c>
      <c r="L163" s="638" t="str">
        <f>S152</f>
        <v>-</v>
      </c>
      <c r="M163" s="639"/>
      <c r="N163" s="638"/>
      <c r="O163" s="638"/>
      <c r="P163" s="638"/>
      <c r="Q163" s="638"/>
      <c r="R163" s="638"/>
      <c r="S163" s="638"/>
      <c r="T163" s="14"/>
      <c r="U163" s="638"/>
      <c r="V163" s="197"/>
    </row>
    <row r="164" spans="1:22" ht="18" hidden="1" customHeight="1">
      <c r="A164" s="96"/>
      <c r="B164" s="14"/>
      <c r="C164" s="27" t="s">
        <v>138</v>
      </c>
      <c r="D164" s="798" t="e">
        <f>G162*(I162/(I163*L163)*(O162+Q162)*S162)</f>
        <v>#VALUE!</v>
      </c>
      <c r="E164" s="799"/>
      <c r="F164" s="30" t="s">
        <v>316</v>
      </c>
      <c r="G164" s="14"/>
      <c r="H164" s="14"/>
      <c r="I164" s="14"/>
      <c r="J164" s="14"/>
      <c r="K164" s="14"/>
      <c r="L164" s="14"/>
      <c r="M164" s="14"/>
      <c r="N164" s="14"/>
      <c r="R164" s="246"/>
      <c r="S164" s="216"/>
      <c r="V164" s="197"/>
    </row>
    <row r="165" spans="1:22" ht="18" hidden="1" customHeight="1">
      <c r="A165" s="96"/>
      <c r="B165" s="14"/>
      <c r="G165" s="14"/>
      <c r="H165" s="14"/>
      <c r="I165" s="14"/>
      <c r="J165" s="14"/>
      <c r="K165" s="14"/>
      <c r="L165" s="14"/>
      <c r="M165" s="14"/>
      <c r="N165" s="14"/>
      <c r="R165" s="246"/>
      <c r="S165" s="216"/>
      <c r="V165" s="197"/>
    </row>
    <row r="166" spans="1:22" ht="18" hidden="1" customHeight="1">
      <c r="A166" s="96"/>
      <c r="B166" s="14"/>
      <c r="D166" s="30" t="s">
        <v>486</v>
      </c>
      <c r="G166" s="27" t="e">
        <f>IF(E167&gt;H167,"&gt;","&lt;")</f>
        <v>#VALUE!</v>
      </c>
      <c r="H166" s="30" t="s">
        <v>488</v>
      </c>
      <c r="M166" s="14"/>
      <c r="N166" s="14"/>
      <c r="R166" s="246"/>
      <c r="S166" s="216"/>
      <c r="V166" s="197"/>
    </row>
    <row r="167" spans="1:22" ht="18" hidden="1" customHeight="1">
      <c r="A167" s="96"/>
      <c r="B167" s="14"/>
      <c r="E167" s="639">
        <f>J109</f>
        <v>300</v>
      </c>
      <c r="F167" s="639"/>
      <c r="G167" s="27" t="e">
        <f>G166</f>
        <v>#VALUE!</v>
      </c>
      <c r="H167" s="637" t="e">
        <f>D164</f>
        <v>#VALUE!</v>
      </c>
      <c r="I167" s="639"/>
      <c r="M167" s="14"/>
      <c r="N167" s="14"/>
      <c r="R167" s="246"/>
      <c r="S167" s="216"/>
      <c r="V167" s="197"/>
    </row>
    <row r="168" spans="1:22" ht="18" hidden="1" customHeight="1">
      <c r="A168" s="96"/>
      <c r="B168" s="14"/>
      <c r="F168" s="256" t="s">
        <v>489</v>
      </c>
      <c r="H168" s="18" t="e">
        <f>IF(G166="&gt;","Suitably Dimentioned","Under Dimentioned")</f>
        <v>#VALUE!</v>
      </c>
      <c r="M168" s="14"/>
      <c r="N168" s="14"/>
      <c r="R168" s="246"/>
      <c r="S168" s="216"/>
      <c r="V168" s="197"/>
    </row>
    <row r="169" spans="1:22" ht="18" hidden="1" customHeight="1">
      <c r="A169" s="96"/>
      <c r="B169" s="14"/>
      <c r="G169" s="14"/>
      <c r="H169" s="14"/>
      <c r="I169" s="14"/>
      <c r="J169" s="14"/>
      <c r="K169" s="14"/>
      <c r="L169" s="14"/>
      <c r="M169" s="14"/>
      <c r="N169" s="14"/>
      <c r="R169" s="246"/>
      <c r="S169" s="216"/>
      <c r="V169" s="197"/>
    </row>
    <row r="170" spans="1:22" ht="18" hidden="1" customHeight="1">
      <c r="A170" s="205" t="s">
        <v>706</v>
      </c>
      <c r="B170" s="14"/>
      <c r="G170" s="14"/>
      <c r="H170" s="14"/>
      <c r="I170" s="14"/>
      <c r="J170" s="14"/>
      <c r="K170" s="14"/>
      <c r="L170" s="14"/>
      <c r="M170" s="14"/>
      <c r="N170" s="14"/>
      <c r="R170" s="246"/>
      <c r="S170" s="216"/>
      <c r="V170" s="197"/>
    </row>
    <row r="171" spans="1:22" ht="18" hidden="1" customHeight="1">
      <c r="A171" s="96"/>
      <c r="B171" s="14"/>
      <c r="D171" s="1008" t="s">
        <v>707</v>
      </c>
      <c r="E171" s="920"/>
      <c r="F171" s="638" t="s">
        <v>138</v>
      </c>
      <c r="G171" s="661" t="s">
        <v>434</v>
      </c>
      <c r="H171" s="1099"/>
      <c r="I171" s="638" t="s">
        <v>326</v>
      </c>
      <c r="J171" s="661" t="s">
        <v>708</v>
      </c>
      <c r="K171" s="1099"/>
      <c r="L171" s="14"/>
      <c r="M171" s="14"/>
      <c r="N171" s="14"/>
      <c r="R171" s="246"/>
      <c r="S171" s="216"/>
      <c r="V171" s="197"/>
    </row>
    <row r="172" spans="1:22" ht="18" hidden="1" customHeight="1">
      <c r="A172" s="96"/>
      <c r="B172" s="14"/>
      <c r="D172" s="920"/>
      <c r="E172" s="920"/>
      <c r="F172" s="638"/>
      <c r="G172" s="638" t="s">
        <v>691</v>
      </c>
      <c r="H172" s="920"/>
      <c r="I172" s="638"/>
      <c r="J172" s="638" t="s">
        <v>422</v>
      </c>
      <c r="K172" s="920"/>
      <c r="L172" s="14"/>
      <c r="M172" s="14"/>
      <c r="N172" s="14"/>
      <c r="R172" s="246"/>
      <c r="S172" s="216"/>
      <c r="V172" s="197"/>
    </row>
    <row r="173" spans="1:22" ht="18" hidden="1" customHeight="1">
      <c r="A173" s="96"/>
      <c r="B173" s="14"/>
      <c r="G173" s="14"/>
      <c r="H173" s="14"/>
      <c r="I173" s="14"/>
      <c r="J173" s="14"/>
      <c r="K173" s="14"/>
      <c r="L173" s="14"/>
      <c r="M173" s="14"/>
      <c r="N173" s="14"/>
      <c r="R173" s="246"/>
      <c r="S173" s="216"/>
      <c r="V173" s="197"/>
    </row>
    <row r="174" spans="1:22" ht="18" hidden="1" customHeight="1">
      <c r="A174" s="96"/>
      <c r="B174" s="14"/>
      <c r="F174" s="638" t="s">
        <v>138</v>
      </c>
      <c r="G174" s="661" t="str">
        <f>S152</f>
        <v>-</v>
      </c>
      <c r="H174" s="1099"/>
      <c r="I174" s="638" t="s">
        <v>326</v>
      </c>
      <c r="J174" s="661">
        <f>S158</f>
        <v>1</v>
      </c>
      <c r="K174" s="1099"/>
      <c r="L174" s="14"/>
      <c r="M174" s="14"/>
      <c r="N174" s="14"/>
      <c r="R174" s="246"/>
      <c r="S174" s="216"/>
      <c r="V174" s="197"/>
    </row>
    <row r="175" spans="1:22" ht="18" hidden="1" customHeight="1">
      <c r="A175" s="96"/>
      <c r="B175" s="14"/>
      <c r="F175" s="638"/>
      <c r="G175" s="641">
        <f>J133</f>
        <v>1749.5462702715934</v>
      </c>
      <c r="H175" s="920"/>
      <c r="I175" s="638"/>
      <c r="J175" s="638">
        <f>S155</f>
        <v>1</v>
      </c>
      <c r="K175" s="920"/>
      <c r="L175" s="14"/>
      <c r="M175" s="14"/>
      <c r="N175" s="14"/>
      <c r="R175" s="246"/>
      <c r="S175" s="216"/>
      <c r="V175" s="197"/>
    </row>
    <row r="176" spans="1:22" ht="18" hidden="1" customHeight="1">
      <c r="A176" s="96"/>
      <c r="B176" s="14"/>
      <c r="G176" s="14"/>
      <c r="H176" s="14"/>
      <c r="I176" s="14"/>
      <c r="J176" s="14"/>
      <c r="K176" s="14"/>
      <c r="L176" s="14"/>
      <c r="M176" s="14"/>
      <c r="N176" s="14"/>
      <c r="R176" s="246"/>
      <c r="S176" s="216"/>
      <c r="V176" s="197"/>
    </row>
    <row r="177" spans="1:22" ht="18" hidden="1" customHeight="1">
      <c r="A177" s="96"/>
      <c r="B177" s="14"/>
      <c r="F177" s="27" t="s">
        <v>138</v>
      </c>
      <c r="G177" s="920" t="e">
        <f>(G174/G175)*(J174/J175)</f>
        <v>#VALUE!</v>
      </c>
      <c r="H177" s="920"/>
      <c r="I177" s="14"/>
      <c r="J177" s="14"/>
      <c r="K177" s="14"/>
      <c r="L177" s="14"/>
      <c r="M177" s="14"/>
      <c r="N177" s="14"/>
      <c r="R177" s="246"/>
      <c r="S177" s="216"/>
      <c r="V177" s="197"/>
    </row>
    <row r="178" spans="1:22" ht="18" hidden="1" customHeight="1">
      <c r="A178" s="96"/>
      <c r="B178" s="14"/>
      <c r="G178" s="14"/>
      <c r="H178" s="14"/>
      <c r="I178" s="14"/>
      <c r="J178" s="14"/>
      <c r="K178" s="14"/>
      <c r="L178" s="14"/>
      <c r="M178" s="14"/>
      <c r="N178" s="14"/>
      <c r="R178" s="246"/>
      <c r="S178" s="216"/>
      <c r="V178" s="197"/>
    </row>
    <row r="179" spans="1:22" ht="18" hidden="1" customHeight="1">
      <c r="A179" s="96"/>
      <c r="B179" s="14"/>
      <c r="D179" s="295" t="s">
        <v>709</v>
      </c>
      <c r="E179" s="296" t="s">
        <v>710</v>
      </c>
      <c r="F179" s="638" t="s">
        <v>707</v>
      </c>
      <c r="G179" s="920"/>
      <c r="H179" s="920"/>
      <c r="I179" s="296" t="s">
        <v>710</v>
      </c>
      <c r="J179" s="28">
        <v>4</v>
      </c>
      <c r="L179" s="291"/>
      <c r="M179" s="120" t="s">
        <v>711</v>
      </c>
      <c r="N179" s="47" t="s">
        <v>712</v>
      </c>
      <c r="O179" s="291"/>
      <c r="P179" s="248"/>
      <c r="Q179" s="248"/>
      <c r="R179" s="246"/>
      <c r="S179" s="216"/>
      <c r="V179" s="197"/>
    </row>
    <row r="180" spans="1:22" ht="18" hidden="1" customHeight="1">
      <c r="A180" s="96"/>
      <c r="B180" s="14"/>
      <c r="D180" s="230">
        <v>0.25</v>
      </c>
      <c r="E180" s="296" t="e">
        <f>IF(D180&lt;=G177,"≤","&gt;")</f>
        <v>#VALUE!</v>
      </c>
      <c r="F180" s="911" t="e">
        <f>G177</f>
        <v>#VALUE!</v>
      </c>
      <c r="G180" s="1163"/>
      <c r="H180" s="911"/>
      <c r="I180" s="296" t="e">
        <f>IF(G177&lt;=J179,"≤","&gt;")</f>
        <v>#VALUE!</v>
      </c>
      <c r="J180" s="28">
        <f>J179</f>
        <v>4</v>
      </c>
      <c r="L180" s="291"/>
      <c r="M180" s="120"/>
      <c r="N180" s="225"/>
      <c r="O180" s="291"/>
      <c r="P180" s="248"/>
      <c r="Q180" s="248"/>
      <c r="R180" s="246"/>
      <c r="S180" s="216"/>
      <c r="V180" s="197"/>
    </row>
    <row r="181" spans="1:22" ht="18" hidden="1" customHeight="1">
      <c r="A181" s="96"/>
      <c r="B181" s="14"/>
      <c r="G181" s="14"/>
      <c r="H181" s="14"/>
      <c r="I181" s="14"/>
      <c r="J181" s="14"/>
      <c r="K181" s="14"/>
      <c r="L181" s="14"/>
      <c r="M181" s="14"/>
      <c r="N181" s="14"/>
      <c r="R181" s="246"/>
      <c r="S181" s="216"/>
      <c r="V181" s="197"/>
    </row>
    <row r="182" spans="1:22" ht="18" hidden="1" customHeight="1">
      <c r="A182" s="96"/>
      <c r="B182" s="14" t="s">
        <v>713</v>
      </c>
      <c r="G182" s="14"/>
      <c r="H182" s="18" t="e">
        <f>IF(AND(E180="≤",I180="≤")=TRUE,"OK","Not OK")</f>
        <v>#VALUE!</v>
      </c>
      <c r="I182" s="14"/>
      <c r="J182" s="14"/>
      <c r="K182" s="14"/>
      <c r="L182" s="14"/>
      <c r="M182" s="14"/>
      <c r="N182" s="14"/>
      <c r="R182" s="246"/>
      <c r="S182" s="216"/>
      <c r="V182" s="197"/>
    </row>
    <row r="183" spans="1:22" ht="18" hidden="1" customHeight="1">
      <c r="A183" s="96"/>
      <c r="B183" s="14"/>
      <c r="G183" s="14"/>
      <c r="H183" s="18"/>
      <c r="I183" s="14"/>
      <c r="J183" s="14"/>
      <c r="K183" s="14"/>
      <c r="L183" s="14"/>
      <c r="M183" s="14"/>
      <c r="N183" s="14"/>
      <c r="R183" s="246"/>
      <c r="S183" s="216"/>
      <c r="V183" s="197"/>
    </row>
    <row r="184" spans="1:22" ht="18" hidden="1" customHeight="1">
      <c r="A184" s="96"/>
      <c r="B184" s="14"/>
      <c r="G184" s="14"/>
      <c r="H184" s="18"/>
      <c r="I184" s="14"/>
      <c r="J184" s="14"/>
      <c r="K184" s="14"/>
      <c r="L184" s="14"/>
      <c r="M184" s="14"/>
      <c r="N184" s="14"/>
      <c r="R184" s="246"/>
      <c r="S184" s="216"/>
      <c r="V184" s="197"/>
    </row>
    <row r="185" spans="1:22" ht="18" hidden="1" customHeight="1">
      <c r="A185" s="96"/>
      <c r="B185" s="14"/>
      <c r="G185" s="14"/>
      <c r="H185" s="18"/>
      <c r="I185" s="14"/>
      <c r="J185" s="14"/>
      <c r="K185" s="14"/>
      <c r="L185" s="14"/>
      <c r="M185" s="14"/>
      <c r="N185" s="14"/>
      <c r="R185" s="246"/>
      <c r="S185" s="216"/>
      <c r="V185" s="197"/>
    </row>
    <row r="186" spans="1:22" ht="18" hidden="1" customHeight="1">
      <c r="A186" s="96"/>
      <c r="B186" s="14"/>
      <c r="G186" s="14"/>
      <c r="H186" s="18"/>
      <c r="I186" s="14"/>
      <c r="J186" s="14"/>
      <c r="K186" s="14"/>
      <c r="L186" s="14"/>
      <c r="M186" s="14"/>
      <c r="N186" s="14"/>
      <c r="R186" s="246"/>
      <c r="S186" s="216"/>
      <c r="V186" s="197"/>
    </row>
    <row r="187" spans="1:22" ht="18" hidden="1" customHeight="1">
      <c r="A187" s="96"/>
      <c r="B187" s="14"/>
      <c r="G187" s="14"/>
      <c r="H187" s="18"/>
      <c r="I187" s="14"/>
      <c r="J187" s="14"/>
      <c r="K187" s="14"/>
      <c r="L187" s="14"/>
      <c r="M187" s="14"/>
      <c r="N187" s="14"/>
      <c r="R187" s="246"/>
      <c r="S187" s="216"/>
      <c r="V187" s="197"/>
    </row>
    <row r="188" spans="1:22" ht="18" hidden="1" customHeight="1">
      <c r="A188" s="96"/>
      <c r="B188" s="14"/>
      <c r="G188" s="14"/>
      <c r="H188" s="14"/>
      <c r="I188" s="14"/>
      <c r="J188" s="14"/>
      <c r="K188" s="14"/>
      <c r="L188" s="14"/>
      <c r="M188" s="14"/>
      <c r="N188" s="14"/>
      <c r="R188" s="246"/>
      <c r="S188" s="216"/>
      <c r="V188" s="197"/>
    </row>
    <row r="189" spans="1:22" s="14" customFormat="1" ht="18" hidden="1" customHeight="1">
      <c r="A189" s="206"/>
      <c r="B189" s="207"/>
      <c r="C189" s="207"/>
      <c r="D189" s="207"/>
      <c r="E189" s="207"/>
      <c r="F189" s="207"/>
      <c r="G189" s="207"/>
      <c r="H189" s="207"/>
      <c r="I189" s="207"/>
      <c r="J189" s="207"/>
      <c r="K189" s="207"/>
      <c r="L189" s="207"/>
      <c r="M189" s="207"/>
      <c r="N189" s="207"/>
      <c r="O189" s="207"/>
      <c r="P189" s="207"/>
      <c r="Q189" s="236"/>
      <c r="R189" s="194"/>
      <c r="S189" s="237"/>
      <c r="T189" s="207"/>
      <c r="U189" s="207"/>
      <c r="V189" s="140" t="s">
        <v>563</v>
      </c>
    </row>
    <row r="190" spans="1:22" ht="18" hidden="1" customHeight="1">
      <c r="A190" s="238"/>
      <c r="B190" s="239"/>
      <c r="C190" s="239"/>
      <c r="D190" s="239"/>
      <c r="E190" s="239"/>
      <c r="F190" s="239"/>
      <c r="G190" s="239"/>
      <c r="H190" s="239"/>
      <c r="I190" s="239"/>
      <c r="J190" s="239"/>
      <c r="K190" s="239"/>
      <c r="L190" s="239"/>
      <c r="M190" s="239"/>
      <c r="N190" s="239"/>
      <c r="O190" s="239"/>
      <c r="P190" s="239"/>
      <c r="Q190" s="239"/>
      <c r="R190" s="239"/>
      <c r="S190" s="239"/>
      <c r="T190" s="239"/>
      <c r="U190" s="239"/>
      <c r="V190" s="240"/>
    </row>
    <row r="191" spans="1:22" ht="18" hidden="1" customHeight="1">
      <c r="A191" s="196"/>
      <c r="B191" s="650" t="str">
        <f>B103</f>
        <v>T1</v>
      </c>
      <c r="C191" s="651"/>
      <c r="D191" s="663" t="str">
        <f>D103</f>
        <v>Core2</v>
      </c>
      <c r="E191" s="664"/>
      <c r="F191" s="198" t="s">
        <v>642</v>
      </c>
      <c r="H191" s="639" t="str">
        <f>H103</f>
        <v>(Transformer Differential)</v>
      </c>
      <c r="I191" s="639"/>
      <c r="J191" s="639"/>
      <c r="K191" s="639"/>
      <c r="L191" s="639"/>
      <c r="M191" s="639"/>
      <c r="P191" s="198"/>
      <c r="S191" s="199" t="s">
        <v>398</v>
      </c>
      <c r="T191" s="1125" t="str">
        <f>T103</f>
        <v>7UT85</v>
      </c>
      <c r="U191" s="1126"/>
      <c r="V191" s="197"/>
    </row>
    <row r="192" spans="1:22" ht="18" hidden="1" customHeight="1">
      <c r="A192" s="196"/>
      <c r="B192" s="660">
        <f>B104</f>
        <v>0</v>
      </c>
      <c r="C192" s="660"/>
      <c r="D192" s="665"/>
      <c r="E192" s="666"/>
      <c r="F192" s="299"/>
      <c r="T192" s="1125">
        <f>T104</f>
        <v>0</v>
      </c>
      <c r="U192" s="1126"/>
      <c r="V192" s="197"/>
    </row>
    <row r="193" spans="1:29" ht="18" hidden="1" customHeight="1">
      <c r="A193" s="196"/>
      <c r="H193" s="661" t="s">
        <v>401</v>
      </c>
      <c r="I193" s="661"/>
      <c r="J193" s="661" t="s">
        <v>402</v>
      </c>
      <c r="K193" s="661"/>
      <c r="L193" s="662" t="s">
        <v>403</v>
      </c>
      <c r="M193" s="662"/>
      <c r="T193" s="1125">
        <f>T105</f>
        <v>0</v>
      </c>
      <c r="U193" s="1126"/>
      <c r="V193" s="197"/>
    </row>
    <row r="194" spans="1:29" ht="18" hidden="1" customHeight="1">
      <c r="A194" s="196"/>
      <c r="B194" s="47" t="s">
        <v>404</v>
      </c>
      <c r="H194" s="650">
        <f>H106</f>
        <v>2500</v>
      </c>
      <c r="I194" s="651"/>
      <c r="J194" s="650" t="str">
        <f>J106</f>
        <v>-</v>
      </c>
      <c r="K194" s="651"/>
      <c r="L194" s="652" t="str">
        <f>L106</f>
        <v>-</v>
      </c>
      <c r="M194" s="653"/>
      <c r="N194" s="102" t="s">
        <v>353</v>
      </c>
      <c r="O194" s="268">
        <f>O106</f>
        <v>1</v>
      </c>
      <c r="P194" s="27" t="s">
        <v>9</v>
      </c>
      <c r="V194" s="197"/>
    </row>
    <row r="195" spans="1:29" ht="18" hidden="1" customHeight="1">
      <c r="A195" s="196"/>
      <c r="B195" s="47" t="s">
        <v>405</v>
      </c>
      <c r="H195" s="14"/>
      <c r="I195" s="14"/>
      <c r="L195" s="650" t="str">
        <f>J107</f>
        <v>PX</v>
      </c>
      <c r="M195" s="707"/>
      <c r="V195" s="197"/>
    </row>
    <row r="196" spans="1:29" ht="18" hidden="1" customHeight="1">
      <c r="A196" s="196"/>
      <c r="B196" s="47" t="s">
        <v>407</v>
      </c>
      <c r="K196" s="120" t="s">
        <v>508</v>
      </c>
      <c r="L196" s="656">
        <v>3</v>
      </c>
      <c r="M196" s="657"/>
      <c r="N196" s="204" t="s">
        <v>344</v>
      </c>
      <c r="V196" s="197"/>
    </row>
    <row r="197" spans="1:29" ht="18" hidden="1" customHeight="1">
      <c r="A197" s="196"/>
      <c r="B197" s="47" t="s">
        <v>409</v>
      </c>
      <c r="K197" s="120" t="s">
        <v>509</v>
      </c>
      <c r="L197" s="656">
        <v>200</v>
      </c>
      <c r="M197" s="657"/>
      <c r="N197" s="14" t="s">
        <v>316</v>
      </c>
      <c r="V197" s="197"/>
      <c r="W197" s="30" t="s">
        <v>411</v>
      </c>
      <c r="AB197" s="996" t="e">
        <f>D252</f>
        <v>#VALUE!</v>
      </c>
      <c r="AC197" s="997"/>
    </row>
    <row r="198" spans="1:29" ht="18" hidden="1" customHeight="1">
      <c r="A198" s="196"/>
      <c r="B198" s="14" t="s">
        <v>412</v>
      </c>
      <c r="K198" s="120" t="s">
        <v>413</v>
      </c>
      <c r="L198" s="656">
        <v>50</v>
      </c>
      <c r="M198" s="657"/>
      <c r="N198" s="30" t="s">
        <v>414</v>
      </c>
      <c r="V198" s="197"/>
    </row>
    <row r="199" spans="1:29" ht="18" hidden="1" customHeight="1">
      <c r="A199" s="96"/>
      <c r="V199" s="197"/>
    </row>
    <row r="200" spans="1:29" ht="18" hidden="1" customHeight="1">
      <c r="A200" s="205" t="s">
        <v>415</v>
      </c>
      <c r="V200" s="197"/>
    </row>
    <row r="201" spans="1:29" ht="18" hidden="1" customHeight="1">
      <c r="A201" s="196"/>
      <c r="V201" s="197"/>
    </row>
    <row r="202" spans="1:29" ht="18" hidden="1" customHeight="1">
      <c r="A202" s="196"/>
      <c r="B202" s="206" t="s">
        <v>416</v>
      </c>
      <c r="C202" s="207"/>
      <c r="D202" s="207" t="str">
        <f>T191</f>
        <v>7UT85</v>
      </c>
      <c r="E202" s="208"/>
      <c r="F202" s="208"/>
      <c r="G202" s="208"/>
      <c r="H202" s="194" t="s">
        <v>417</v>
      </c>
      <c r="I202" s="195" t="s">
        <v>138</v>
      </c>
      <c r="J202" s="897">
        <f>J114</f>
        <v>0.1</v>
      </c>
      <c r="K202" s="649"/>
      <c r="L202" s="3" t="s">
        <v>168</v>
      </c>
      <c r="V202" s="197"/>
    </row>
    <row r="203" spans="1:29" ht="18" hidden="1" customHeight="1">
      <c r="A203" s="196"/>
      <c r="B203" s="196" t="s">
        <v>416</v>
      </c>
      <c r="D203" s="30">
        <f>T192</f>
        <v>0</v>
      </c>
      <c r="H203" s="27"/>
      <c r="I203" s="189" t="s">
        <v>138</v>
      </c>
      <c r="J203" s="1042">
        <f>J115</f>
        <v>0</v>
      </c>
      <c r="K203" s="643"/>
      <c r="L203" s="210" t="s">
        <v>168</v>
      </c>
      <c r="V203" s="197"/>
    </row>
    <row r="204" spans="1:29" ht="18" hidden="1" customHeight="1">
      <c r="A204" s="196"/>
      <c r="B204" s="196" t="s">
        <v>416</v>
      </c>
      <c r="D204" s="30">
        <f>T193</f>
        <v>0</v>
      </c>
      <c r="E204" s="14"/>
      <c r="G204" s="211"/>
      <c r="H204" s="27"/>
      <c r="I204" s="189" t="s">
        <v>138</v>
      </c>
      <c r="J204" s="644">
        <f>J116</f>
        <v>0</v>
      </c>
      <c r="K204" s="645"/>
      <c r="L204" s="214" t="s">
        <v>168</v>
      </c>
      <c r="V204" s="197"/>
    </row>
    <row r="205" spans="1:29" ht="18" hidden="1" customHeight="1">
      <c r="A205" s="196"/>
      <c r="B205" s="196" t="s">
        <v>423</v>
      </c>
      <c r="H205" s="27" t="s">
        <v>610</v>
      </c>
      <c r="I205" s="189" t="s">
        <v>138</v>
      </c>
      <c r="J205" s="1042">
        <f>J117</f>
        <v>1.44186744</v>
      </c>
      <c r="K205" s="643"/>
      <c r="L205" s="215" t="s">
        <v>168</v>
      </c>
      <c r="V205" s="197"/>
    </row>
    <row r="206" spans="1:29" ht="18" hidden="1" customHeight="1">
      <c r="A206" s="196"/>
      <c r="B206" s="217" t="s">
        <v>424</v>
      </c>
      <c r="C206" s="218"/>
      <c r="D206" s="218"/>
      <c r="E206" s="218"/>
      <c r="F206" s="219"/>
      <c r="G206" s="219"/>
      <c r="H206" s="202" t="s">
        <v>420</v>
      </c>
      <c r="I206" s="220" t="s">
        <v>138</v>
      </c>
      <c r="J206" s="897">
        <f>J203+J205</f>
        <v>1.44186744</v>
      </c>
      <c r="K206" s="649"/>
      <c r="L206" s="222" t="s">
        <v>168</v>
      </c>
      <c r="V206" s="197"/>
    </row>
    <row r="207" spans="1:29" ht="18" hidden="1" customHeight="1">
      <c r="A207" s="196"/>
      <c r="B207" s="47"/>
      <c r="C207" s="47"/>
      <c r="D207" s="47"/>
      <c r="E207" s="47"/>
      <c r="H207" s="27"/>
      <c r="I207" s="28"/>
      <c r="J207" s="211"/>
      <c r="L207" s="47"/>
      <c r="O207" s="27"/>
      <c r="P207" s="223"/>
      <c r="Q207" s="223"/>
      <c r="R207" s="204"/>
      <c r="V207" s="197"/>
    </row>
    <row r="208" spans="1:29" ht="18" hidden="1" customHeight="1">
      <c r="A208" s="196"/>
      <c r="B208" s="209" t="s">
        <v>659</v>
      </c>
      <c r="L208" s="47"/>
      <c r="M208" s="209" t="s">
        <v>418</v>
      </c>
      <c r="V208" s="197"/>
    </row>
    <row r="209" spans="1:22" ht="18" hidden="1" customHeight="1">
      <c r="A209" s="196"/>
      <c r="B209" s="27" t="s">
        <v>660</v>
      </c>
      <c r="C209" s="27" t="s">
        <v>138</v>
      </c>
      <c r="D209" s="30" t="s">
        <v>417</v>
      </c>
      <c r="E209" s="283" t="s">
        <v>421</v>
      </c>
      <c r="F209" s="27" t="s">
        <v>157</v>
      </c>
      <c r="G209" s="28" t="s">
        <v>326</v>
      </c>
      <c r="H209" s="230" t="s">
        <v>157</v>
      </c>
      <c r="I209" s="30" t="s">
        <v>361</v>
      </c>
      <c r="J209" s="211"/>
      <c r="L209" s="47"/>
      <c r="M209" s="30" t="s">
        <v>419</v>
      </c>
      <c r="N209" s="27" t="s">
        <v>138</v>
      </c>
      <c r="O209" s="30" t="s">
        <v>420</v>
      </c>
      <c r="P209" s="203" t="s">
        <v>421</v>
      </c>
      <c r="Q209" s="256" t="s">
        <v>422</v>
      </c>
      <c r="R209" s="27" t="s">
        <v>326</v>
      </c>
      <c r="S209" s="30" t="s">
        <v>422</v>
      </c>
      <c r="T209" s="30" t="s">
        <v>361</v>
      </c>
      <c r="V209" s="197"/>
    </row>
    <row r="210" spans="1:22" ht="18" hidden="1" customHeight="1">
      <c r="A210" s="196"/>
      <c r="B210" s="47"/>
      <c r="C210" s="27" t="s">
        <v>138</v>
      </c>
      <c r="D210" s="216">
        <f>J202</f>
        <v>0.1</v>
      </c>
      <c r="E210" s="203" t="s">
        <v>421</v>
      </c>
      <c r="F210" s="27">
        <f>F122</f>
        <v>1</v>
      </c>
      <c r="G210" s="27" t="s">
        <v>326</v>
      </c>
      <c r="H210" s="27">
        <f>H122</f>
        <v>1</v>
      </c>
      <c r="I210" s="30" t="s">
        <v>361</v>
      </c>
      <c r="J210" s="211"/>
      <c r="L210" s="47"/>
      <c r="N210" s="27" t="s">
        <v>138</v>
      </c>
      <c r="O210" s="216">
        <f>J206</f>
        <v>1.44186744</v>
      </c>
      <c r="P210" s="203" t="s">
        <v>421</v>
      </c>
      <c r="Q210" s="27">
        <f>O194</f>
        <v>1</v>
      </c>
      <c r="R210" s="27" t="s">
        <v>326</v>
      </c>
      <c r="S210" s="27">
        <f>O194</f>
        <v>1</v>
      </c>
      <c r="T210" s="30" t="s">
        <v>361</v>
      </c>
      <c r="V210" s="197"/>
    </row>
    <row r="211" spans="1:22" ht="18" hidden="1" customHeight="1">
      <c r="A211" s="196"/>
      <c r="B211" s="47"/>
      <c r="C211" s="27" t="s">
        <v>138</v>
      </c>
      <c r="D211" s="637">
        <f>D210/(F210*H210)</f>
        <v>0.1</v>
      </c>
      <c r="E211" s="637"/>
      <c r="F211" s="204" t="s">
        <v>344</v>
      </c>
      <c r="J211" s="211"/>
      <c r="L211" s="47"/>
      <c r="N211" s="27" t="s">
        <v>138</v>
      </c>
      <c r="O211" s="637">
        <f>O210/(Q210*S210)</f>
        <v>1.44186744</v>
      </c>
      <c r="P211" s="637"/>
      <c r="Q211" s="204" t="s">
        <v>344</v>
      </c>
      <c r="V211" s="197"/>
    </row>
    <row r="212" spans="1:22" ht="18" hidden="1" customHeight="1">
      <c r="A212" s="196"/>
      <c r="B212" s="47"/>
      <c r="C212" s="47"/>
      <c r="D212" s="47"/>
      <c r="E212" s="47"/>
      <c r="H212" s="27"/>
      <c r="I212" s="28"/>
      <c r="J212" s="211"/>
      <c r="L212" s="47"/>
      <c r="O212" s="27"/>
      <c r="P212" s="223"/>
      <c r="Q212" s="223"/>
      <c r="R212" s="204"/>
      <c r="V212" s="197"/>
    </row>
    <row r="213" spans="1:22" ht="18" hidden="1" customHeight="1">
      <c r="A213" s="196"/>
      <c r="B213" s="47" t="s">
        <v>679</v>
      </c>
      <c r="C213" s="47"/>
      <c r="D213" s="47"/>
      <c r="E213" s="47"/>
      <c r="H213" s="27"/>
      <c r="I213" s="28"/>
      <c r="J213" s="211"/>
      <c r="L213" s="28" t="s">
        <v>138</v>
      </c>
      <c r="M213" s="637">
        <f>D211</f>
        <v>0.1</v>
      </c>
      <c r="N213" s="637"/>
      <c r="O213" s="27" t="s">
        <v>358</v>
      </c>
      <c r="P213" s="637">
        <f>O211</f>
        <v>1.44186744</v>
      </c>
      <c r="Q213" s="637"/>
      <c r="R213" s="223" t="s">
        <v>138</v>
      </c>
      <c r="S213" s="637">
        <f>M213+P213</f>
        <v>1.5418674400000001</v>
      </c>
      <c r="T213" s="637"/>
      <c r="U213" s="204" t="s">
        <v>344</v>
      </c>
      <c r="V213" s="197"/>
    </row>
    <row r="214" spans="1:22" s="14" customFormat="1" ht="18" hidden="1" customHeight="1">
      <c r="A214" s="205" t="s">
        <v>611</v>
      </c>
      <c r="B214" s="5"/>
      <c r="C214" s="5"/>
      <c r="D214" s="5"/>
      <c r="E214" s="5"/>
      <c r="F214" s="5"/>
      <c r="G214" s="5"/>
      <c r="H214" s="224"/>
      <c r="I214" s="224"/>
      <c r="J214" s="5"/>
      <c r="K214" s="5"/>
      <c r="L214" s="5"/>
      <c r="M214" s="5"/>
      <c r="N214" s="5"/>
      <c r="O214" s="5"/>
      <c r="P214" s="103"/>
      <c r="Q214" s="224"/>
      <c r="R214" s="225"/>
      <c r="S214" s="226"/>
      <c r="T214" s="18"/>
      <c r="U214" s="18"/>
      <c r="V214" s="97"/>
    </row>
    <row r="215" spans="1:22" s="14" customFormat="1" ht="18" hidden="1" customHeight="1">
      <c r="A215" s="96"/>
      <c r="B215" s="47" t="s">
        <v>612</v>
      </c>
      <c r="C215" s="5"/>
      <c r="D215" s="5"/>
      <c r="E215" s="5"/>
      <c r="I215" s="227"/>
      <c r="M215" s="5"/>
      <c r="N215" s="103" t="s">
        <v>138</v>
      </c>
      <c r="O215" s="1125">
        <f>O127</f>
        <v>100</v>
      </c>
      <c r="P215" s="651"/>
      <c r="Q215" s="14" t="s">
        <v>613</v>
      </c>
      <c r="S215" s="226"/>
      <c r="T215" s="18"/>
      <c r="U215" s="18"/>
      <c r="V215" s="97"/>
    </row>
    <row r="216" spans="1:22" s="14" customFormat="1" ht="18" hidden="1" customHeight="1">
      <c r="A216" s="96"/>
      <c r="B216" s="47" t="s">
        <v>614</v>
      </c>
      <c r="C216" s="5"/>
      <c r="D216" s="5"/>
      <c r="E216" s="5"/>
      <c r="I216" s="227"/>
      <c r="M216" s="5"/>
      <c r="N216" s="103" t="s">
        <v>138</v>
      </c>
      <c r="O216" s="1125">
        <f>O128</f>
        <v>25</v>
      </c>
      <c r="P216" s="651"/>
      <c r="Q216" s="14" t="s">
        <v>615</v>
      </c>
      <c r="S216" s="226"/>
      <c r="T216" s="18"/>
      <c r="U216" s="18"/>
      <c r="V216" s="97"/>
    </row>
    <row r="217" spans="1:22" s="14" customFormat="1" ht="18" hidden="1" customHeight="1">
      <c r="A217" s="96"/>
      <c r="B217" s="47" t="s">
        <v>616</v>
      </c>
      <c r="C217" s="5"/>
      <c r="D217" s="5"/>
      <c r="E217" s="5"/>
      <c r="M217" s="120" t="s">
        <v>617</v>
      </c>
      <c r="N217" s="103" t="s">
        <v>618</v>
      </c>
      <c r="O217" s="1125">
        <f>O129</f>
        <v>33</v>
      </c>
      <c r="P217" s="651"/>
      <c r="Q217" s="14" t="s">
        <v>174</v>
      </c>
      <c r="S217" s="226"/>
      <c r="T217" s="18"/>
      <c r="U217" s="18"/>
      <c r="V217" s="97"/>
    </row>
    <row r="218" spans="1:22" s="14" customFormat="1" ht="18" hidden="1" customHeight="1">
      <c r="A218" s="228"/>
      <c r="B218" s="224"/>
      <c r="C218" s="224"/>
      <c r="D218" s="224"/>
      <c r="E218" s="224"/>
      <c r="T218" s="18"/>
      <c r="U218" s="18"/>
      <c r="V218" s="97"/>
    </row>
    <row r="219" spans="1:22" s="14" customFormat="1" ht="18" hidden="1" customHeight="1">
      <c r="A219" s="284" t="s">
        <v>619</v>
      </c>
      <c r="B219" s="225"/>
      <c r="C219" s="225"/>
      <c r="D219" s="225"/>
      <c r="E219" s="225"/>
      <c r="H219" s="120" t="s">
        <v>620</v>
      </c>
      <c r="I219" s="28" t="s">
        <v>138</v>
      </c>
      <c r="J219" s="638" t="s">
        <v>621</v>
      </c>
      <c r="K219" s="638"/>
      <c r="L219" s="28" t="s">
        <v>326</v>
      </c>
      <c r="M219" s="229">
        <v>1000</v>
      </c>
      <c r="N219" s="102" t="s">
        <v>353</v>
      </c>
      <c r="O219" s="28" t="s">
        <v>622</v>
      </c>
      <c r="P219" s="28" t="s">
        <v>326</v>
      </c>
      <c r="Q219" s="28" t="s">
        <v>617</v>
      </c>
      <c r="R219" s="47" t="s">
        <v>361</v>
      </c>
      <c r="T219" s="18"/>
      <c r="U219" s="18"/>
      <c r="V219" s="97"/>
    </row>
    <row r="220" spans="1:22" s="14" customFormat="1" ht="18" hidden="1" customHeight="1">
      <c r="A220" s="228"/>
      <c r="B220" s="225"/>
      <c r="C220" s="225"/>
      <c r="D220" s="225"/>
      <c r="E220" s="225"/>
      <c r="F220" s="224"/>
      <c r="G220" s="224"/>
      <c r="H220" s="28"/>
      <c r="I220" s="28" t="s">
        <v>138</v>
      </c>
      <c r="J220" s="638">
        <f>O215</f>
        <v>100</v>
      </c>
      <c r="K220" s="638"/>
      <c r="L220" s="28" t="s">
        <v>326</v>
      </c>
      <c r="M220" s="229">
        <v>1000</v>
      </c>
      <c r="N220" s="102" t="s">
        <v>353</v>
      </c>
      <c r="O220" s="28" t="s">
        <v>622</v>
      </c>
      <c r="P220" s="28" t="s">
        <v>326</v>
      </c>
      <c r="Q220" s="28">
        <f>O217</f>
        <v>33</v>
      </c>
      <c r="R220" s="47" t="s">
        <v>361</v>
      </c>
      <c r="T220" s="18"/>
      <c r="U220" s="18"/>
      <c r="V220" s="97"/>
    </row>
    <row r="221" spans="1:22" s="14" customFormat="1" ht="18" hidden="1" customHeight="1">
      <c r="A221" s="228"/>
      <c r="B221" s="224"/>
      <c r="C221" s="224"/>
      <c r="D221" s="224"/>
      <c r="E221" s="224"/>
      <c r="F221" s="224"/>
      <c r="G221" s="224"/>
      <c r="I221" s="28" t="s">
        <v>138</v>
      </c>
      <c r="J221" s="641">
        <f>(O215*1000)/(SQRT(3)*O217)</f>
        <v>1749.5462702715934</v>
      </c>
      <c r="K221" s="641"/>
      <c r="L221" s="14" t="s">
        <v>9</v>
      </c>
      <c r="M221" s="120"/>
      <c r="N221" s="120"/>
      <c r="O221" s="120"/>
      <c r="T221" s="18"/>
      <c r="U221" s="18"/>
      <c r="V221" s="97"/>
    </row>
    <row r="222" spans="1:22" s="14" customFormat="1" ht="18" hidden="1" customHeight="1">
      <c r="A222" s="228"/>
      <c r="B222" s="224"/>
      <c r="C222" s="224"/>
      <c r="D222" s="224"/>
      <c r="E222" s="224"/>
      <c r="G222" s="224"/>
      <c r="H222" s="28"/>
      <c r="I222" s="103"/>
      <c r="J222" s="28"/>
      <c r="M222" s="224"/>
      <c r="N222" s="231"/>
      <c r="O222" s="224"/>
      <c r="T222" s="18"/>
      <c r="U222" s="18"/>
      <c r="V222" s="97"/>
    </row>
    <row r="223" spans="1:22" s="14" customFormat="1" ht="18" hidden="1" customHeight="1">
      <c r="A223" s="159" t="s">
        <v>640</v>
      </c>
      <c r="B223" s="5"/>
      <c r="C223" s="5"/>
      <c r="D223" s="5"/>
      <c r="E223" s="5"/>
      <c r="F223" s="224"/>
      <c r="G223" s="224"/>
      <c r="H223" s="5"/>
      <c r="I223" s="5"/>
      <c r="J223" s="5"/>
      <c r="K223" s="5"/>
      <c r="L223" s="103"/>
      <c r="M223" s="103"/>
      <c r="N223" s="103"/>
      <c r="O223" s="103"/>
      <c r="P223" s="224"/>
      <c r="Q223" s="225"/>
      <c r="S223" s="232"/>
      <c r="T223" s="18"/>
      <c r="U223" s="18"/>
      <c r="V223" s="97"/>
    </row>
    <row r="224" spans="1:22" s="14" customFormat="1" ht="18" hidden="1" customHeight="1">
      <c r="A224" s="159"/>
      <c r="B224" s="5"/>
      <c r="C224" s="5"/>
      <c r="D224" s="5"/>
      <c r="E224" s="5"/>
      <c r="F224" s="224"/>
      <c r="G224" s="224"/>
      <c r="H224" s="5"/>
      <c r="I224" s="5"/>
      <c r="J224" s="5"/>
      <c r="K224" s="5"/>
      <c r="L224" s="103"/>
      <c r="M224" s="103"/>
      <c r="N224" s="103"/>
      <c r="O224" s="103"/>
      <c r="P224" s="224"/>
      <c r="Q224" s="225"/>
      <c r="S224" s="226"/>
      <c r="T224" s="18"/>
      <c r="U224" s="18"/>
      <c r="V224" s="97"/>
    </row>
    <row r="225" spans="1:22" ht="18" hidden="1" customHeight="1">
      <c r="A225" s="96" t="s">
        <v>643</v>
      </c>
      <c r="B225" s="14"/>
      <c r="C225" s="14"/>
      <c r="D225" s="14"/>
      <c r="E225" s="14"/>
      <c r="M225" s="120" t="s">
        <v>624</v>
      </c>
      <c r="N225" s="28" t="s">
        <v>138</v>
      </c>
      <c r="O225" s="638" t="s">
        <v>620</v>
      </c>
      <c r="P225" s="920"/>
      <c r="Q225" s="233" t="s">
        <v>641</v>
      </c>
      <c r="R225" s="233">
        <v>16</v>
      </c>
      <c r="S225" s="226"/>
      <c r="V225" s="197"/>
    </row>
    <row r="226" spans="1:22" ht="18" hidden="1" customHeight="1">
      <c r="A226" s="96"/>
      <c r="B226" s="5"/>
      <c r="C226" s="5"/>
      <c r="D226" s="5"/>
      <c r="E226" s="5"/>
      <c r="M226" s="262"/>
      <c r="N226" s="28" t="s">
        <v>138</v>
      </c>
      <c r="O226" s="638">
        <f>+J221</f>
        <v>1749.5462702715934</v>
      </c>
      <c r="P226" s="920"/>
      <c r="Q226" s="233" t="s">
        <v>641</v>
      </c>
      <c r="R226" s="233">
        <v>16</v>
      </c>
      <c r="S226" s="226"/>
      <c r="V226" s="197"/>
    </row>
    <row r="227" spans="1:22" ht="18" hidden="1" customHeight="1">
      <c r="A227" s="96"/>
      <c r="B227" s="5"/>
      <c r="C227" s="5"/>
      <c r="D227" s="5"/>
      <c r="E227" s="5"/>
      <c r="M227" s="120" t="s">
        <v>624</v>
      </c>
      <c r="N227" s="28" t="s">
        <v>138</v>
      </c>
      <c r="O227" s="638">
        <f>O226*R226</f>
        <v>27992.740324345494</v>
      </c>
      <c r="P227" s="920"/>
      <c r="Q227" s="253" t="s">
        <v>9</v>
      </c>
      <c r="R227" s="14"/>
      <c r="S227" s="226"/>
      <c r="V227" s="197"/>
    </row>
    <row r="228" spans="1:22" ht="18" hidden="1" customHeight="1">
      <c r="A228" s="96"/>
      <c r="B228" s="5"/>
      <c r="C228" s="5"/>
      <c r="D228" s="5"/>
      <c r="E228" s="5"/>
      <c r="M228" s="120"/>
      <c r="N228" s="28"/>
      <c r="O228" s="28"/>
      <c r="P228" s="14"/>
      <c r="Q228" s="253"/>
      <c r="R228" s="14"/>
      <c r="S228" s="226"/>
      <c r="V228" s="197"/>
    </row>
    <row r="229" spans="1:22" ht="18" hidden="1" customHeight="1">
      <c r="A229" s="96"/>
      <c r="B229" s="5"/>
      <c r="C229" s="5"/>
      <c r="D229" s="5"/>
      <c r="E229" s="5"/>
      <c r="M229" s="120"/>
      <c r="N229" s="28"/>
      <c r="O229" s="28"/>
      <c r="P229" s="14"/>
      <c r="Q229" s="253"/>
      <c r="R229" s="14"/>
      <c r="S229" s="226"/>
      <c r="V229" s="197"/>
    </row>
    <row r="230" spans="1:22" ht="18" hidden="1" customHeight="1">
      <c r="A230" s="96"/>
      <c r="B230" s="5"/>
      <c r="C230" s="5"/>
      <c r="D230" s="5"/>
      <c r="E230" s="5"/>
      <c r="M230" s="120"/>
      <c r="N230" s="28"/>
      <c r="O230" s="28"/>
      <c r="P230" s="14"/>
      <c r="Q230" s="253"/>
      <c r="R230" s="14"/>
      <c r="S230" s="226"/>
      <c r="V230" s="197"/>
    </row>
    <row r="231" spans="1:22" ht="18" hidden="1" customHeight="1">
      <c r="A231" s="96"/>
      <c r="B231" s="5"/>
      <c r="C231" s="5"/>
      <c r="D231" s="5"/>
      <c r="E231" s="5"/>
      <c r="M231" s="120"/>
      <c r="N231" s="28"/>
      <c r="O231" s="28"/>
      <c r="P231" s="14"/>
      <c r="Q231" s="253"/>
      <c r="R231" s="14"/>
      <c r="S231" s="226"/>
      <c r="V231" s="197"/>
    </row>
    <row r="232" spans="1:22" ht="18" hidden="1" customHeight="1">
      <c r="A232" s="96"/>
      <c r="B232" s="5"/>
      <c r="C232" s="5"/>
      <c r="D232" s="5"/>
      <c r="E232" s="5"/>
      <c r="M232" s="120"/>
      <c r="N232" s="28"/>
      <c r="O232" s="28"/>
      <c r="P232" s="14"/>
      <c r="Q232" s="253"/>
      <c r="R232" s="14"/>
      <c r="S232" s="226"/>
      <c r="V232" s="197"/>
    </row>
    <row r="233" spans="1:22" s="14" customFormat="1" ht="18" hidden="1" customHeight="1">
      <c r="A233" s="206"/>
      <c r="B233" s="207"/>
      <c r="C233" s="207"/>
      <c r="D233" s="207"/>
      <c r="E233" s="207"/>
      <c r="F233" s="207"/>
      <c r="G233" s="207"/>
      <c r="H233" s="207"/>
      <c r="I233" s="207"/>
      <c r="J233" s="207"/>
      <c r="K233" s="207"/>
      <c r="L233" s="207"/>
      <c r="M233" s="207"/>
      <c r="N233" s="207"/>
      <c r="O233" s="207"/>
      <c r="P233" s="207"/>
      <c r="Q233" s="236"/>
      <c r="R233" s="194"/>
      <c r="S233" s="237"/>
      <c r="T233" s="207"/>
      <c r="U233" s="207"/>
      <c r="V233" s="140" t="s">
        <v>563</v>
      </c>
    </row>
    <row r="234" spans="1:22" s="14" customFormat="1" ht="18" hidden="1" customHeight="1">
      <c r="A234" s="141"/>
      <c r="B234" s="285"/>
      <c r="C234" s="285"/>
      <c r="D234" s="285"/>
      <c r="E234" s="285"/>
      <c r="F234" s="285"/>
      <c r="G234" s="285"/>
      <c r="H234" s="285"/>
      <c r="I234" s="285"/>
      <c r="J234" s="285"/>
      <c r="K234" s="285"/>
      <c r="L234" s="285"/>
      <c r="M234" s="285"/>
      <c r="N234" s="285"/>
      <c r="O234" s="285"/>
      <c r="P234" s="285"/>
      <c r="Q234" s="286"/>
      <c r="R234" s="145"/>
      <c r="S234" s="287"/>
      <c r="T234" s="285"/>
      <c r="U234" s="285"/>
      <c r="V234" s="288"/>
    </row>
    <row r="235" spans="1:22" ht="18" hidden="1" customHeight="1">
      <c r="A235" s="96" t="s">
        <v>697</v>
      </c>
      <c r="V235" s="197"/>
    </row>
    <row r="236" spans="1:22" ht="18" hidden="1" customHeight="1">
      <c r="A236" s="196"/>
      <c r="V236" s="197"/>
    </row>
    <row r="237" spans="1:22" s="291" customFormat="1" ht="18" hidden="1" customHeight="1">
      <c r="A237" s="289"/>
      <c r="B237" s="638" t="s">
        <v>484</v>
      </c>
      <c r="C237" s="1124" t="s">
        <v>663</v>
      </c>
      <c r="G237" s="1008" t="s">
        <v>698</v>
      </c>
      <c r="H237" s="1156" t="s">
        <v>326</v>
      </c>
      <c r="I237" s="661" t="s">
        <v>699</v>
      </c>
      <c r="J237" s="1099"/>
      <c r="K237" s="1099"/>
      <c r="L237" s="1099"/>
      <c r="M237" s="1099"/>
      <c r="N237" s="638" t="s">
        <v>683</v>
      </c>
      <c r="O237" s="661" t="s">
        <v>431</v>
      </c>
      <c r="P237" s="638" t="s">
        <v>358</v>
      </c>
      <c r="Q237" s="661" t="s">
        <v>700</v>
      </c>
      <c r="R237" s="661" t="s">
        <v>685</v>
      </c>
      <c r="S237" s="661" t="s">
        <v>422</v>
      </c>
      <c r="T237" s="14"/>
      <c r="U237" s="958" t="s">
        <v>664</v>
      </c>
      <c r="V237" s="197"/>
    </row>
    <row r="238" spans="1:22" s="291" customFormat="1" ht="18" hidden="1" customHeight="1">
      <c r="A238" s="289"/>
      <c r="B238" s="638"/>
      <c r="C238" s="638"/>
      <c r="G238" s="1008"/>
      <c r="H238" s="638"/>
      <c r="I238" s="638">
        <v>1.3</v>
      </c>
      <c r="J238" s="638"/>
      <c r="K238" s="28" t="s">
        <v>326</v>
      </c>
      <c r="L238" s="638" t="s">
        <v>434</v>
      </c>
      <c r="M238" s="638"/>
      <c r="N238" s="638"/>
      <c r="O238" s="638"/>
      <c r="P238" s="638"/>
      <c r="Q238" s="638"/>
      <c r="R238" s="638"/>
      <c r="S238" s="638"/>
      <c r="T238" s="14"/>
      <c r="U238" s="638"/>
      <c r="V238" s="197"/>
    </row>
    <row r="239" spans="1:22" ht="18" hidden="1" customHeight="1">
      <c r="A239" s="196"/>
      <c r="V239" s="197"/>
    </row>
    <row r="240" spans="1:22" ht="18" hidden="1" customHeight="1">
      <c r="A240" s="196"/>
      <c r="B240" s="47" t="s">
        <v>665</v>
      </c>
      <c r="C240" s="14"/>
      <c r="D240" s="14"/>
      <c r="E240" s="14"/>
      <c r="F240" s="18"/>
      <c r="G240" s="18"/>
      <c r="H240" s="14"/>
      <c r="I240" s="120"/>
      <c r="J240" s="14"/>
      <c r="K240" s="14"/>
      <c r="M240" s="14"/>
      <c r="N240" s="14"/>
      <c r="P240" s="14" t="s">
        <v>434</v>
      </c>
      <c r="R240" s="246" t="s">
        <v>138</v>
      </c>
      <c r="S240" s="639" t="str">
        <f>L194</f>
        <v>-</v>
      </c>
      <c r="T240" s="639"/>
      <c r="U240" s="30" t="s">
        <v>9</v>
      </c>
      <c r="V240" s="197"/>
    </row>
    <row r="241" spans="1:22" ht="18" hidden="1" customHeight="1">
      <c r="A241" s="196"/>
      <c r="B241" s="47" t="s">
        <v>666</v>
      </c>
      <c r="C241" s="14"/>
      <c r="D241" s="14"/>
      <c r="E241" s="14"/>
      <c r="F241" s="18"/>
      <c r="G241" s="18"/>
      <c r="H241" s="14"/>
      <c r="I241" s="120"/>
      <c r="J241" s="14"/>
      <c r="K241" s="14"/>
      <c r="M241" s="14"/>
      <c r="N241" s="14"/>
      <c r="P241" s="14" t="s">
        <v>431</v>
      </c>
      <c r="R241" s="246" t="s">
        <v>138</v>
      </c>
      <c r="S241" s="639">
        <f>L196</f>
        <v>3</v>
      </c>
      <c r="T241" s="639"/>
      <c r="U241" s="204" t="s">
        <v>344</v>
      </c>
      <c r="V241" s="197"/>
    </row>
    <row r="242" spans="1:22" ht="18" hidden="1" customHeight="1">
      <c r="A242" s="196"/>
      <c r="B242" s="47" t="s">
        <v>687</v>
      </c>
      <c r="C242" s="14"/>
      <c r="D242" s="14"/>
      <c r="E242" s="14"/>
      <c r="F242" s="18"/>
      <c r="G242" s="18"/>
      <c r="H242" s="14"/>
      <c r="I242" s="120"/>
      <c r="J242" s="14"/>
      <c r="K242" s="14"/>
      <c r="M242" s="14"/>
      <c r="N242" s="14"/>
      <c r="P242" s="14" t="s">
        <v>700</v>
      </c>
      <c r="R242" s="246" t="s">
        <v>138</v>
      </c>
      <c r="S242" s="637">
        <f>S213</f>
        <v>1.5418674400000001</v>
      </c>
      <c r="T242" s="637"/>
      <c r="U242" s="204" t="s">
        <v>344</v>
      </c>
      <c r="V242" s="197"/>
    </row>
    <row r="243" spans="1:22" ht="18" hidden="1" customHeight="1">
      <c r="A243" s="196"/>
      <c r="B243" s="47" t="s">
        <v>702</v>
      </c>
      <c r="C243" s="14"/>
      <c r="D243" s="14"/>
      <c r="E243" s="14"/>
      <c r="F243" s="14"/>
      <c r="G243" s="14"/>
      <c r="H243" s="14"/>
      <c r="I243" s="120"/>
      <c r="J243" s="14"/>
      <c r="K243" s="14"/>
      <c r="M243" s="14"/>
      <c r="N243" s="14"/>
      <c r="P243" s="14" t="s">
        <v>422</v>
      </c>
      <c r="R243" s="246" t="s">
        <v>138</v>
      </c>
      <c r="S243" s="639">
        <f>O194</f>
        <v>1</v>
      </c>
      <c r="T243" s="639"/>
      <c r="U243" s="30" t="s">
        <v>9</v>
      </c>
      <c r="V243" s="197"/>
    </row>
    <row r="244" spans="1:22" ht="18" hidden="1" customHeight="1">
      <c r="A244" s="196"/>
      <c r="B244" s="47" t="s">
        <v>689</v>
      </c>
      <c r="C244" s="14"/>
      <c r="D244" s="14"/>
      <c r="E244" s="14"/>
      <c r="F244" s="14"/>
      <c r="G244" s="14"/>
      <c r="H244" s="14"/>
      <c r="I244" s="120"/>
      <c r="J244" s="14"/>
      <c r="K244" s="14"/>
      <c r="M244" s="14"/>
      <c r="N244" s="14"/>
      <c r="P244" s="120" t="s">
        <v>699</v>
      </c>
      <c r="R244" s="246" t="s">
        <v>138</v>
      </c>
      <c r="S244" s="639">
        <f>O227</f>
        <v>27992.740324345494</v>
      </c>
      <c r="T244" s="639"/>
      <c r="U244" s="30" t="s">
        <v>9</v>
      </c>
      <c r="V244" s="197"/>
    </row>
    <row r="245" spans="1:22" ht="18" hidden="1" customHeight="1">
      <c r="A245" s="196"/>
      <c r="B245" s="47" t="s">
        <v>703</v>
      </c>
      <c r="C245" s="14"/>
      <c r="D245" s="14"/>
      <c r="E245" s="14"/>
      <c r="F245" s="14"/>
      <c r="G245" s="14"/>
      <c r="H245" s="14"/>
      <c r="I245" s="120"/>
      <c r="J245" s="14"/>
      <c r="K245" s="14"/>
      <c r="M245" s="14"/>
      <c r="N245" s="14"/>
      <c r="P245" s="120" t="s">
        <v>691</v>
      </c>
      <c r="R245" s="246" t="s">
        <v>138</v>
      </c>
      <c r="S245" s="637">
        <f>J221</f>
        <v>1749.5462702715934</v>
      </c>
      <c r="T245" s="639"/>
      <c r="U245" s="30" t="s">
        <v>9</v>
      </c>
      <c r="V245" s="197"/>
    </row>
    <row r="246" spans="1:22" ht="18" hidden="1" customHeight="1">
      <c r="A246" s="196"/>
      <c r="B246" s="47" t="s">
        <v>670</v>
      </c>
      <c r="C246" s="14"/>
      <c r="D246" s="14"/>
      <c r="E246" s="14"/>
      <c r="F246" s="14"/>
      <c r="G246" s="14"/>
      <c r="H246" s="14"/>
      <c r="I246" s="120"/>
      <c r="J246" s="14"/>
      <c r="K246" s="14"/>
      <c r="M246" s="14"/>
      <c r="N246" s="14"/>
      <c r="P246" s="120" t="s">
        <v>671</v>
      </c>
      <c r="R246" s="246" t="s">
        <v>138</v>
      </c>
      <c r="S246" s="639">
        <f>S158</f>
        <v>1</v>
      </c>
      <c r="T246" s="639"/>
      <c r="U246" s="30" t="s">
        <v>9</v>
      </c>
      <c r="V246" s="197"/>
    </row>
    <row r="247" spans="1:22" ht="18" hidden="1" customHeight="1">
      <c r="A247" s="96"/>
      <c r="B247" s="14"/>
      <c r="C247" s="14"/>
      <c r="D247" s="247"/>
      <c r="E247" s="14"/>
      <c r="F247" s="28"/>
      <c r="G247" s="261"/>
      <c r="H247" s="28"/>
      <c r="I247" s="263"/>
      <c r="J247" s="14"/>
      <c r="K247" s="292"/>
      <c r="M247" s="47"/>
      <c r="N247" s="280"/>
      <c r="P247" s="293"/>
      <c r="R247" s="246"/>
      <c r="S247" s="1161"/>
      <c r="T247" s="985"/>
      <c r="V247" s="197"/>
    </row>
    <row r="248" spans="1:22" ht="18" hidden="1" customHeight="1">
      <c r="A248" s="284" t="s">
        <v>704</v>
      </c>
      <c r="B248" s="14"/>
      <c r="C248" s="14"/>
      <c r="D248" s="14"/>
      <c r="E248" s="14"/>
      <c r="F248" s="14"/>
      <c r="G248" s="14"/>
      <c r="H248" s="28">
        <v>3</v>
      </c>
      <c r="I248" s="47" t="s">
        <v>705</v>
      </c>
      <c r="J248" s="14"/>
      <c r="K248" s="14"/>
      <c r="M248" s="14" t="s">
        <v>348</v>
      </c>
      <c r="N248" s="14"/>
      <c r="P248" s="120"/>
      <c r="R248" s="246"/>
      <c r="S248" s="1162"/>
      <c r="T248" s="985"/>
      <c r="V248" s="197"/>
    </row>
    <row r="249" spans="1:22" ht="18" hidden="1" customHeight="1">
      <c r="A249" s="284"/>
      <c r="B249" s="14"/>
      <c r="C249" s="14"/>
      <c r="D249" s="14"/>
      <c r="E249" s="14"/>
      <c r="F249" s="14"/>
      <c r="G249" s="14"/>
      <c r="H249" s="28"/>
      <c r="I249" s="47"/>
      <c r="J249" s="14"/>
      <c r="K249" s="14"/>
      <c r="M249" s="14"/>
      <c r="N249" s="14"/>
      <c r="P249" s="120"/>
      <c r="R249" s="246"/>
      <c r="S249" s="294"/>
      <c r="V249" s="197"/>
    </row>
    <row r="250" spans="1:22" s="291" customFormat="1" ht="18" hidden="1" customHeight="1">
      <c r="A250" s="289"/>
      <c r="B250" s="638" t="s">
        <v>714</v>
      </c>
      <c r="C250" s="1124" t="s">
        <v>663</v>
      </c>
      <c r="G250" s="1008">
        <f>H248</f>
        <v>3</v>
      </c>
      <c r="H250" s="1157" t="s">
        <v>326</v>
      </c>
      <c r="I250" s="1026">
        <f>S244</f>
        <v>27992.740324345494</v>
      </c>
      <c r="J250" s="1159"/>
      <c r="K250" s="1159"/>
      <c r="L250" s="1159"/>
      <c r="M250" s="1159"/>
      <c r="N250" s="638" t="s">
        <v>683</v>
      </c>
      <c r="O250" s="661">
        <f>S241</f>
        <v>3</v>
      </c>
      <c r="P250" s="638" t="s">
        <v>358</v>
      </c>
      <c r="Q250" s="1026">
        <f>S242</f>
        <v>1.5418674400000001</v>
      </c>
      <c r="R250" s="661" t="s">
        <v>685</v>
      </c>
      <c r="S250" s="661">
        <f>S243</f>
        <v>1</v>
      </c>
      <c r="T250" s="14"/>
      <c r="U250" s="958" t="s">
        <v>664</v>
      </c>
      <c r="V250" s="197"/>
    </row>
    <row r="251" spans="1:22" s="291" customFormat="1" ht="18" hidden="1" customHeight="1">
      <c r="A251" s="289"/>
      <c r="B251" s="638"/>
      <c r="C251" s="638"/>
      <c r="G251" s="1008"/>
      <c r="H251" s="639"/>
      <c r="I251" s="638">
        <v>1.3</v>
      </c>
      <c r="J251" s="639"/>
      <c r="K251" s="28" t="s">
        <v>326</v>
      </c>
      <c r="L251" s="638" t="str">
        <f>S240</f>
        <v>-</v>
      </c>
      <c r="M251" s="639"/>
      <c r="N251" s="638"/>
      <c r="O251" s="638"/>
      <c r="P251" s="638"/>
      <c r="Q251" s="638"/>
      <c r="R251" s="638"/>
      <c r="S251" s="638"/>
      <c r="T251" s="14"/>
      <c r="U251" s="638"/>
      <c r="V251" s="197"/>
    </row>
    <row r="252" spans="1:22" ht="18" hidden="1" customHeight="1">
      <c r="A252" s="96"/>
      <c r="B252" s="14"/>
      <c r="C252" s="27" t="s">
        <v>138</v>
      </c>
      <c r="D252" s="798" t="e">
        <f>G250*(I250/(I251*L251)*(O250+Q250)*S250)</f>
        <v>#VALUE!</v>
      </c>
      <c r="E252" s="799"/>
      <c r="F252" s="30" t="s">
        <v>316</v>
      </c>
      <c r="G252" s="14"/>
      <c r="H252" s="14"/>
      <c r="I252" s="14"/>
      <c r="J252" s="14"/>
      <c r="K252" s="14"/>
      <c r="L252" s="14"/>
      <c r="M252" s="14"/>
      <c r="N252" s="14"/>
      <c r="R252" s="246"/>
      <c r="S252" s="216"/>
      <c r="V252" s="197"/>
    </row>
    <row r="253" spans="1:22" ht="18" hidden="1" customHeight="1">
      <c r="A253" s="96"/>
      <c r="B253" s="14"/>
      <c r="G253" s="14"/>
      <c r="H253" s="14"/>
      <c r="I253" s="14"/>
      <c r="J253" s="14"/>
      <c r="K253" s="14"/>
      <c r="L253" s="14"/>
      <c r="M253" s="14"/>
      <c r="N253" s="14"/>
      <c r="R253" s="246"/>
      <c r="S253" s="216"/>
      <c r="V253" s="197"/>
    </row>
    <row r="254" spans="1:22" ht="18" hidden="1" customHeight="1">
      <c r="A254" s="96"/>
      <c r="B254" s="14"/>
      <c r="D254" s="30" t="s">
        <v>486</v>
      </c>
      <c r="G254" s="27" t="e">
        <f>IF(E255&gt;H255,"&gt;","&lt;")</f>
        <v>#VALUE!</v>
      </c>
      <c r="H254" s="30" t="s">
        <v>488</v>
      </c>
      <c r="M254" s="14"/>
      <c r="N254" s="14"/>
      <c r="R254" s="246"/>
      <c r="S254" s="216"/>
      <c r="V254" s="197"/>
    </row>
    <row r="255" spans="1:22" ht="18" hidden="1" customHeight="1">
      <c r="A255" s="96"/>
      <c r="B255" s="14"/>
      <c r="E255" s="639">
        <f>L197</f>
        <v>200</v>
      </c>
      <c r="F255" s="639"/>
      <c r="G255" s="27" t="e">
        <f>G254</f>
        <v>#VALUE!</v>
      </c>
      <c r="H255" s="637" t="e">
        <f>D252</f>
        <v>#VALUE!</v>
      </c>
      <c r="I255" s="639"/>
      <c r="M255" s="14"/>
      <c r="N255" s="14"/>
      <c r="R255" s="246"/>
      <c r="S255" s="216"/>
      <c r="V255" s="197"/>
    </row>
    <row r="256" spans="1:22" ht="18" hidden="1" customHeight="1">
      <c r="A256" s="96"/>
      <c r="B256" s="14"/>
      <c r="F256" s="256" t="s">
        <v>489</v>
      </c>
      <c r="H256" s="18" t="e">
        <f>IF(G254="&gt;","Suitably Dimentioned","Under Dimentioned")</f>
        <v>#VALUE!</v>
      </c>
      <c r="M256" s="14"/>
      <c r="N256" s="14"/>
      <c r="R256" s="246"/>
      <c r="S256" s="216"/>
      <c r="V256" s="197"/>
    </row>
    <row r="257" spans="1:22" ht="18" hidden="1" customHeight="1">
      <c r="A257" s="96"/>
      <c r="B257" s="14"/>
      <c r="G257" s="14"/>
      <c r="H257" s="14"/>
      <c r="I257" s="14"/>
      <c r="J257" s="14"/>
      <c r="K257" s="14"/>
      <c r="L257" s="14"/>
      <c r="M257" s="14"/>
      <c r="N257" s="14"/>
      <c r="R257" s="246"/>
      <c r="S257" s="216"/>
      <c r="V257" s="197"/>
    </row>
    <row r="258" spans="1:22" ht="18" hidden="1" customHeight="1">
      <c r="A258" s="205" t="s">
        <v>706</v>
      </c>
      <c r="B258" s="14"/>
      <c r="G258" s="14"/>
      <c r="H258" s="14"/>
      <c r="I258" s="14"/>
      <c r="J258" s="14"/>
      <c r="K258" s="14"/>
      <c r="L258" s="14"/>
      <c r="M258" s="14"/>
      <c r="N258" s="14"/>
      <c r="R258" s="246"/>
      <c r="S258" s="216"/>
      <c r="V258" s="197"/>
    </row>
    <row r="259" spans="1:22" ht="18" hidden="1" customHeight="1">
      <c r="A259" s="96"/>
      <c r="B259" s="14"/>
      <c r="D259" s="1008" t="s">
        <v>707</v>
      </c>
      <c r="E259" s="920"/>
      <c r="F259" s="638" t="s">
        <v>138</v>
      </c>
      <c r="G259" s="661" t="s">
        <v>434</v>
      </c>
      <c r="H259" s="1099"/>
      <c r="I259" s="638" t="s">
        <v>326</v>
      </c>
      <c r="J259" s="661" t="s">
        <v>708</v>
      </c>
      <c r="K259" s="1099"/>
      <c r="L259" s="14"/>
      <c r="M259" s="14"/>
      <c r="N259" s="14"/>
      <c r="R259" s="246"/>
      <c r="S259" s="216"/>
      <c r="V259" s="197"/>
    </row>
    <row r="260" spans="1:22" ht="18" hidden="1" customHeight="1">
      <c r="A260" s="96"/>
      <c r="B260" s="14"/>
      <c r="D260" s="920"/>
      <c r="E260" s="920"/>
      <c r="F260" s="638"/>
      <c r="G260" s="638" t="s">
        <v>691</v>
      </c>
      <c r="H260" s="920"/>
      <c r="I260" s="638"/>
      <c r="J260" s="638" t="s">
        <v>422</v>
      </c>
      <c r="K260" s="920"/>
      <c r="L260" s="14"/>
      <c r="M260" s="14"/>
      <c r="N260" s="14"/>
      <c r="R260" s="246"/>
      <c r="S260" s="216"/>
      <c r="V260" s="197"/>
    </row>
    <row r="261" spans="1:22" ht="18" hidden="1" customHeight="1">
      <c r="A261" s="96"/>
      <c r="B261" s="14"/>
      <c r="D261" s="14"/>
      <c r="E261" s="14"/>
      <c r="F261" s="14"/>
      <c r="G261" s="14"/>
      <c r="H261" s="14"/>
      <c r="I261" s="14"/>
      <c r="J261" s="14"/>
      <c r="K261" s="14"/>
      <c r="L261" s="14"/>
      <c r="M261" s="14"/>
      <c r="N261" s="14"/>
      <c r="R261" s="246"/>
      <c r="S261" s="216"/>
      <c r="V261" s="197"/>
    </row>
    <row r="262" spans="1:22" ht="18" hidden="1" customHeight="1">
      <c r="A262" s="96"/>
      <c r="B262" s="14"/>
      <c r="D262" s="14"/>
      <c r="E262" s="14"/>
      <c r="F262" s="638" t="s">
        <v>138</v>
      </c>
      <c r="G262" s="661" t="str">
        <f>S240</f>
        <v>-</v>
      </c>
      <c r="H262" s="1099"/>
      <c r="I262" s="638" t="s">
        <v>326</v>
      </c>
      <c r="J262" s="661">
        <f>S246</f>
        <v>1</v>
      </c>
      <c r="K262" s="1099"/>
      <c r="L262" s="14"/>
      <c r="M262" s="14"/>
      <c r="N262" s="14"/>
      <c r="R262" s="246"/>
      <c r="S262" s="216"/>
      <c r="V262" s="197"/>
    </row>
    <row r="263" spans="1:22" ht="18" hidden="1" customHeight="1">
      <c r="A263" s="96"/>
      <c r="B263" s="14"/>
      <c r="D263" s="14"/>
      <c r="E263" s="14"/>
      <c r="F263" s="638"/>
      <c r="G263" s="641">
        <f>J221</f>
        <v>1749.5462702715934</v>
      </c>
      <c r="H263" s="920"/>
      <c r="I263" s="638"/>
      <c r="J263" s="638">
        <f>S243</f>
        <v>1</v>
      </c>
      <c r="K263" s="920"/>
      <c r="L263" s="14"/>
      <c r="M263" s="14"/>
      <c r="N263" s="14"/>
      <c r="R263" s="246"/>
      <c r="S263" s="216"/>
      <c r="V263" s="197"/>
    </row>
    <row r="264" spans="1:22" ht="18" hidden="1" customHeight="1">
      <c r="A264" s="96"/>
      <c r="B264" s="14"/>
      <c r="D264" s="14"/>
      <c r="E264" s="14"/>
      <c r="F264" s="14"/>
      <c r="G264" s="14"/>
      <c r="H264" s="14"/>
      <c r="I264" s="14"/>
      <c r="J264" s="14"/>
      <c r="K264" s="14"/>
      <c r="L264" s="14"/>
      <c r="M264" s="14"/>
      <c r="N264" s="14"/>
      <c r="R264" s="246"/>
      <c r="S264" s="216"/>
      <c r="V264" s="197"/>
    </row>
    <row r="265" spans="1:22" ht="18" hidden="1" customHeight="1">
      <c r="A265" s="96"/>
      <c r="B265" s="14"/>
      <c r="D265" s="14"/>
      <c r="E265" s="14"/>
      <c r="F265" s="28" t="s">
        <v>138</v>
      </c>
      <c r="G265" s="920" t="e">
        <f>(G262/G263)*(J262/J263)</f>
        <v>#VALUE!</v>
      </c>
      <c r="H265" s="920"/>
      <c r="I265" s="14"/>
      <c r="J265" s="14"/>
      <c r="K265" s="14"/>
      <c r="L265" s="14"/>
      <c r="M265" s="14"/>
      <c r="N265" s="14"/>
      <c r="R265" s="246"/>
      <c r="S265" s="216"/>
      <c r="V265" s="197"/>
    </row>
    <row r="266" spans="1:22" ht="18" hidden="1" customHeight="1">
      <c r="A266" s="96"/>
      <c r="B266" s="14"/>
      <c r="G266" s="14"/>
      <c r="H266" s="14"/>
      <c r="I266" s="14"/>
      <c r="J266" s="14"/>
      <c r="K266" s="14"/>
      <c r="L266" s="14"/>
      <c r="M266" s="14"/>
      <c r="N266" s="14"/>
      <c r="R266" s="246"/>
      <c r="S266" s="216"/>
      <c r="V266" s="197"/>
    </row>
    <row r="267" spans="1:22" ht="18" hidden="1" customHeight="1">
      <c r="A267" s="96"/>
      <c r="B267" s="14"/>
      <c r="D267" s="295" t="s">
        <v>709</v>
      </c>
      <c r="E267" s="296" t="s">
        <v>710</v>
      </c>
      <c r="F267" s="638" t="s">
        <v>707</v>
      </c>
      <c r="G267" s="920"/>
      <c r="H267" s="920"/>
      <c r="I267" s="296" t="s">
        <v>710</v>
      </c>
      <c r="J267" s="28">
        <v>4</v>
      </c>
      <c r="L267" s="291"/>
      <c r="M267" s="120" t="s">
        <v>711</v>
      </c>
      <c r="N267" s="47" t="s">
        <v>712</v>
      </c>
      <c r="O267" s="291"/>
      <c r="P267" s="248"/>
      <c r="Q267" s="248"/>
      <c r="R267" s="246"/>
      <c r="S267" s="216"/>
      <c r="V267" s="197"/>
    </row>
    <row r="268" spans="1:22" ht="18" hidden="1" customHeight="1">
      <c r="A268" s="96"/>
      <c r="B268" s="14"/>
      <c r="D268" s="230">
        <v>0.25</v>
      </c>
      <c r="E268" s="296" t="e">
        <f>IF(D268&lt;=G265,"≤","&gt;")</f>
        <v>#VALUE!</v>
      </c>
      <c r="F268" s="911" t="e">
        <f>G265</f>
        <v>#VALUE!</v>
      </c>
      <c r="G268" s="1163"/>
      <c r="H268" s="911"/>
      <c r="I268" s="296" t="e">
        <f>IF(G265&lt;=J267,"≤","&gt;")</f>
        <v>#VALUE!</v>
      </c>
      <c r="J268" s="28">
        <f>J267</f>
        <v>4</v>
      </c>
      <c r="L268" s="291"/>
      <c r="M268" s="120"/>
      <c r="N268" s="225"/>
      <c r="O268" s="291"/>
      <c r="P268" s="248"/>
      <c r="Q268" s="248"/>
      <c r="R268" s="246"/>
      <c r="S268" s="216"/>
      <c r="V268" s="197"/>
    </row>
    <row r="269" spans="1:22" ht="18" hidden="1" customHeight="1">
      <c r="A269" s="96"/>
      <c r="B269" s="14"/>
      <c r="G269" s="14"/>
      <c r="H269" s="14"/>
      <c r="I269" s="14"/>
      <c r="J269" s="14"/>
      <c r="K269" s="14"/>
      <c r="L269" s="14"/>
      <c r="M269" s="14"/>
      <c r="N269" s="14"/>
      <c r="R269" s="246"/>
      <c r="S269" s="216"/>
      <c r="V269" s="197"/>
    </row>
    <row r="270" spans="1:22" ht="18" hidden="1" customHeight="1">
      <c r="A270" s="96"/>
      <c r="B270" s="14" t="s">
        <v>713</v>
      </c>
      <c r="G270" s="14"/>
      <c r="H270" s="18" t="e">
        <f>IF(AND(E268="≤",I268="≤")=TRUE,"OK","Not OK")</f>
        <v>#VALUE!</v>
      </c>
      <c r="I270" s="14"/>
      <c r="J270" s="14"/>
      <c r="K270" s="14"/>
      <c r="L270" s="14"/>
      <c r="M270" s="14"/>
      <c r="N270" s="14"/>
      <c r="R270" s="246"/>
      <c r="S270" s="216"/>
      <c r="V270" s="197"/>
    </row>
    <row r="271" spans="1:22" ht="18" hidden="1" customHeight="1">
      <c r="A271" s="96"/>
      <c r="B271" s="14"/>
      <c r="G271" s="14"/>
      <c r="H271" s="18"/>
      <c r="I271" s="14"/>
      <c r="J271" s="14"/>
      <c r="K271" s="14"/>
      <c r="L271" s="14"/>
      <c r="M271" s="14"/>
      <c r="N271" s="14"/>
      <c r="R271" s="246"/>
      <c r="S271" s="216"/>
      <c r="V271" s="197"/>
    </row>
    <row r="272" spans="1:22" ht="18" hidden="1" customHeight="1">
      <c r="A272" s="96"/>
      <c r="B272" s="14"/>
      <c r="G272" s="14"/>
      <c r="H272" s="18"/>
      <c r="I272" s="14"/>
      <c r="J272" s="14"/>
      <c r="K272" s="14"/>
      <c r="L272" s="14"/>
      <c r="M272" s="14"/>
      <c r="N272" s="14"/>
      <c r="R272" s="246"/>
      <c r="S272" s="216"/>
      <c r="V272" s="197"/>
    </row>
    <row r="273" spans="1:22" ht="18" hidden="1" customHeight="1">
      <c r="A273" s="96"/>
      <c r="B273" s="14"/>
      <c r="G273" s="14"/>
      <c r="H273" s="18"/>
      <c r="I273" s="14"/>
      <c r="J273" s="14"/>
      <c r="K273" s="14"/>
      <c r="L273" s="14"/>
      <c r="M273" s="14"/>
      <c r="N273" s="14"/>
      <c r="R273" s="246"/>
      <c r="S273" s="216"/>
      <c r="V273" s="197"/>
    </row>
    <row r="274" spans="1:22" ht="18" hidden="1" customHeight="1">
      <c r="A274" s="96"/>
      <c r="B274" s="14"/>
      <c r="G274" s="14"/>
      <c r="H274" s="18"/>
      <c r="I274" s="14"/>
      <c r="J274" s="14"/>
      <c r="K274" s="14"/>
      <c r="L274" s="14"/>
      <c r="M274" s="14"/>
      <c r="N274" s="14"/>
      <c r="R274" s="246"/>
      <c r="S274" s="216"/>
      <c r="V274" s="197"/>
    </row>
    <row r="275" spans="1:22" ht="18" hidden="1" customHeight="1">
      <c r="A275" s="96"/>
      <c r="B275" s="14"/>
      <c r="G275" s="14"/>
      <c r="H275" s="18"/>
      <c r="I275" s="14"/>
      <c r="J275" s="14"/>
      <c r="K275" s="14"/>
      <c r="L275" s="14"/>
      <c r="M275" s="14"/>
      <c r="N275" s="14"/>
      <c r="R275" s="246"/>
      <c r="S275" s="216"/>
      <c r="V275" s="197"/>
    </row>
    <row r="276" spans="1:22" ht="18" hidden="1" customHeight="1">
      <c r="A276" s="96"/>
      <c r="B276" s="14"/>
      <c r="G276" s="14"/>
      <c r="H276" s="14"/>
      <c r="I276" s="14"/>
      <c r="J276" s="14"/>
      <c r="K276" s="14"/>
      <c r="L276" s="14"/>
      <c r="M276" s="14"/>
      <c r="N276" s="14"/>
      <c r="R276" s="246"/>
      <c r="S276" s="216"/>
      <c r="V276" s="197"/>
    </row>
    <row r="277" spans="1:22" s="14" customFormat="1" ht="18" hidden="1" customHeight="1">
      <c r="A277" s="206"/>
      <c r="B277" s="207"/>
      <c r="C277" s="207"/>
      <c r="D277" s="207"/>
      <c r="E277" s="207"/>
      <c r="F277" s="207"/>
      <c r="G277" s="207"/>
      <c r="H277" s="207"/>
      <c r="I277" s="207"/>
      <c r="J277" s="207"/>
      <c r="K277" s="207"/>
      <c r="L277" s="207"/>
      <c r="M277" s="207"/>
      <c r="N277" s="207"/>
      <c r="O277" s="207"/>
      <c r="P277" s="207"/>
      <c r="Q277" s="236"/>
      <c r="R277" s="194"/>
      <c r="S277" s="237"/>
      <c r="T277" s="207"/>
      <c r="U277" s="207"/>
      <c r="V277" s="140" t="s">
        <v>563</v>
      </c>
    </row>
    <row r="278" spans="1:22" s="14" customFormat="1" ht="18" customHeight="1">
      <c r="A278" s="96"/>
      <c r="Q278" s="120"/>
      <c r="R278" s="28"/>
      <c r="S278" s="216"/>
      <c r="T278" s="216"/>
      <c r="V278" s="394"/>
    </row>
    <row r="279" spans="1:22" s="14" customFormat="1" ht="18" customHeight="1">
      <c r="A279" s="96"/>
      <c r="Q279" s="120"/>
      <c r="R279" s="28"/>
      <c r="S279" s="216"/>
      <c r="T279" s="216"/>
      <c r="V279" s="394"/>
    </row>
    <row r="280" spans="1:22" ht="18" customHeight="1">
      <c r="A280" s="274" t="s">
        <v>543</v>
      </c>
      <c r="B280" s="14"/>
      <c r="C280" s="14"/>
      <c r="D280" s="120"/>
      <c r="E280" s="120"/>
      <c r="F280" s="18"/>
      <c r="G280" s="18"/>
      <c r="H280" s="14"/>
      <c r="I280" s="14"/>
      <c r="J280" s="14"/>
      <c r="K280" s="14"/>
      <c r="L280" s="14"/>
      <c r="M280" s="14"/>
      <c r="N280" s="14"/>
      <c r="O280" s="14"/>
      <c r="P280" s="28"/>
      <c r="Q280" s="120"/>
      <c r="R280" s="47"/>
      <c r="S280" s="218"/>
      <c r="T280" s="271"/>
      <c r="U280" s="14"/>
      <c r="V280" s="97"/>
    </row>
    <row r="281" spans="1:22" ht="18" customHeight="1">
      <c r="A281" s="782" t="s">
        <v>97</v>
      </c>
      <c r="B281" s="782"/>
      <c r="C281" s="612"/>
      <c r="D281" s="782" t="s">
        <v>98</v>
      </c>
      <c r="E281" s="782"/>
      <c r="F281" s="782"/>
      <c r="G281" s="782" t="s">
        <v>99</v>
      </c>
      <c r="H281" s="782"/>
      <c r="I281" s="782" t="s">
        <v>100</v>
      </c>
      <c r="J281" s="782"/>
      <c r="K281" s="782" t="s">
        <v>513</v>
      </c>
      <c r="L281" s="782"/>
      <c r="M281" s="782" t="s">
        <v>514</v>
      </c>
      <c r="N281" s="782"/>
      <c r="O281" s="782" t="s">
        <v>515</v>
      </c>
      <c r="P281" s="782"/>
      <c r="Q281" s="782" t="s">
        <v>516</v>
      </c>
      <c r="R281" s="782"/>
      <c r="S281" s="782" t="s">
        <v>105</v>
      </c>
      <c r="T281" s="782"/>
      <c r="U281" s="782"/>
      <c r="V281" s="782"/>
    </row>
    <row r="282" spans="1:22" ht="18" customHeight="1">
      <c r="A282" s="782"/>
      <c r="B282" s="782"/>
      <c r="C282" s="612"/>
      <c r="D282" s="782"/>
      <c r="E282" s="782"/>
      <c r="F282" s="782"/>
      <c r="G282" s="782"/>
      <c r="H282" s="782"/>
      <c r="I282" s="782"/>
      <c r="J282" s="782"/>
      <c r="K282" s="782"/>
      <c r="L282" s="782"/>
      <c r="M282" s="782"/>
      <c r="N282" s="782"/>
      <c r="O282" s="782"/>
      <c r="P282" s="782"/>
      <c r="Q282" s="782"/>
      <c r="R282" s="782"/>
      <c r="S282" s="782"/>
      <c r="T282" s="782"/>
      <c r="U282" s="782"/>
      <c r="V282" s="782"/>
    </row>
    <row r="283" spans="1:22" ht="18" customHeight="1">
      <c r="A283" s="782"/>
      <c r="B283" s="782"/>
      <c r="C283" s="612"/>
      <c r="D283" s="782"/>
      <c r="E283" s="782"/>
      <c r="F283" s="782"/>
      <c r="G283" s="782"/>
      <c r="H283" s="782"/>
      <c r="I283" s="782"/>
      <c r="J283" s="782"/>
      <c r="K283" s="782"/>
      <c r="L283" s="782"/>
      <c r="M283" s="782"/>
      <c r="N283" s="782"/>
      <c r="O283" s="782"/>
      <c r="P283" s="782"/>
      <c r="Q283" s="782"/>
      <c r="R283" s="782"/>
      <c r="S283" s="782"/>
      <c r="T283" s="782"/>
      <c r="U283" s="782"/>
      <c r="V283" s="782"/>
    </row>
    <row r="284" spans="1:22" ht="18" customHeight="1">
      <c r="A284" s="782"/>
      <c r="B284" s="782"/>
      <c r="C284" s="612"/>
      <c r="D284" s="782"/>
      <c r="E284" s="782"/>
      <c r="F284" s="782"/>
      <c r="G284" s="782"/>
      <c r="H284" s="782"/>
      <c r="I284" s="782"/>
      <c r="J284" s="782"/>
      <c r="K284" s="782"/>
      <c r="L284" s="782"/>
      <c r="M284" s="782"/>
      <c r="N284" s="782"/>
      <c r="O284" s="782"/>
      <c r="P284" s="782"/>
      <c r="Q284" s="782"/>
      <c r="R284" s="782"/>
      <c r="S284" s="782"/>
      <c r="T284" s="782"/>
      <c r="U284" s="782"/>
      <c r="V284" s="782"/>
    </row>
    <row r="285" spans="1:22" ht="18" customHeight="1">
      <c r="A285" s="623" t="str">
        <f>B7</f>
        <v>T1</v>
      </c>
      <c r="B285" s="623" t="str">
        <f>D7</f>
        <v>Core2</v>
      </c>
      <c r="C285" s="623"/>
      <c r="D285" s="613">
        <f>H10</f>
        <v>2500</v>
      </c>
      <c r="E285" s="613"/>
      <c r="F285" s="624">
        <f>O10</f>
        <v>1</v>
      </c>
      <c r="G285" s="613">
        <f>'CT-VT Burdens'!S19</f>
        <v>80</v>
      </c>
      <c r="H285" s="783">
        <f>'CT-VT Burdens'!S10</f>
        <v>2.5</v>
      </c>
      <c r="I285" s="783">
        <f>H38</f>
        <v>0</v>
      </c>
      <c r="J285" s="783"/>
      <c r="K285" s="612">
        <f>H12</f>
        <v>10</v>
      </c>
      <c r="L285" s="612"/>
      <c r="M285" s="612">
        <f>H13</f>
        <v>400</v>
      </c>
      <c r="N285" s="612"/>
      <c r="O285" s="613">
        <f>H14</f>
        <v>50</v>
      </c>
      <c r="P285" s="613"/>
      <c r="Q285" s="629" t="str">
        <f>CONCATENATE(T7)</f>
        <v>7UT85</v>
      </c>
      <c r="R285" s="629"/>
      <c r="S285" s="786" t="str">
        <f>H100</f>
        <v>Suitably Dimensioned</v>
      </c>
      <c r="T285" s="613"/>
      <c r="U285" s="613"/>
      <c r="V285" s="613"/>
    </row>
    <row r="286" spans="1:22" ht="18" customHeight="1">
      <c r="A286" s="623"/>
      <c r="B286" s="623"/>
      <c r="C286" s="623"/>
      <c r="D286" s="786" t="s">
        <v>7</v>
      </c>
      <c r="E286" s="613"/>
      <c r="F286" s="625"/>
      <c r="G286" s="613"/>
      <c r="H286" s="613"/>
      <c r="I286" s="783"/>
      <c r="J286" s="783"/>
      <c r="K286" s="785" t="s">
        <v>7</v>
      </c>
      <c r="L286" s="612"/>
      <c r="M286" s="785" t="s">
        <v>7</v>
      </c>
      <c r="N286" s="612"/>
      <c r="O286" s="786" t="s">
        <v>7</v>
      </c>
      <c r="P286" s="613"/>
      <c r="Q286" s="629"/>
      <c r="R286" s="629"/>
      <c r="S286" s="786" t="s">
        <v>7</v>
      </c>
      <c r="T286" s="613"/>
      <c r="U286" s="613"/>
      <c r="V286" s="613"/>
    </row>
    <row r="287" spans="1:22" ht="18" customHeight="1">
      <c r="A287" s="623"/>
      <c r="B287" s="623"/>
      <c r="C287" s="623"/>
      <c r="D287" s="786" t="s">
        <v>7</v>
      </c>
      <c r="E287" s="613"/>
      <c r="F287" s="626"/>
      <c r="G287" s="613"/>
      <c r="H287" s="613"/>
      <c r="I287" s="783"/>
      <c r="J287" s="783"/>
      <c r="K287" s="785" t="s">
        <v>7</v>
      </c>
      <c r="L287" s="612"/>
      <c r="M287" s="785" t="s">
        <v>7</v>
      </c>
      <c r="N287" s="612"/>
      <c r="O287" s="786" t="s">
        <v>7</v>
      </c>
      <c r="P287" s="613"/>
      <c r="Q287" s="629"/>
      <c r="R287" s="629"/>
      <c r="S287" s="613" t="s">
        <v>7</v>
      </c>
      <c r="T287" s="613"/>
      <c r="U287" s="613"/>
      <c r="V287" s="613"/>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302"/>
      <c r="B314" s="208"/>
      <c r="C314" s="208"/>
      <c r="D314" s="208"/>
      <c r="E314" s="208"/>
      <c r="F314" s="208"/>
      <c r="G314" s="208"/>
      <c r="H314" s="208"/>
      <c r="I314" s="208"/>
      <c r="J314" s="208"/>
      <c r="K314" s="208"/>
      <c r="L314" s="208"/>
      <c r="M314" s="208"/>
      <c r="N314" s="208"/>
      <c r="O314" s="208"/>
      <c r="P314" s="208"/>
      <c r="Q314" s="208"/>
      <c r="R314" s="208"/>
      <c r="S314" s="208"/>
      <c r="T314" s="208"/>
      <c r="U314" s="208"/>
      <c r="V314" s="303"/>
    </row>
    <row r="315" spans="1:22" s="14" customFormat="1" ht="18" hidden="1" customHeight="1">
      <c r="A315" s="206"/>
      <c r="B315" s="207"/>
      <c r="C315" s="207"/>
      <c r="D315" s="207"/>
      <c r="E315" s="207"/>
      <c r="F315" s="207"/>
      <c r="G315" s="207"/>
      <c r="H315" s="207"/>
      <c r="I315" s="207"/>
      <c r="J315" s="207"/>
      <c r="K315" s="207"/>
      <c r="L315" s="207"/>
      <c r="M315" s="207"/>
      <c r="N315" s="207"/>
      <c r="O315" s="207"/>
      <c r="P315" s="207"/>
      <c r="Q315" s="236"/>
      <c r="R315" s="194"/>
      <c r="S315" s="237"/>
      <c r="T315" s="207"/>
      <c r="U315" s="207"/>
      <c r="V315" s="140"/>
    </row>
    <row r="316" spans="1:22" ht="18" hidden="1" customHeight="1">
      <c r="A316" s="1105" t="str">
        <f>A1</f>
        <v/>
      </c>
      <c r="B316" s="1106"/>
      <c r="C316" s="1106"/>
      <c r="D316" s="1106"/>
      <c r="E316" s="1106"/>
      <c r="F316" s="1106"/>
      <c r="G316" s="1107"/>
      <c r="H316" s="726" t="str">
        <f>H1</f>
        <v>CT / VT</v>
      </c>
      <c r="I316" s="727"/>
      <c r="J316" s="727"/>
      <c r="K316" s="727"/>
      <c r="L316" s="727"/>
      <c r="M316" s="727"/>
      <c r="N316" s="728"/>
      <c r="O316" s="702" t="str">
        <f>O1</f>
        <v>Contract No.</v>
      </c>
      <c r="P316" s="703"/>
      <c r="Q316" s="704"/>
      <c r="R316" s="1133" t="str">
        <f>R1</f>
        <v>N-16682</v>
      </c>
      <c r="S316" s="1134"/>
      <c r="T316" s="1134"/>
      <c r="U316" s="1134"/>
      <c r="V316" s="1135"/>
    </row>
    <row r="317" spans="1:22" ht="18" hidden="1" customHeight="1">
      <c r="A317" s="1108"/>
      <c r="B317" s="1109"/>
      <c r="C317" s="1109"/>
      <c r="D317" s="1109"/>
      <c r="E317" s="1109"/>
      <c r="F317" s="1109"/>
      <c r="G317" s="1110"/>
      <c r="H317" s="729" t="str">
        <f>H2</f>
        <v>CALCULATION</v>
      </c>
      <c r="I317" s="730"/>
      <c r="J317" s="730"/>
      <c r="K317" s="730"/>
      <c r="L317" s="730"/>
      <c r="M317" s="730"/>
      <c r="N317" s="731"/>
      <c r="O317" s="702" t="str">
        <f>O2</f>
        <v>Date</v>
      </c>
      <c r="P317" s="703"/>
      <c r="Q317" s="704"/>
      <c r="R317" s="1133">
        <f>R2</f>
        <v>45276</v>
      </c>
      <c r="S317" s="1134"/>
      <c r="T317" s="1134"/>
      <c r="U317" s="1134"/>
      <c r="V317" s="1135"/>
    </row>
    <row r="318" spans="1:22" ht="18" hidden="1" customHeight="1">
      <c r="A318" s="614" t="str">
        <f>A3</f>
        <v>HITACHI ENERGY - GRID AUTOMATION</v>
      </c>
      <c r="B318" s="620"/>
      <c r="C318" s="620"/>
      <c r="D318" s="620"/>
      <c r="E318" s="620"/>
      <c r="F318" s="620"/>
      <c r="G318" s="615"/>
      <c r="H318" s="1139" t="str">
        <f>H3</f>
        <v>LT14 - LEWIS
400/132kV SUBSTATION</v>
      </c>
      <c r="I318" s="1140"/>
      <c r="J318" s="1140"/>
      <c r="K318" s="1140"/>
      <c r="L318" s="1140"/>
      <c r="M318" s="1140"/>
      <c r="N318" s="1141"/>
      <c r="O318" s="702" t="str">
        <f>O3</f>
        <v>Document No.</v>
      </c>
      <c r="P318" s="703"/>
      <c r="Q318" s="704"/>
      <c r="R318" s="1133" t="str">
        <f>R3</f>
        <v>N16682-CB-0070-J-7901</v>
      </c>
      <c r="S318" s="1134"/>
      <c r="T318" s="1134"/>
      <c r="U318" s="1134"/>
      <c r="V318" s="1135"/>
    </row>
    <row r="319" spans="1:22" ht="18" hidden="1" customHeight="1">
      <c r="A319" s="618"/>
      <c r="B319" s="622"/>
      <c r="C319" s="622"/>
      <c r="D319" s="622"/>
      <c r="E319" s="622"/>
      <c r="F319" s="622"/>
      <c r="G319" s="619"/>
      <c r="H319" s="1142"/>
      <c r="I319" s="1143"/>
      <c r="J319" s="1143"/>
      <c r="K319" s="1143"/>
      <c r="L319" s="1143"/>
      <c r="M319" s="1143"/>
      <c r="N319" s="1144"/>
      <c r="O319" s="702" t="str">
        <f>O4</f>
        <v>Revision No.</v>
      </c>
      <c r="P319" s="703"/>
      <c r="Q319" s="704"/>
      <c r="R319" s="1133" t="str">
        <f>R4</f>
        <v>A</v>
      </c>
      <c r="S319" s="1134"/>
      <c r="T319" s="1134"/>
      <c r="U319" s="1134"/>
      <c r="V319" s="1135"/>
    </row>
    <row r="320" spans="1:22" ht="18" hidden="1" customHeight="1">
      <c r="A320" s="708" t="str">
        <f>A5</f>
        <v>Prep. By</v>
      </c>
      <c r="B320" s="709"/>
      <c r="C320" s="304" t="str">
        <f>C5</f>
        <v>PK</v>
      </c>
      <c r="D320" s="708" t="str">
        <f>D5</f>
        <v>Checked By</v>
      </c>
      <c r="E320" s="710"/>
      <c r="F320" s="709"/>
      <c r="G320" s="304" t="str">
        <f>G5</f>
        <v>RN</v>
      </c>
      <c r="H320" s="1100" t="str">
        <f>H5</f>
        <v xml:space="preserve">33kV Incomer Transformer Feeder </v>
      </c>
      <c r="I320" s="1101"/>
      <c r="J320" s="1101"/>
      <c r="K320" s="1101"/>
      <c r="L320" s="1101"/>
      <c r="M320" s="1101"/>
      <c r="N320" s="1102"/>
      <c r="O320" s="714" t="str">
        <f>O5</f>
        <v>Contractor</v>
      </c>
      <c r="P320" s="715"/>
      <c r="Q320" s="716"/>
      <c r="R320" s="1133" t="str">
        <f>R5</f>
        <v>HITACHI ENERGY</v>
      </c>
      <c r="S320" s="1134"/>
      <c r="T320" s="1134"/>
      <c r="U320" s="1134"/>
      <c r="V320" s="1135"/>
    </row>
    <row r="321" spans="1:29" ht="18" hidden="1" customHeight="1">
      <c r="A321" s="238"/>
      <c r="B321" s="239"/>
      <c r="C321" s="239"/>
      <c r="D321" s="239"/>
      <c r="E321" s="239"/>
      <c r="F321" s="239"/>
      <c r="G321" s="239"/>
      <c r="H321" s="239"/>
      <c r="I321" s="239"/>
      <c r="J321" s="239"/>
      <c r="K321" s="239"/>
      <c r="L321" s="239"/>
      <c r="M321" s="239"/>
      <c r="N321" s="239"/>
      <c r="O321" s="239"/>
      <c r="P321" s="239"/>
      <c r="Q321" s="239"/>
      <c r="R321" s="239"/>
      <c r="S321" s="239"/>
      <c r="T321" s="239"/>
      <c r="U321" s="239"/>
      <c r="V321" s="240"/>
    </row>
    <row r="322" spans="1:29" ht="18" hidden="1" customHeight="1">
      <c r="A322" s="196"/>
      <c r="B322" s="656" t="s">
        <v>674</v>
      </c>
      <c r="C322" s="657"/>
      <c r="D322" s="696" t="s">
        <v>121</v>
      </c>
      <c r="E322" s="1136"/>
      <c r="F322" s="198" t="s">
        <v>647</v>
      </c>
      <c r="H322" s="639" t="str">
        <f>H191</f>
        <v>(Transformer Differential)</v>
      </c>
      <c r="I322" s="639"/>
      <c r="J322" s="639"/>
      <c r="K322" s="639"/>
      <c r="L322" s="639"/>
      <c r="M322" s="639"/>
      <c r="P322" s="198"/>
      <c r="S322" s="199" t="s">
        <v>398</v>
      </c>
      <c r="T322" s="1131" t="str">
        <f>T191</f>
        <v>7UT85</v>
      </c>
      <c r="U322" s="1132"/>
      <c r="V322" s="197"/>
    </row>
    <row r="323" spans="1:29" ht="18" hidden="1" customHeight="1">
      <c r="A323" s="196"/>
      <c r="B323" s="894" t="s">
        <v>675</v>
      </c>
      <c r="C323" s="894"/>
      <c r="D323" s="1137"/>
      <c r="E323" s="1138"/>
      <c r="F323" s="267"/>
      <c r="T323" s="1131"/>
      <c r="U323" s="1132"/>
      <c r="V323" s="197"/>
    </row>
    <row r="324" spans="1:29" ht="18" hidden="1" customHeight="1">
      <c r="A324" s="196"/>
      <c r="H324" s="662" t="s">
        <v>401</v>
      </c>
      <c r="I324" s="662"/>
      <c r="J324" s="661" t="s">
        <v>402</v>
      </c>
      <c r="K324" s="661"/>
      <c r="L324" s="661" t="s">
        <v>403</v>
      </c>
      <c r="M324" s="661"/>
      <c r="T324" s="1131"/>
      <c r="U324" s="1132"/>
      <c r="V324" s="197"/>
    </row>
    <row r="325" spans="1:29" ht="18" hidden="1" customHeight="1">
      <c r="A325" s="196"/>
      <c r="B325" s="47" t="s">
        <v>404</v>
      </c>
      <c r="H325" s="692">
        <v>5000</v>
      </c>
      <c r="I325" s="693"/>
      <c r="J325" s="656">
        <v>4000</v>
      </c>
      <c r="K325" s="657"/>
      <c r="L325" s="656">
        <v>3000</v>
      </c>
      <c r="M325" s="657"/>
      <c r="N325" s="203" t="s">
        <v>353</v>
      </c>
      <c r="O325" s="125">
        <v>1</v>
      </c>
      <c r="P325" s="27" t="s">
        <v>9</v>
      </c>
      <c r="V325" s="197"/>
    </row>
    <row r="326" spans="1:29" ht="18" hidden="1" customHeight="1">
      <c r="A326" s="196"/>
      <c r="B326" s="47" t="s">
        <v>405</v>
      </c>
      <c r="H326" s="656" t="s">
        <v>406</v>
      </c>
      <c r="I326" s="689"/>
      <c r="V326" s="197"/>
    </row>
    <row r="327" spans="1:29" ht="18" hidden="1" customHeight="1">
      <c r="A327" s="196"/>
      <c r="B327" s="47" t="s">
        <v>407</v>
      </c>
      <c r="G327" s="120" t="s">
        <v>508</v>
      </c>
      <c r="H327" s="656">
        <v>20</v>
      </c>
      <c r="I327" s="657"/>
      <c r="J327" s="204" t="s">
        <v>344</v>
      </c>
      <c r="V327" s="197"/>
    </row>
    <row r="328" spans="1:29" ht="18" hidden="1" customHeight="1">
      <c r="A328" s="196"/>
      <c r="B328" s="47" t="s">
        <v>409</v>
      </c>
      <c r="G328" s="120" t="s">
        <v>509</v>
      </c>
      <c r="H328" s="656">
        <v>1000</v>
      </c>
      <c r="I328" s="657"/>
      <c r="J328" s="14" t="s">
        <v>316</v>
      </c>
      <c r="V328" s="197"/>
      <c r="W328" s="30" t="s">
        <v>411</v>
      </c>
      <c r="AB328" s="996">
        <f>D378</f>
        <v>69.578757848006916</v>
      </c>
      <c r="AC328" s="997"/>
    </row>
    <row r="329" spans="1:29" ht="18" hidden="1" customHeight="1">
      <c r="A329" s="196"/>
      <c r="B329" s="14" t="s">
        <v>412</v>
      </c>
      <c r="G329" s="120" t="s">
        <v>413</v>
      </c>
      <c r="H329" s="656">
        <v>20</v>
      </c>
      <c r="I329" s="657"/>
      <c r="J329" s="30" t="s">
        <v>414</v>
      </c>
      <c r="V329" s="197"/>
    </row>
    <row r="330" spans="1:29" ht="18" hidden="1" customHeight="1">
      <c r="A330" s="96"/>
      <c r="V330" s="197"/>
    </row>
    <row r="331" spans="1:29" ht="18" hidden="1" customHeight="1">
      <c r="A331" s="205" t="s">
        <v>415</v>
      </c>
      <c r="V331" s="197"/>
    </row>
    <row r="332" spans="1:29" ht="18" hidden="1" customHeight="1">
      <c r="A332" s="196"/>
      <c r="V332" s="197"/>
    </row>
    <row r="333" spans="1:29" ht="18" hidden="1" customHeight="1">
      <c r="A333" s="196"/>
      <c r="B333" s="206" t="s">
        <v>416</v>
      </c>
      <c r="C333" s="207"/>
      <c r="D333" s="207" t="str">
        <f>T322</f>
        <v>7UT85</v>
      </c>
      <c r="E333" s="208"/>
      <c r="F333" s="208"/>
      <c r="G333" s="208"/>
      <c r="H333" s="194" t="s">
        <v>417</v>
      </c>
      <c r="I333" s="195" t="s">
        <v>138</v>
      </c>
      <c r="J333" s="1129">
        <f>J202</f>
        <v>0.1</v>
      </c>
      <c r="K333" s="1130"/>
      <c r="L333" s="3" t="s">
        <v>168</v>
      </c>
      <c r="V333" s="197"/>
    </row>
    <row r="334" spans="1:29" ht="18" hidden="1" customHeight="1">
      <c r="A334" s="196"/>
      <c r="B334" s="196" t="s">
        <v>416</v>
      </c>
      <c r="D334" s="30">
        <f>T323</f>
        <v>0</v>
      </c>
      <c r="H334" s="27"/>
      <c r="I334" s="189" t="s">
        <v>138</v>
      </c>
      <c r="J334" s="999"/>
      <c r="K334" s="1122"/>
      <c r="L334" s="210" t="s">
        <v>168</v>
      </c>
      <c r="V334" s="197"/>
    </row>
    <row r="335" spans="1:29" ht="18" hidden="1" customHeight="1">
      <c r="A335" s="196"/>
      <c r="B335" s="196" t="s">
        <v>416</v>
      </c>
      <c r="D335" s="30">
        <f>T324</f>
        <v>0</v>
      </c>
      <c r="E335" s="14"/>
      <c r="G335" s="211"/>
      <c r="H335" s="27"/>
      <c r="I335" s="189" t="s">
        <v>138</v>
      </c>
      <c r="J335" s="1127"/>
      <c r="K335" s="1128"/>
      <c r="L335" s="214" t="s">
        <v>168</v>
      </c>
      <c r="V335" s="197"/>
    </row>
    <row r="336" spans="1:29" ht="18" hidden="1" customHeight="1">
      <c r="A336" s="196"/>
      <c r="B336" s="196" t="s">
        <v>423</v>
      </c>
      <c r="H336" s="27" t="s">
        <v>610</v>
      </c>
      <c r="I336" s="189" t="s">
        <v>138</v>
      </c>
      <c r="J336" s="1042">
        <f>J205</f>
        <v>1.44186744</v>
      </c>
      <c r="K336" s="643"/>
      <c r="L336" s="215" t="s">
        <v>168</v>
      </c>
      <c r="V336" s="197"/>
    </row>
    <row r="337" spans="1:22" ht="18" hidden="1" customHeight="1">
      <c r="A337" s="196"/>
      <c r="B337" s="217" t="s">
        <v>424</v>
      </c>
      <c r="C337" s="218"/>
      <c r="D337" s="218"/>
      <c r="E337" s="218"/>
      <c r="F337" s="219"/>
      <c r="G337" s="219"/>
      <c r="H337" s="202" t="s">
        <v>420</v>
      </c>
      <c r="I337" s="220" t="s">
        <v>138</v>
      </c>
      <c r="J337" s="897">
        <f>J334+J336</f>
        <v>1.44186744</v>
      </c>
      <c r="K337" s="649"/>
      <c r="L337" s="222" t="s">
        <v>168</v>
      </c>
      <c r="V337" s="197"/>
    </row>
    <row r="338" spans="1:22" ht="18" hidden="1" customHeight="1">
      <c r="A338" s="196"/>
      <c r="B338" s="47"/>
      <c r="C338" s="47"/>
      <c r="D338" s="47"/>
      <c r="E338" s="47"/>
      <c r="H338" s="27"/>
      <c r="I338" s="28"/>
      <c r="J338" s="211"/>
      <c r="L338" s="47"/>
      <c r="O338" s="27"/>
      <c r="P338" s="223"/>
      <c r="Q338" s="223"/>
      <c r="R338" s="204"/>
      <c r="V338" s="197"/>
    </row>
    <row r="339" spans="1:22" ht="18" hidden="1" customHeight="1">
      <c r="A339" s="196"/>
      <c r="B339" s="209" t="s">
        <v>659</v>
      </c>
      <c r="L339" s="47"/>
      <c r="M339" s="209" t="s">
        <v>418</v>
      </c>
      <c r="V339" s="197"/>
    </row>
    <row r="340" spans="1:22" s="14" customFormat="1" ht="18" hidden="1" customHeight="1">
      <c r="A340" s="196"/>
      <c r="B340" s="27" t="s">
        <v>660</v>
      </c>
      <c r="C340" s="27" t="s">
        <v>138</v>
      </c>
      <c r="D340" s="30" t="s">
        <v>417</v>
      </c>
      <c r="E340" s="283" t="s">
        <v>421</v>
      </c>
      <c r="F340" s="27" t="s">
        <v>157</v>
      </c>
      <c r="G340" s="28" t="s">
        <v>326</v>
      </c>
      <c r="H340" s="230" t="s">
        <v>157</v>
      </c>
      <c r="I340" s="30" t="s">
        <v>361</v>
      </c>
      <c r="J340" s="211"/>
      <c r="K340" s="30"/>
      <c r="L340" s="47"/>
      <c r="M340" s="30" t="s">
        <v>419</v>
      </c>
      <c r="N340" s="27" t="s">
        <v>138</v>
      </c>
      <c r="O340" s="30" t="s">
        <v>420</v>
      </c>
      <c r="P340" s="203" t="s">
        <v>421</v>
      </c>
      <c r="Q340" s="256" t="s">
        <v>422</v>
      </c>
      <c r="R340" s="27" t="s">
        <v>326</v>
      </c>
      <c r="S340" s="30" t="s">
        <v>422</v>
      </c>
      <c r="T340" s="30" t="s">
        <v>361</v>
      </c>
      <c r="U340" s="30"/>
      <c r="V340" s="197"/>
    </row>
    <row r="341" spans="1:22" s="14" customFormat="1" ht="18" hidden="1" customHeight="1">
      <c r="A341" s="196"/>
      <c r="B341" s="47"/>
      <c r="C341" s="27" t="s">
        <v>138</v>
      </c>
      <c r="D341" s="216">
        <f>J333</f>
        <v>0.1</v>
      </c>
      <c r="E341" s="203" t="s">
        <v>421</v>
      </c>
      <c r="F341" s="27">
        <f>F122</f>
        <v>1</v>
      </c>
      <c r="G341" s="27" t="s">
        <v>326</v>
      </c>
      <c r="H341" s="27">
        <f>H122</f>
        <v>1</v>
      </c>
      <c r="I341" s="30" t="s">
        <v>361</v>
      </c>
      <c r="J341" s="211"/>
      <c r="K341" s="30"/>
      <c r="L341" s="47"/>
      <c r="M341" s="30"/>
      <c r="N341" s="27" t="s">
        <v>138</v>
      </c>
      <c r="O341" s="216">
        <f>J337</f>
        <v>1.44186744</v>
      </c>
      <c r="P341" s="203" t="s">
        <v>421</v>
      </c>
      <c r="Q341" s="27">
        <f>O325</f>
        <v>1</v>
      </c>
      <c r="R341" s="27" t="s">
        <v>326</v>
      </c>
      <c r="S341" s="27">
        <f>O325</f>
        <v>1</v>
      </c>
      <c r="T341" s="30" t="s">
        <v>361</v>
      </c>
      <c r="U341" s="30"/>
      <c r="V341" s="197"/>
    </row>
    <row r="342" spans="1:22" s="14" customFormat="1" ht="18" hidden="1" customHeight="1">
      <c r="A342" s="196"/>
      <c r="B342" s="47"/>
      <c r="C342" s="27" t="s">
        <v>138</v>
      </c>
      <c r="D342" s="637">
        <f>D341/(F341*H341)</f>
        <v>0.1</v>
      </c>
      <c r="E342" s="637"/>
      <c r="F342" s="204" t="s">
        <v>344</v>
      </c>
      <c r="G342" s="30"/>
      <c r="H342" s="30"/>
      <c r="I342" s="30"/>
      <c r="J342" s="211"/>
      <c r="K342" s="30"/>
      <c r="L342" s="47"/>
      <c r="M342" s="30"/>
      <c r="N342" s="27" t="s">
        <v>138</v>
      </c>
      <c r="O342" s="637">
        <f>O341/(Q341*S341)</f>
        <v>1.44186744</v>
      </c>
      <c r="P342" s="637"/>
      <c r="Q342" s="204" t="s">
        <v>344</v>
      </c>
      <c r="R342" s="30"/>
      <c r="S342" s="30"/>
      <c r="T342" s="30"/>
      <c r="U342" s="30"/>
      <c r="V342" s="197"/>
    </row>
    <row r="343" spans="1:22" s="14" customFormat="1" ht="18" hidden="1" customHeight="1">
      <c r="A343" s="196"/>
      <c r="B343" s="47"/>
      <c r="C343" s="47"/>
      <c r="D343" s="47"/>
      <c r="E343" s="47"/>
      <c r="F343" s="30"/>
      <c r="G343" s="30"/>
      <c r="H343" s="27"/>
      <c r="I343" s="28"/>
      <c r="J343" s="211"/>
      <c r="K343" s="30"/>
      <c r="L343" s="47"/>
      <c r="M343" s="30"/>
      <c r="N343" s="30"/>
      <c r="O343" s="27"/>
      <c r="P343" s="223"/>
      <c r="Q343" s="223"/>
      <c r="R343" s="204"/>
      <c r="S343" s="30"/>
      <c r="T343" s="30"/>
      <c r="U343" s="30"/>
      <c r="V343" s="197"/>
    </row>
    <row r="344" spans="1:22" s="14" customFormat="1" ht="18" hidden="1" customHeight="1">
      <c r="A344" s="196"/>
      <c r="B344" s="47" t="s">
        <v>679</v>
      </c>
      <c r="C344" s="47"/>
      <c r="D344" s="47"/>
      <c r="E344" s="47"/>
      <c r="F344" s="30"/>
      <c r="G344" s="30"/>
      <c r="H344" s="27"/>
      <c r="I344" s="28"/>
      <c r="J344" s="211"/>
      <c r="K344" s="30"/>
      <c r="L344" s="47" t="s">
        <v>138</v>
      </c>
      <c r="M344" s="216">
        <f>D342</f>
        <v>0.1</v>
      </c>
      <c r="N344" s="27" t="s">
        <v>358</v>
      </c>
      <c r="O344" s="223">
        <f>O342</f>
        <v>1.44186744</v>
      </c>
      <c r="P344" s="223" t="s">
        <v>138</v>
      </c>
      <c r="Q344" s="223">
        <f>M344+O344</f>
        <v>1.5418674400000001</v>
      </c>
      <c r="R344" s="204" t="s">
        <v>344</v>
      </c>
      <c r="S344" s="30"/>
      <c r="T344" s="30"/>
      <c r="U344" s="30"/>
      <c r="V344" s="197"/>
    </row>
    <row r="345" spans="1:22" s="14" customFormat="1" ht="18" hidden="1" customHeight="1">
      <c r="A345" s="205" t="s">
        <v>611</v>
      </c>
      <c r="B345" s="5"/>
      <c r="C345" s="5"/>
      <c r="D345" s="5"/>
      <c r="E345" s="5"/>
      <c r="F345" s="5"/>
      <c r="G345" s="5"/>
      <c r="H345" s="224"/>
      <c r="I345" s="224"/>
      <c r="J345" s="5"/>
      <c r="K345" s="5"/>
      <c r="L345" s="5"/>
      <c r="M345" s="5"/>
      <c r="N345" s="5"/>
      <c r="O345" s="5"/>
      <c r="P345" s="103"/>
      <c r="Q345" s="224"/>
      <c r="R345" s="225"/>
      <c r="S345" s="226"/>
      <c r="T345" s="18"/>
      <c r="U345" s="18"/>
      <c r="V345" s="97"/>
    </row>
    <row r="346" spans="1:22" s="14" customFormat="1" ht="18" hidden="1" customHeight="1">
      <c r="A346" s="96"/>
      <c r="B346" s="47" t="s">
        <v>612</v>
      </c>
      <c r="C346" s="5"/>
      <c r="D346" s="5"/>
      <c r="E346" s="5"/>
      <c r="I346" s="227"/>
      <c r="M346" s="5"/>
      <c r="N346" s="103" t="s">
        <v>138</v>
      </c>
      <c r="O346" s="1125">
        <f>O127</f>
        <v>100</v>
      </c>
      <c r="P346" s="651"/>
      <c r="Q346" s="14" t="s">
        <v>613</v>
      </c>
      <c r="S346" s="226"/>
      <c r="T346" s="18"/>
      <c r="U346" s="18"/>
      <c r="V346" s="97"/>
    </row>
    <row r="347" spans="1:22" s="14" customFormat="1" ht="18" hidden="1" customHeight="1">
      <c r="A347" s="96"/>
      <c r="B347" s="47" t="s">
        <v>614</v>
      </c>
      <c r="C347" s="5"/>
      <c r="D347" s="5"/>
      <c r="E347" s="5"/>
      <c r="I347" s="227"/>
      <c r="M347" s="5"/>
      <c r="N347" s="103" t="s">
        <v>138</v>
      </c>
      <c r="O347" s="1125">
        <f>O128</f>
        <v>25</v>
      </c>
      <c r="P347" s="651"/>
      <c r="Q347" s="14" t="s">
        <v>615</v>
      </c>
      <c r="S347" s="226"/>
      <c r="T347" s="18"/>
      <c r="U347" s="18"/>
      <c r="V347" s="97"/>
    </row>
    <row r="348" spans="1:22" s="14" customFormat="1" ht="18" hidden="1" customHeight="1">
      <c r="A348" s="96"/>
      <c r="B348" s="47" t="s">
        <v>616</v>
      </c>
      <c r="C348" s="5"/>
      <c r="D348" s="5"/>
      <c r="E348" s="5"/>
      <c r="M348" s="120" t="s">
        <v>617</v>
      </c>
      <c r="N348" s="103" t="s">
        <v>618</v>
      </c>
      <c r="O348" s="1125">
        <f>'[5]Parameters &amp; Fault Cal.'!Q12</f>
        <v>132</v>
      </c>
      <c r="P348" s="651"/>
      <c r="Q348" s="14" t="s">
        <v>174</v>
      </c>
      <c r="S348" s="226"/>
      <c r="T348" s="18"/>
      <c r="U348" s="18"/>
      <c r="V348" s="97"/>
    </row>
    <row r="349" spans="1:22" s="14" customFormat="1" ht="18" hidden="1" customHeight="1">
      <c r="A349" s="228"/>
      <c r="B349" s="224"/>
      <c r="C349" s="224"/>
      <c r="D349" s="224"/>
      <c r="E349" s="224"/>
      <c r="T349" s="18"/>
      <c r="U349" s="18"/>
      <c r="V349" s="97"/>
    </row>
    <row r="350" spans="1:22" s="14" customFormat="1" ht="18" hidden="1" customHeight="1">
      <c r="A350" s="284" t="s">
        <v>619</v>
      </c>
      <c r="B350" s="225"/>
      <c r="C350" s="225"/>
      <c r="D350" s="225"/>
      <c r="E350" s="225"/>
      <c r="H350" s="120" t="s">
        <v>620</v>
      </c>
      <c r="I350" s="28" t="s">
        <v>138</v>
      </c>
      <c r="J350" s="638" t="s">
        <v>621</v>
      </c>
      <c r="K350" s="638"/>
      <c r="L350" s="28" t="s">
        <v>326</v>
      </c>
      <c r="M350" s="229">
        <v>1000</v>
      </c>
      <c r="N350" s="102" t="s">
        <v>353</v>
      </c>
      <c r="O350" s="28" t="s">
        <v>622</v>
      </c>
      <c r="P350" s="28" t="s">
        <v>326</v>
      </c>
      <c r="Q350" s="28" t="s">
        <v>617</v>
      </c>
      <c r="R350" s="47" t="s">
        <v>361</v>
      </c>
      <c r="T350" s="18"/>
      <c r="U350" s="18"/>
      <c r="V350" s="97"/>
    </row>
    <row r="351" spans="1:22" ht="18" hidden="1" customHeight="1">
      <c r="A351" s="228"/>
      <c r="B351" s="225"/>
      <c r="C351" s="225"/>
      <c r="D351" s="225"/>
      <c r="E351" s="225"/>
      <c r="F351" s="224"/>
      <c r="G351" s="224"/>
      <c r="H351" s="28"/>
      <c r="I351" s="28" t="s">
        <v>138</v>
      </c>
      <c r="J351" s="638">
        <f>O346</f>
        <v>100</v>
      </c>
      <c r="K351" s="638"/>
      <c r="L351" s="28" t="s">
        <v>326</v>
      </c>
      <c r="M351" s="229">
        <v>1000</v>
      </c>
      <c r="N351" s="102" t="s">
        <v>353</v>
      </c>
      <c r="O351" s="28" t="s">
        <v>622</v>
      </c>
      <c r="P351" s="28" t="s">
        <v>326</v>
      </c>
      <c r="Q351" s="28">
        <f>O348</f>
        <v>132</v>
      </c>
      <c r="R351" s="47" t="s">
        <v>361</v>
      </c>
      <c r="S351" s="14"/>
      <c r="T351" s="18"/>
      <c r="U351" s="18"/>
      <c r="V351" s="97"/>
    </row>
    <row r="352" spans="1:22" ht="18" hidden="1" customHeight="1">
      <c r="A352" s="228"/>
      <c r="B352" s="224"/>
      <c r="C352" s="224"/>
      <c r="D352" s="224"/>
      <c r="E352" s="224"/>
      <c r="F352" s="224"/>
      <c r="G352" s="224"/>
      <c r="H352" s="14"/>
      <c r="I352" s="28" t="s">
        <v>138</v>
      </c>
      <c r="J352" s="641">
        <f>(O346*1000)/(SQRT(3)*O348)</f>
        <v>437.38656756789834</v>
      </c>
      <c r="K352" s="641"/>
      <c r="L352" s="14" t="s">
        <v>9</v>
      </c>
      <c r="M352" s="120"/>
      <c r="N352" s="120"/>
      <c r="O352" s="120"/>
      <c r="P352" s="14"/>
      <c r="Q352" s="14"/>
      <c r="R352" s="14"/>
      <c r="S352" s="14"/>
      <c r="T352" s="18"/>
      <c r="U352" s="18"/>
      <c r="V352" s="97"/>
    </row>
    <row r="353" spans="1:22" ht="18" hidden="1" customHeight="1">
      <c r="A353" s="228"/>
      <c r="B353" s="224"/>
      <c r="C353" s="224"/>
      <c r="D353" s="224"/>
      <c r="E353" s="224"/>
      <c r="F353" s="14"/>
      <c r="G353" s="224"/>
      <c r="H353" s="28"/>
      <c r="I353" s="103"/>
      <c r="J353" s="28"/>
      <c r="K353" s="14"/>
      <c r="L353" s="14"/>
      <c r="M353" s="224"/>
      <c r="N353" s="231"/>
      <c r="O353" s="224"/>
      <c r="P353" s="14"/>
      <c r="Q353" s="14"/>
      <c r="R353" s="14"/>
      <c r="S353" s="14"/>
      <c r="T353" s="18"/>
      <c r="U353" s="18"/>
      <c r="V353" s="97"/>
    </row>
    <row r="354" spans="1:22" s="14" customFormat="1" ht="18" hidden="1" customHeight="1">
      <c r="A354" s="159" t="s">
        <v>640</v>
      </c>
      <c r="B354" s="5"/>
      <c r="C354" s="5"/>
      <c r="D354" s="5"/>
      <c r="E354" s="5"/>
      <c r="F354" s="224"/>
      <c r="G354" s="224"/>
      <c r="H354" s="5"/>
      <c r="I354" s="5"/>
      <c r="J354" s="5"/>
      <c r="K354" s="5"/>
      <c r="L354" s="103"/>
      <c r="M354" s="103"/>
      <c r="N354" s="103"/>
      <c r="O354" s="103"/>
      <c r="P354" s="224"/>
      <c r="Q354" s="225"/>
      <c r="S354" s="232"/>
      <c r="T354" s="18"/>
      <c r="U354" s="18"/>
      <c r="V354" s="97"/>
    </row>
    <row r="355" spans="1:22" s="14" customFormat="1" ht="18" hidden="1" customHeight="1">
      <c r="A355" s="159"/>
      <c r="B355" s="5"/>
      <c r="C355" s="5"/>
      <c r="D355" s="5"/>
      <c r="E355" s="5"/>
      <c r="F355" s="224"/>
      <c r="G355" s="224"/>
      <c r="H355" s="5"/>
      <c r="I355" s="5"/>
      <c r="J355" s="5"/>
      <c r="K355" s="5"/>
      <c r="L355" s="103"/>
      <c r="M355" s="103"/>
      <c r="N355" s="103"/>
      <c r="O355" s="103"/>
      <c r="P355" s="224"/>
      <c r="Q355" s="225"/>
      <c r="S355" s="226"/>
      <c r="T355" s="18"/>
      <c r="U355" s="18"/>
      <c r="V355" s="97"/>
    </row>
    <row r="356" spans="1:22" ht="18" hidden="1" customHeight="1">
      <c r="A356" s="96" t="s">
        <v>623</v>
      </c>
      <c r="B356" s="14"/>
      <c r="C356" s="14"/>
      <c r="D356" s="14"/>
      <c r="E356" s="14"/>
      <c r="M356" s="120" t="s">
        <v>624</v>
      </c>
      <c r="N356" s="28" t="s">
        <v>138</v>
      </c>
      <c r="O356" s="638" t="s">
        <v>620</v>
      </c>
      <c r="P356" s="920"/>
      <c r="Q356" s="233" t="s">
        <v>641</v>
      </c>
      <c r="R356" s="233">
        <v>16</v>
      </c>
      <c r="S356" s="198"/>
      <c r="V356" s="197"/>
    </row>
    <row r="357" spans="1:22" ht="18" hidden="1" customHeight="1">
      <c r="A357" s="96"/>
      <c r="B357" s="5"/>
      <c r="C357" s="5"/>
      <c r="D357" s="5"/>
      <c r="E357" s="5"/>
      <c r="M357" s="262"/>
      <c r="N357" s="28" t="s">
        <v>138</v>
      </c>
      <c r="O357" s="638">
        <f>+J352</f>
        <v>437.38656756789834</v>
      </c>
      <c r="P357" s="920"/>
      <c r="Q357" s="233" t="s">
        <v>641</v>
      </c>
      <c r="R357" s="233">
        <v>16</v>
      </c>
      <c r="S357" s="198"/>
      <c r="V357" s="197"/>
    </row>
    <row r="358" spans="1:22" s="291" customFormat="1" ht="18" hidden="1" customHeight="1">
      <c r="A358" s="96"/>
      <c r="B358" s="5"/>
      <c r="C358" s="5"/>
      <c r="D358" s="5"/>
      <c r="E358" s="5"/>
      <c r="F358" s="30"/>
      <c r="G358" s="30"/>
      <c r="H358" s="30"/>
      <c r="I358" s="30"/>
      <c r="J358" s="30"/>
      <c r="K358" s="30"/>
      <c r="L358" s="30"/>
      <c r="M358" s="120" t="s">
        <v>624</v>
      </c>
      <c r="N358" s="28" t="s">
        <v>138</v>
      </c>
      <c r="O358" s="638">
        <f>O357*R357</f>
        <v>6998.1850810863734</v>
      </c>
      <c r="P358" s="920"/>
      <c r="Q358" s="253" t="s">
        <v>9</v>
      </c>
      <c r="R358" s="14"/>
      <c r="S358" s="198"/>
      <c r="T358" s="30"/>
      <c r="U358" s="30"/>
      <c r="V358" s="197"/>
    </row>
    <row r="359" spans="1:22" s="291" customFormat="1" ht="18" hidden="1" customHeight="1">
      <c r="A359" s="206"/>
      <c r="B359" s="207"/>
      <c r="C359" s="207"/>
      <c r="D359" s="207"/>
      <c r="E359" s="207"/>
      <c r="F359" s="207"/>
      <c r="G359" s="207"/>
      <c r="H359" s="207"/>
      <c r="I359" s="207"/>
      <c r="J359" s="207"/>
      <c r="K359" s="207"/>
      <c r="L359" s="207"/>
      <c r="M359" s="207"/>
      <c r="N359" s="207"/>
      <c r="O359" s="207"/>
      <c r="P359" s="207"/>
      <c r="Q359" s="236"/>
      <c r="R359" s="194"/>
      <c r="S359" s="237"/>
      <c r="T359" s="207"/>
      <c r="U359" s="207"/>
      <c r="V359" s="140" t="s">
        <v>563</v>
      </c>
    </row>
    <row r="360" spans="1:22" ht="18" hidden="1" customHeight="1">
      <c r="A360" s="141"/>
      <c r="B360" s="285"/>
      <c r="C360" s="285"/>
      <c r="D360" s="285"/>
      <c r="E360" s="285"/>
      <c r="F360" s="285"/>
      <c r="G360" s="285"/>
      <c r="H360" s="285"/>
      <c r="I360" s="285"/>
      <c r="J360" s="285"/>
      <c r="K360" s="285"/>
      <c r="L360" s="285"/>
      <c r="M360" s="285"/>
      <c r="N360" s="285"/>
      <c r="O360" s="285"/>
      <c r="P360" s="285"/>
      <c r="Q360" s="286"/>
      <c r="R360" s="145"/>
      <c r="S360" s="287"/>
      <c r="T360" s="285"/>
      <c r="U360" s="285"/>
      <c r="V360" s="288"/>
    </row>
    <row r="361" spans="1:22" ht="18" hidden="1" customHeight="1">
      <c r="A361" s="96" t="s">
        <v>697</v>
      </c>
      <c r="V361" s="197"/>
    </row>
    <row r="362" spans="1:22" ht="18" hidden="1" customHeight="1">
      <c r="A362" s="196"/>
      <c r="V362" s="197"/>
    </row>
    <row r="363" spans="1:22" ht="18" hidden="1" customHeight="1">
      <c r="A363" s="289"/>
      <c r="B363" s="638" t="s">
        <v>484</v>
      </c>
      <c r="C363" s="1124" t="s">
        <v>663</v>
      </c>
      <c r="D363" s="291"/>
      <c r="E363" s="291"/>
      <c r="F363" s="291"/>
      <c r="G363" s="1008" t="s">
        <v>698</v>
      </c>
      <c r="H363" s="1156" t="s">
        <v>326</v>
      </c>
      <c r="I363" s="661" t="s">
        <v>699</v>
      </c>
      <c r="J363" s="1099"/>
      <c r="K363" s="1099"/>
      <c r="L363" s="1099"/>
      <c r="M363" s="1099"/>
      <c r="N363" s="638" t="s">
        <v>683</v>
      </c>
      <c r="O363" s="661" t="s">
        <v>431</v>
      </c>
      <c r="P363" s="638" t="s">
        <v>358</v>
      </c>
      <c r="Q363" s="661" t="s">
        <v>700</v>
      </c>
      <c r="R363" s="661" t="s">
        <v>685</v>
      </c>
      <c r="S363" s="661" t="s">
        <v>422</v>
      </c>
      <c r="T363" s="14"/>
      <c r="U363" s="958" t="s">
        <v>664</v>
      </c>
      <c r="V363" s="197"/>
    </row>
    <row r="364" spans="1:22" ht="18" hidden="1" customHeight="1">
      <c r="A364" s="289"/>
      <c r="B364" s="638"/>
      <c r="C364" s="638"/>
      <c r="D364" s="291"/>
      <c r="E364" s="291"/>
      <c r="F364" s="291"/>
      <c r="G364" s="1008"/>
      <c r="H364" s="638"/>
      <c r="I364" s="638">
        <v>1.3</v>
      </c>
      <c r="J364" s="638"/>
      <c r="K364" s="28" t="s">
        <v>326</v>
      </c>
      <c r="L364" s="638" t="s">
        <v>434</v>
      </c>
      <c r="M364" s="638"/>
      <c r="N364" s="638"/>
      <c r="O364" s="638"/>
      <c r="P364" s="638"/>
      <c r="Q364" s="638"/>
      <c r="R364" s="638"/>
      <c r="S364" s="638"/>
      <c r="T364" s="14"/>
      <c r="U364" s="638"/>
      <c r="V364" s="197"/>
    </row>
    <row r="365" spans="1:22" ht="18" hidden="1" customHeight="1">
      <c r="A365" s="196"/>
      <c r="V365" s="197"/>
    </row>
    <row r="366" spans="1:22" ht="18" hidden="1" customHeight="1">
      <c r="A366" s="196"/>
      <c r="B366" s="47" t="s">
        <v>665</v>
      </c>
      <c r="C366" s="14"/>
      <c r="D366" s="14"/>
      <c r="E366" s="14"/>
      <c r="F366" s="18"/>
      <c r="G366" s="18"/>
      <c r="H366" s="14"/>
      <c r="I366" s="120"/>
      <c r="J366" s="14"/>
      <c r="K366" s="14"/>
      <c r="M366" s="14"/>
      <c r="N366" s="14"/>
      <c r="P366" s="14" t="s">
        <v>434</v>
      </c>
      <c r="R366" s="246" t="s">
        <v>138</v>
      </c>
      <c r="S366" s="639">
        <f>H325</f>
        <v>5000</v>
      </c>
      <c r="T366" s="639"/>
      <c r="U366" s="30" t="s">
        <v>9</v>
      </c>
      <c r="V366" s="197"/>
    </row>
    <row r="367" spans="1:22" ht="18" hidden="1" customHeight="1">
      <c r="A367" s="196"/>
      <c r="B367" s="47" t="s">
        <v>666</v>
      </c>
      <c r="C367" s="14"/>
      <c r="D367" s="14"/>
      <c r="E367" s="14"/>
      <c r="F367" s="18"/>
      <c r="G367" s="18"/>
      <c r="H367" s="14"/>
      <c r="I367" s="120"/>
      <c r="J367" s="14"/>
      <c r="K367" s="14"/>
      <c r="M367" s="14"/>
      <c r="N367" s="14"/>
      <c r="P367" s="14" t="s">
        <v>431</v>
      </c>
      <c r="R367" s="246" t="s">
        <v>138</v>
      </c>
      <c r="S367" s="639">
        <f>H327</f>
        <v>20</v>
      </c>
      <c r="T367" s="639"/>
      <c r="U367" s="204" t="s">
        <v>344</v>
      </c>
      <c r="V367" s="197"/>
    </row>
    <row r="368" spans="1:22" ht="18" hidden="1" customHeight="1">
      <c r="A368" s="196"/>
      <c r="B368" s="47" t="s">
        <v>687</v>
      </c>
      <c r="C368" s="14"/>
      <c r="D368" s="14"/>
      <c r="E368" s="14"/>
      <c r="F368" s="18"/>
      <c r="G368" s="18"/>
      <c r="H368" s="14"/>
      <c r="I368" s="120"/>
      <c r="J368" s="14"/>
      <c r="K368" s="14"/>
      <c r="M368" s="14"/>
      <c r="N368" s="14"/>
      <c r="P368" s="14" t="s">
        <v>701</v>
      </c>
      <c r="R368" s="246" t="s">
        <v>138</v>
      </c>
      <c r="S368" s="637">
        <f>Q344</f>
        <v>1.5418674400000001</v>
      </c>
      <c r="T368" s="637"/>
      <c r="U368" s="204" t="s">
        <v>344</v>
      </c>
      <c r="V368" s="197"/>
    </row>
    <row r="369" spans="1:22" ht="18" hidden="1" customHeight="1">
      <c r="A369" s="196"/>
      <c r="B369" s="47" t="s">
        <v>702</v>
      </c>
      <c r="C369" s="14"/>
      <c r="D369" s="14"/>
      <c r="E369" s="14"/>
      <c r="F369" s="14"/>
      <c r="G369" s="14"/>
      <c r="H369" s="14"/>
      <c r="I369" s="120"/>
      <c r="J369" s="14"/>
      <c r="K369" s="14"/>
      <c r="M369" s="14"/>
      <c r="N369" s="14"/>
      <c r="P369" s="14" t="s">
        <v>422</v>
      </c>
      <c r="R369" s="246" t="s">
        <v>138</v>
      </c>
      <c r="S369" s="639">
        <f>O325</f>
        <v>1</v>
      </c>
      <c r="T369" s="639"/>
      <c r="U369" s="30" t="s">
        <v>9</v>
      </c>
      <c r="V369" s="197"/>
    </row>
    <row r="370" spans="1:22" ht="18" hidden="1" customHeight="1">
      <c r="A370" s="196"/>
      <c r="B370" s="47" t="s">
        <v>689</v>
      </c>
      <c r="C370" s="14"/>
      <c r="D370" s="14"/>
      <c r="E370" s="14"/>
      <c r="F370" s="14"/>
      <c r="G370" s="14"/>
      <c r="H370" s="14"/>
      <c r="I370" s="120"/>
      <c r="J370" s="14"/>
      <c r="K370" s="14"/>
      <c r="M370" s="14"/>
      <c r="N370" s="14"/>
      <c r="P370" s="120" t="s">
        <v>699</v>
      </c>
      <c r="R370" s="246" t="s">
        <v>138</v>
      </c>
      <c r="S370" s="639">
        <f>O358</f>
        <v>6998.1850810863734</v>
      </c>
      <c r="T370" s="639"/>
      <c r="U370" s="30" t="s">
        <v>9</v>
      </c>
      <c r="V370" s="197"/>
    </row>
    <row r="371" spans="1:22" s="291" customFormat="1" ht="18" hidden="1" customHeight="1">
      <c r="A371" s="196"/>
      <c r="B371" s="47" t="s">
        <v>703</v>
      </c>
      <c r="C371" s="14"/>
      <c r="D371" s="14"/>
      <c r="E371" s="14"/>
      <c r="F371" s="14"/>
      <c r="G371" s="14"/>
      <c r="H371" s="14"/>
      <c r="I371" s="120"/>
      <c r="J371" s="14"/>
      <c r="K371" s="14"/>
      <c r="L371" s="30"/>
      <c r="M371" s="14"/>
      <c r="N371" s="14"/>
      <c r="O371" s="30"/>
      <c r="P371" s="120" t="s">
        <v>691</v>
      </c>
      <c r="Q371" s="30"/>
      <c r="R371" s="246" t="s">
        <v>138</v>
      </c>
      <c r="S371" s="637">
        <f>J352</f>
        <v>437.38656756789834</v>
      </c>
      <c r="T371" s="639"/>
      <c r="U371" s="30" t="s">
        <v>9</v>
      </c>
      <c r="V371" s="197"/>
    </row>
    <row r="372" spans="1:22" s="291" customFormat="1" ht="18" hidden="1" customHeight="1">
      <c r="A372" s="196"/>
      <c r="B372" s="47" t="s">
        <v>670</v>
      </c>
      <c r="C372" s="14"/>
      <c r="D372" s="14"/>
      <c r="E372" s="14"/>
      <c r="F372" s="14"/>
      <c r="G372" s="14"/>
      <c r="H372" s="14"/>
      <c r="I372" s="120"/>
      <c r="J372" s="14"/>
      <c r="K372" s="14"/>
      <c r="L372" s="30"/>
      <c r="M372" s="14"/>
      <c r="N372" s="14"/>
      <c r="O372" s="30"/>
      <c r="P372" s="120" t="s">
        <v>671</v>
      </c>
      <c r="Q372" s="30"/>
      <c r="R372" s="246" t="s">
        <v>138</v>
      </c>
      <c r="S372" s="639">
        <f>S158</f>
        <v>1</v>
      </c>
      <c r="T372" s="639"/>
      <c r="U372" s="30" t="s">
        <v>9</v>
      </c>
      <c r="V372" s="197"/>
    </row>
    <row r="373" spans="1:22" ht="18" hidden="1" customHeight="1">
      <c r="A373" s="96"/>
      <c r="B373" s="14"/>
      <c r="C373" s="14"/>
      <c r="D373" s="247"/>
      <c r="E373" s="14"/>
      <c r="F373" s="28"/>
      <c r="G373" s="261"/>
      <c r="H373" s="28"/>
      <c r="I373" s="263"/>
      <c r="J373" s="14"/>
      <c r="K373" s="292"/>
      <c r="M373" s="47"/>
      <c r="N373" s="280"/>
      <c r="P373" s="293"/>
      <c r="R373" s="246"/>
      <c r="S373" s="1161"/>
      <c r="T373" s="985"/>
      <c r="V373" s="197"/>
    </row>
    <row r="374" spans="1:22" ht="18" hidden="1" customHeight="1">
      <c r="A374" s="284" t="s">
        <v>704</v>
      </c>
      <c r="B374" s="14"/>
      <c r="C374" s="14"/>
      <c r="D374" s="14"/>
      <c r="E374" s="14"/>
      <c r="F374" s="14"/>
      <c r="G374" s="14"/>
      <c r="H374" s="28">
        <v>3</v>
      </c>
      <c r="I374" s="47" t="s">
        <v>705</v>
      </c>
      <c r="J374" s="14"/>
      <c r="K374" s="14"/>
      <c r="M374" s="14" t="s">
        <v>348</v>
      </c>
      <c r="N374" s="14"/>
      <c r="P374" s="120"/>
      <c r="R374" s="246"/>
      <c r="S374" s="1162"/>
      <c r="T374" s="985"/>
      <c r="V374" s="197"/>
    </row>
    <row r="375" spans="1:22" ht="18" hidden="1" customHeight="1">
      <c r="A375" s="284"/>
      <c r="B375" s="14"/>
      <c r="C375" s="14"/>
      <c r="D375" s="14"/>
      <c r="E375" s="14"/>
      <c r="F375" s="14"/>
      <c r="G375" s="14"/>
      <c r="H375" s="28"/>
      <c r="I375" s="47"/>
      <c r="J375" s="14"/>
      <c r="K375" s="14"/>
      <c r="M375" s="14"/>
      <c r="N375" s="14"/>
      <c r="P375" s="120"/>
      <c r="R375" s="246"/>
      <c r="S375" s="294"/>
      <c r="V375" s="197"/>
    </row>
    <row r="376" spans="1:22" ht="18" hidden="1" customHeight="1">
      <c r="A376" s="289"/>
      <c r="B376" s="638" t="s">
        <v>714</v>
      </c>
      <c r="C376" s="1124" t="s">
        <v>663</v>
      </c>
      <c r="D376" s="291"/>
      <c r="E376" s="291"/>
      <c r="F376" s="291"/>
      <c r="G376" s="1008">
        <f>H374</f>
        <v>3</v>
      </c>
      <c r="H376" s="1157" t="s">
        <v>326</v>
      </c>
      <c r="I376" s="1026">
        <f>S370</f>
        <v>6998.1850810863734</v>
      </c>
      <c r="J376" s="1159"/>
      <c r="K376" s="1159"/>
      <c r="L376" s="1159"/>
      <c r="M376" s="1159"/>
      <c r="N376" s="638" t="s">
        <v>683</v>
      </c>
      <c r="O376" s="661">
        <f>S367</f>
        <v>20</v>
      </c>
      <c r="P376" s="638" t="s">
        <v>358</v>
      </c>
      <c r="Q376" s="1026">
        <f>S368</f>
        <v>1.5418674400000001</v>
      </c>
      <c r="R376" s="661" t="s">
        <v>685</v>
      </c>
      <c r="S376" s="661">
        <f>S369</f>
        <v>1</v>
      </c>
      <c r="T376" s="14"/>
      <c r="U376" s="958" t="s">
        <v>664</v>
      </c>
      <c r="V376" s="197"/>
    </row>
    <row r="377" spans="1:22" ht="18" hidden="1" customHeight="1">
      <c r="A377" s="289"/>
      <c r="B377" s="638"/>
      <c r="C377" s="638"/>
      <c r="D377" s="291"/>
      <c r="E377" s="291"/>
      <c r="F377" s="291"/>
      <c r="G377" s="1008"/>
      <c r="H377" s="639"/>
      <c r="I377" s="638">
        <v>1.3</v>
      </c>
      <c r="J377" s="639"/>
      <c r="K377" s="28" t="s">
        <v>326</v>
      </c>
      <c r="L377" s="638">
        <f>S366</f>
        <v>5000</v>
      </c>
      <c r="M377" s="639"/>
      <c r="N377" s="638"/>
      <c r="O377" s="638"/>
      <c r="P377" s="638"/>
      <c r="Q377" s="638"/>
      <c r="R377" s="638"/>
      <c r="S377" s="638"/>
      <c r="T377" s="14"/>
      <c r="U377" s="638"/>
      <c r="V377" s="197"/>
    </row>
    <row r="378" spans="1:22" ht="18" hidden="1" customHeight="1">
      <c r="A378" s="96"/>
      <c r="B378" s="14"/>
      <c r="C378" s="27" t="s">
        <v>138</v>
      </c>
      <c r="D378" s="798">
        <f>G376*(I376/(I377*L377)*(O376+Q376)*S376)</f>
        <v>69.578757848006916</v>
      </c>
      <c r="E378" s="799"/>
      <c r="F378" s="30" t="s">
        <v>316</v>
      </c>
      <c r="G378" s="14"/>
      <c r="H378" s="14"/>
      <c r="I378" s="14"/>
      <c r="J378" s="14"/>
      <c r="K378" s="14"/>
      <c r="L378" s="14"/>
      <c r="M378" s="14"/>
      <c r="N378" s="14"/>
      <c r="R378" s="246"/>
      <c r="S378" s="216"/>
      <c r="V378" s="197"/>
    </row>
    <row r="379" spans="1:22" ht="18" hidden="1" customHeight="1">
      <c r="A379" s="96"/>
      <c r="B379" s="14"/>
      <c r="G379" s="14"/>
      <c r="H379" s="14"/>
      <c r="I379" s="14"/>
      <c r="J379" s="14"/>
      <c r="K379" s="14"/>
      <c r="L379" s="14"/>
      <c r="M379" s="14"/>
      <c r="N379" s="14"/>
      <c r="R379" s="246"/>
      <c r="S379" s="216"/>
      <c r="V379" s="197"/>
    </row>
    <row r="380" spans="1:22" ht="18" hidden="1" customHeight="1">
      <c r="A380" s="96"/>
      <c r="B380" s="14"/>
      <c r="D380" s="30" t="s">
        <v>486</v>
      </c>
      <c r="G380" s="27" t="str">
        <f>IF(E381&gt;H381,"&gt;","&lt;")</f>
        <v>&gt;</v>
      </c>
      <c r="H380" s="30" t="s">
        <v>488</v>
      </c>
      <c r="M380" s="14"/>
      <c r="N380" s="14"/>
      <c r="R380" s="246"/>
      <c r="S380" s="216"/>
      <c r="V380" s="197"/>
    </row>
    <row r="381" spans="1:22" ht="18" hidden="1" customHeight="1">
      <c r="A381" s="96"/>
      <c r="B381" s="14"/>
      <c r="E381" s="639">
        <f>H328</f>
        <v>1000</v>
      </c>
      <c r="F381" s="639"/>
      <c r="G381" s="27" t="str">
        <f>G380</f>
        <v>&gt;</v>
      </c>
      <c r="H381" s="637">
        <f>D378</f>
        <v>69.578757848006916</v>
      </c>
      <c r="I381" s="639"/>
      <c r="M381" s="14"/>
      <c r="N381" s="14"/>
      <c r="R381" s="246"/>
      <c r="S381" s="216"/>
      <c r="V381" s="197"/>
    </row>
    <row r="382" spans="1:22" ht="18" hidden="1" customHeight="1">
      <c r="A382" s="96"/>
      <c r="B382" s="14"/>
      <c r="F382" s="256" t="s">
        <v>489</v>
      </c>
      <c r="H382" s="18" t="str">
        <f>IF(G380="&gt;","Suitably Dimentioned","Under Dimentioned")</f>
        <v>Suitably Dimentioned</v>
      </c>
      <c r="M382" s="14"/>
      <c r="N382" s="14"/>
      <c r="R382" s="246"/>
      <c r="S382" s="216"/>
      <c r="V382" s="197"/>
    </row>
    <row r="383" spans="1:22" ht="18" hidden="1" customHeight="1">
      <c r="A383" s="96"/>
      <c r="B383" s="14"/>
      <c r="G383" s="14"/>
      <c r="H383" s="14"/>
      <c r="I383" s="14"/>
      <c r="J383" s="14"/>
      <c r="K383" s="14"/>
      <c r="L383" s="14"/>
      <c r="M383" s="14"/>
      <c r="N383" s="14"/>
      <c r="R383" s="246"/>
      <c r="S383" s="216"/>
      <c r="V383" s="197"/>
    </row>
    <row r="384" spans="1:22" ht="18" hidden="1" customHeight="1">
      <c r="A384" s="205" t="s">
        <v>706</v>
      </c>
      <c r="B384" s="14"/>
      <c r="G384" s="14"/>
      <c r="H384" s="14"/>
      <c r="I384" s="14"/>
      <c r="J384" s="14"/>
      <c r="K384" s="14"/>
      <c r="L384" s="14"/>
      <c r="M384" s="14"/>
      <c r="N384" s="14"/>
      <c r="R384" s="246"/>
      <c r="S384" s="216"/>
      <c r="V384" s="197"/>
    </row>
    <row r="385" spans="1:22" ht="18" hidden="1" customHeight="1">
      <c r="A385" s="96"/>
      <c r="B385" s="14"/>
      <c r="D385" s="1008" t="s">
        <v>707</v>
      </c>
      <c r="E385" s="920"/>
      <c r="F385" s="638" t="s">
        <v>138</v>
      </c>
      <c r="G385" s="661" t="s">
        <v>434</v>
      </c>
      <c r="H385" s="1099"/>
      <c r="I385" s="638" t="s">
        <v>326</v>
      </c>
      <c r="J385" s="661" t="s">
        <v>708</v>
      </c>
      <c r="K385" s="1099"/>
      <c r="L385" s="14"/>
      <c r="M385" s="14"/>
      <c r="N385" s="14"/>
      <c r="R385" s="246"/>
      <c r="S385" s="216"/>
      <c r="V385" s="197"/>
    </row>
    <row r="386" spans="1:22" ht="18" hidden="1" customHeight="1">
      <c r="A386" s="96"/>
      <c r="B386" s="14"/>
      <c r="D386" s="920"/>
      <c r="E386" s="920"/>
      <c r="F386" s="638"/>
      <c r="G386" s="638" t="s">
        <v>691</v>
      </c>
      <c r="H386" s="920"/>
      <c r="I386" s="638"/>
      <c r="J386" s="638" t="s">
        <v>422</v>
      </c>
      <c r="K386" s="920"/>
      <c r="L386" s="14"/>
      <c r="M386" s="14"/>
      <c r="N386" s="14"/>
      <c r="R386" s="246"/>
      <c r="S386" s="216"/>
      <c r="V386" s="197"/>
    </row>
    <row r="387" spans="1:22" ht="18" hidden="1" customHeight="1">
      <c r="A387" s="96"/>
      <c r="B387" s="14"/>
      <c r="D387" s="14"/>
      <c r="E387" s="14"/>
      <c r="F387" s="14"/>
      <c r="G387" s="14"/>
      <c r="H387" s="14"/>
      <c r="I387" s="14"/>
      <c r="J387" s="14"/>
      <c r="K387" s="14"/>
      <c r="L387" s="14"/>
      <c r="M387" s="14"/>
      <c r="N387" s="14"/>
      <c r="R387" s="246"/>
      <c r="S387" s="216"/>
      <c r="V387" s="197"/>
    </row>
    <row r="388" spans="1:22" ht="18" hidden="1" customHeight="1">
      <c r="A388" s="96"/>
      <c r="B388" s="14"/>
      <c r="D388" s="14"/>
      <c r="E388" s="14"/>
      <c r="F388" s="638" t="s">
        <v>138</v>
      </c>
      <c r="G388" s="661">
        <f>S366</f>
        <v>5000</v>
      </c>
      <c r="H388" s="1099"/>
      <c r="I388" s="638" t="s">
        <v>326</v>
      </c>
      <c r="J388" s="661">
        <f>S372</f>
        <v>1</v>
      </c>
      <c r="K388" s="1099"/>
      <c r="L388" s="14"/>
      <c r="M388" s="14"/>
      <c r="N388" s="14"/>
      <c r="R388" s="246"/>
      <c r="S388" s="216"/>
      <c r="V388" s="197"/>
    </row>
    <row r="389" spans="1:22" ht="18" hidden="1" customHeight="1">
      <c r="A389" s="96"/>
      <c r="B389" s="14"/>
      <c r="D389" s="14"/>
      <c r="E389" s="14"/>
      <c r="F389" s="638"/>
      <c r="G389" s="641">
        <f>J352</f>
        <v>437.38656756789834</v>
      </c>
      <c r="H389" s="920"/>
      <c r="I389" s="638"/>
      <c r="J389" s="638">
        <f>S369</f>
        <v>1</v>
      </c>
      <c r="K389" s="920"/>
      <c r="L389" s="14"/>
      <c r="M389" s="14"/>
      <c r="N389" s="14"/>
      <c r="R389" s="246"/>
      <c r="S389" s="216"/>
      <c r="V389" s="197"/>
    </row>
    <row r="390" spans="1:22" ht="18" hidden="1" customHeight="1">
      <c r="A390" s="96"/>
      <c r="B390" s="14"/>
      <c r="D390" s="14"/>
      <c r="E390" s="14"/>
      <c r="F390" s="14"/>
      <c r="G390" s="14"/>
      <c r="H390" s="14"/>
      <c r="I390" s="14"/>
      <c r="J390" s="14"/>
      <c r="K390" s="14"/>
      <c r="L390" s="14"/>
      <c r="M390" s="14"/>
      <c r="N390" s="14"/>
      <c r="R390" s="246"/>
      <c r="S390" s="216"/>
      <c r="V390" s="197"/>
    </row>
    <row r="391" spans="1:22" ht="18" hidden="1" customHeight="1">
      <c r="A391" s="96"/>
      <c r="B391" s="14"/>
      <c r="D391" s="14"/>
      <c r="E391" s="14"/>
      <c r="F391" s="28" t="s">
        <v>138</v>
      </c>
      <c r="G391" s="920">
        <f>(G388/G389)*(J388/J389)</f>
        <v>11.43153532995459</v>
      </c>
      <c r="H391" s="920"/>
      <c r="I391" s="14"/>
      <c r="J391" s="14"/>
      <c r="K391" s="14"/>
      <c r="L391" s="14"/>
      <c r="M391" s="14"/>
      <c r="N391" s="14"/>
      <c r="R391" s="246"/>
      <c r="S391" s="216"/>
      <c r="V391" s="197"/>
    </row>
    <row r="392" spans="1:22" ht="18" hidden="1" customHeight="1">
      <c r="A392" s="96"/>
      <c r="B392" s="14"/>
      <c r="G392" s="14"/>
      <c r="H392" s="14"/>
      <c r="I392" s="14"/>
      <c r="J392" s="14"/>
      <c r="K392" s="14"/>
      <c r="L392" s="14"/>
      <c r="M392" s="14"/>
      <c r="N392" s="14"/>
      <c r="R392" s="246"/>
      <c r="S392" s="216"/>
      <c r="V392" s="197"/>
    </row>
    <row r="393" spans="1:22" s="14" customFormat="1" ht="18" hidden="1" customHeight="1">
      <c r="A393" s="96"/>
      <c r="C393" s="30"/>
      <c r="D393" s="295" t="s">
        <v>709</v>
      </c>
      <c r="E393" s="296" t="s">
        <v>710</v>
      </c>
      <c r="F393" s="638" t="s">
        <v>707</v>
      </c>
      <c r="G393" s="920"/>
      <c r="H393" s="920"/>
      <c r="I393" s="296" t="s">
        <v>710</v>
      </c>
      <c r="J393" s="28">
        <v>4</v>
      </c>
      <c r="K393" s="30"/>
      <c r="L393" s="291"/>
      <c r="M393" s="120" t="s">
        <v>711</v>
      </c>
      <c r="N393" s="47" t="s">
        <v>712</v>
      </c>
      <c r="O393" s="291"/>
      <c r="P393" s="248"/>
      <c r="Q393" s="248"/>
      <c r="R393" s="246"/>
      <c r="S393" s="216"/>
      <c r="T393" s="30"/>
      <c r="U393" s="30"/>
      <c r="V393" s="197"/>
    </row>
    <row r="394" spans="1:22" ht="18" hidden="1" customHeight="1">
      <c r="A394" s="96"/>
      <c r="B394" s="14"/>
      <c r="D394" s="230">
        <v>0.25</v>
      </c>
      <c r="E394" s="296" t="str">
        <f>IF(D394&lt;=G391,"≤","&gt;")</f>
        <v>≤</v>
      </c>
      <c r="F394" s="911">
        <f>G391</f>
        <v>11.43153532995459</v>
      </c>
      <c r="G394" s="1163"/>
      <c r="H394" s="911"/>
      <c r="I394" s="296" t="str">
        <f>IF(G391&lt;=J393,"≤","&gt;")</f>
        <v>&gt;</v>
      </c>
      <c r="J394" s="28">
        <f>J393</f>
        <v>4</v>
      </c>
      <c r="L394" s="291"/>
      <c r="M394" s="120"/>
      <c r="N394" s="225"/>
      <c r="O394" s="291"/>
      <c r="P394" s="248"/>
      <c r="Q394" s="248"/>
      <c r="R394" s="246"/>
      <c r="S394" s="216"/>
      <c r="V394" s="197"/>
    </row>
    <row r="395" spans="1:22" ht="18" hidden="1" customHeight="1">
      <c r="A395" s="96"/>
      <c r="B395" s="14"/>
      <c r="G395" s="14"/>
      <c r="H395" s="14"/>
      <c r="I395" s="14"/>
      <c r="J395" s="14"/>
      <c r="K395" s="14"/>
      <c r="L395" s="14"/>
      <c r="M395" s="14"/>
      <c r="N395" s="14"/>
      <c r="R395" s="246"/>
      <c r="S395" s="216"/>
      <c r="V395" s="197"/>
    </row>
    <row r="396" spans="1:22" ht="18" hidden="1" customHeight="1">
      <c r="A396" s="96"/>
      <c r="B396" s="14" t="s">
        <v>713</v>
      </c>
      <c r="G396" s="14"/>
      <c r="H396" s="18" t="str">
        <f>IF(AND(E394="≤",I394="≤")=TRUE,"OK","Not OK")</f>
        <v>Not OK</v>
      </c>
      <c r="I396" s="14"/>
      <c r="J396" s="14"/>
      <c r="K396" s="14"/>
      <c r="L396" s="14"/>
      <c r="M396" s="14"/>
      <c r="N396" s="14"/>
      <c r="R396" s="246"/>
      <c r="S396" s="216"/>
      <c r="V396" s="197"/>
    </row>
    <row r="397" spans="1:22" ht="18" hidden="1" customHeight="1">
      <c r="A397" s="96"/>
      <c r="B397" s="14"/>
      <c r="G397" s="14"/>
      <c r="H397" s="18"/>
      <c r="I397" s="14"/>
      <c r="J397" s="14"/>
      <c r="K397" s="14"/>
      <c r="L397" s="14"/>
      <c r="M397" s="14"/>
      <c r="N397" s="14"/>
      <c r="R397" s="246"/>
      <c r="S397" s="216"/>
      <c r="V397" s="197"/>
    </row>
    <row r="398" spans="1:22" ht="18" hidden="1" customHeight="1">
      <c r="A398" s="96"/>
      <c r="B398" s="14"/>
      <c r="G398" s="14"/>
      <c r="H398" s="18"/>
      <c r="I398" s="14"/>
      <c r="J398" s="14"/>
      <c r="K398" s="14"/>
      <c r="L398" s="14"/>
      <c r="M398" s="14"/>
      <c r="N398" s="14"/>
      <c r="R398" s="246"/>
      <c r="S398" s="216"/>
      <c r="V398" s="197"/>
    </row>
    <row r="399" spans="1:22" ht="18" hidden="1" customHeight="1">
      <c r="A399" s="96"/>
      <c r="B399" s="14"/>
      <c r="G399" s="14"/>
      <c r="H399" s="18"/>
      <c r="I399" s="14"/>
      <c r="J399" s="14"/>
      <c r="K399" s="14"/>
      <c r="L399" s="14"/>
      <c r="M399" s="14"/>
      <c r="N399" s="14"/>
      <c r="R399" s="246"/>
      <c r="S399" s="216"/>
      <c r="V399" s="197"/>
    </row>
    <row r="400" spans="1:22" ht="18" hidden="1" customHeight="1">
      <c r="A400" s="96"/>
      <c r="B400" s="14"/>
      <c r="G400" s="14"/>
      <c r="H400" s="18"/>
      <c r="I400" s="14"/>
      <c r="J400" s="14"/>
      <c r="K400" s="14"/>
      <c r="L400" s="14"/>
      <c r="M400" s="14"/>
      <c r="N400" s="14"/>
      <c r="R400" s="246"/>
      <c r="S400" s="216"/>
      <c r="V400" s="197"/>
    </row>
    <row r="401" spans="1:29" ht="18" hidden="1" customHeight="1">
      <c r="A401" s="96"/>
      <c r="B401" s="14"/>
      <c r="G401" s="14"/>
      <c r="H401" s="18"/>
      <c r="I401" s="14"/>
      <c r="J401" s="14"/>
      <c r="K401" s="14"/>
      <c r="L401" s="14"/>
      <c r="M401" s="14"/>
      <c r="N401" s="14"/>
      <c r="R401" s="246"/>
      <c r="S401" s="216"/>
      <c r="V401" s="197"/>
    </row>
    <row r="402" spans="1:29" ht="18" hidden="1" customHeight="1">
      <c r="A402" s="96"/>
      <c r="B402" s="14"/>
      <c r="G402" s="14"/>
      <c r="H402" s="14"/>
      <c r="I402" s="14"/>
      <c r="J402" s="14"/>
      <c r="K402" s="14"/>
      <c r="L402" s="14"/>
      <c r="M402" s="14"/>
      <c r="N402" s="14"/>
      <c r="R402" s="246"/>
      <c r="S402" s="216"/>
      <c r="V402" s="197"/>
    </row>
    <row r="403" spans="1:29" ht="18" hidden="1" customHeight="1">
      <c r="A403" s="206"/>
      <c r="B403" s="207"/>
      <c r="C403" s="207"/>
      <c r="D403" s="207"/>
      <c r="E403" s="207"/>
      <c r="F403" s="207"/>
      <c r="G403" s="207"/>
      <c r="H403" s="207"/>
      <c r="I403" s="207"/>
      <c r="J403" s="207"/>
      <c r="K403" s="207"/>
      <c r="L403" s="207"/>
      <c r="M403" s="207"/>
      <c r="N403" s="207"/>
      <c r="O403" s="207"/>
      <c r="P403" s="207"/>
      <c r="Q403" s="236"/>
      <c r="R403" s="194"/>
      <c r="S403" s="237"/>
      <c r="T403" s="207"/>
      <c r="U403" s="207"/>
      <c r="V403" s="140" t="s">
        <v>563</v>
      </c>
    </row>
    <row r="404" spans="1:29" ht="18" hidden="1" customHeight="1">
      <c r="A404" s="238"/>
      <c r="B404" s="239"/>
      <c r="C404" s="239"/>
      <c r="D404" s="239"/>
      <c r="E404" s="239"/>
      <c r="F404" s="239"/>
      <c r="G404" s="239"/>
      <c r="H404" s="239"/>
      <c r="I404" s="239"/>
      <c r="J404" s="239"/>
      <c r="K404" s="239"/>
      <c r="L404" s="239"/>
      <c r="M404" s="239"/>
      <c r="N404" s="239"/>
      <c r="O404" s="239"/>
      <c r="P404" s="239"/>
      <c r="Q404" s="239"/>
      <c r="R404" s="239"/>
      <c r="S404" s="239"/>
      <c r="T404" s="239"/>
      <c r="U404" s="239"/>
      <c r="V404" s="240"/>
    </row>
    <row r="405" spans="1:29" ht="18" hidden="1" customHeight="1">
      <c r="A405" s="196"/>
      <c r="B405" s="650" t="str">
        <f>B322</f>
        <v>CT1L1</v>
      </c>
      <c r="C405" s="651"/>
      <c r="D405" s="663" t="str">
        <f>D322</f>
        <v>Core3</v>
      </c>
      <c r="E405" s="664"/>
      <c r="F405" s="198" t="s">
        <v>647</v>
      </c>
      <c r="H405" s="639" t="str">
        <f>H322</f>
        <v>(Transformer Differential)</v>
      </c>
      <c r="I405" s="639"/>
      <c r="J405" s="639"/>
      <c r="K405" s="639"/>
      <c r="L405" s="639"/>
      <c r="M405" s="639"/>
      <c r="P405" s="198"/>
      <c r="S405" s="199" t="s">
        <v>398</v>
      </c>
      <c r="T405" s="1125" t="str">
        <f>T322</f>
        <v>7UT85</v>
      </c>
      <c r="U405" s="1126"/>
      <c r="V405" s="197"/>
    </row>
    <row r="406" spans="1:29" ht="18" hidden="1" customHeight="1">
      <c r="A406" s="196"/>
      <c r="B406" s="660" t="str">
        <f>B323</f>
        <v>CT1L2</v>
      </c>
      <c r="C406" s="660"/>
      <c r="D406" s="665"/>
      <c r="E406" s="666"/>
      <c r="F406" s="267"/>
      <c r="T406" s="1125">
        <f>T323</f>
        <v>0</v>
      </c>
      <c r="U406" s="1126"/>
      <c r="V406" s="197"/>
    </row>
    <row r="407" spans="1:29" ht="18" hidden="1" customHeight="1">
      <c r="A407" s="196"/>
      <c r="H407" s="661" t="s">
        <v>401</v>
      </c>
      <c r="I407" s="661"/>
      <c r="J407" s="662" t="s">
        <v>402</v>
      </c>
      <c r="K407" s="662"/>
      <c r="L407" s="661" t="s">
        <v>403</v>
      </c>
      <c r="M407" s="661"/>
      <c r="T407" s="1125">
        <f>T324</f>
        <v>0</v>
      </c>
      <c r="U407" s="1126"/>
      <c r="V407" s="197"/>
    </row>
    <row r="408" spans="1:29" ht="18" hidden="1" customHeight="1">
      <c r="A408" s="196"/>
      <c r="B408" s="47" t="s">
        <v>404</v>
      </c>
      <c r="H408" s="650">
        <f>H325</f>
        <v>5000</v>
      </c>
      <c r="I408" s="651"/>
      <c r="J408" s="652">
        <f>J325</f>
        <v>4000</v>
      </c>
      <c r="K408" s="653"/>
      <c r="L408" s="650">
        <f>L325</f>
        <v>3000</v>
      </c>
      <c r="M408" s="651"/>
      <c r="N408" s="102" t="s">
        <v>353</v>
      </c>
      <c r="O408" s="268">
        <f>O325</f>
        <v>1</v>
      </c>
      <c r="P408" s="27" t="s">
        <v>9</v>
      </c>
      <c r="V408" s="197"/>
    </row>
    <row r="409" spans="1:29" ht="18" hidden="1" customHeight="1">
      <c r="A409" s="196"/>
      <c r="B409" s="47" t="s">
        <v>405</v>
      </c>
      <c r="H409" s="14"/>
      <c r="I409" s="14"/>
      <c r="J409" s="650" t="str">
        <f>H326</f>
        <v>PX</v>
      </c>
      <c r="K409" s="707"/>
      <c r="L409" s="14"/>
      <c r="M409" s="14"/>
      <c r="V409" s="197"/>
    </row>
    <row r="410" spans="1:29" ht="18" hidden="1" customHeight="1">
      <c r="A410" s="196"/>
      <c r="B410" s="47" t="s">
        <v>407</v>
      </c>
      <c r="I410" s="120" t="s">
        <v>508</v>
      </c>
      <c r="J410" s="656">
        <v>15</v>
      </c>
      <c r="K410" s="657"/>
      <c r="L410" s="204" t="s">
        <v>344</v>
      </c>
      <c r="V410" s="197"/>
    </row>
    <row r="411" spans="1:29" ht="18" hidden="1" customHeight="1">
      <c r="A411" s="196"/>
      <c r="B411" s="47" t="s">
        <v>409</v>
      </c>
      <c r="I411" s="120" t="s">
        <v>509</v>
      </c>
      <c r="J411" s="656">
        <v>800</v>
      </c>
      <c r="K411" s="657"/>
      <c r="L411" s="14" t="s">
        <v>316</v>
      </c>
      <c r="V411" s="197"/>
      <c r="W411" s="30" t="s">
        <v>411</v>
      </c>
      <c r="AB411" s="996">
        <f>D466</f>
        <v>66.78637496072102</v>
      </c>
      <c r="AC411" s="997"/>
    </row>
    <row r="412" spans="1:29" ht="18" hidden="1" customHeight="1">
      <c r="A412" s="196"/>
      <c r="B412" s="14" t="s">
        <v>412</v>
      </c>
      <c r="I412" s="120" t="s">
        <v>413</v>
      </c>
      <c r="J412" s="656">
        <v>40</v>
      </c>
      <c r="K412" s="657"/>
      <c r="L412" s="30" t="s">
        <v>414</v>
      </c>
      <c r="V412" s="197"/>
    </row>
    <row r="413" spans="1:29" ht="18" hidden="1" customHeight="1">
      <c r="A413" s="96"/>
      <c r="V413" s="197"/>
    </row>
    <row r="414" spans="1:29" ht="18" hidden="1" customHeight="1">
      <c r="A414" s="205" t="s">
        <v>415</v>
      </c>
      <c r="V414" s="197"/>
    </row>
    <row r="415" spans="1:29" ht="18" hidden="1" customHeight="1">
      <c r="A415" s="196"/>
      <c r="V415" s="197"/>
    </row>
    <row r="416" spans="1:29" ht="18" hidden="1" customHeight="1">
      <c r="A416" s="196"/>
      <c r="B416" s="206" t="s">
        <v>416</v>
      </c>
      <c r="C416" s="207"/>
      <c r="D416" s="207" t="str">
        <f>T405</f>
        <v>7UT85</v>
      </c>
      <c r="E416" s="208"/>
      <c r="F416" s="208"/>
      <c r="G416" s="208"/>
      <c r="H416" s="194" t="s">
        <v>417</v>
      </c>
      <c r="I416" s="195" t="s">
        <v>138</v>
      </c>
      <c r="J416" s="897">
        <f>J333</f>
        <v>0.1</v>
      </c>
      <c r="K416" s="649"/>
      <c r="L416" s="3" t="s">
        <v>168</v>
      </c>
      <c r="V416" s="197"/>
    </row>
    <row r="417" spans="1:22" ht="18" hidden="1" customHeight="1">
      <c r="A417" s="196"/>
      <c r="B417" s="196" t="s">
        <v>416</v>
      </c>
      <c r="D417" s="30">
        <f>T406</f>
        <v>0</v>
      </c>
      <c r="H417" s="27"/>
      <c r="I417" s="189" t="s">
        <v>138</v>
      </c>
      <c r="J417" s="897">
        <f>J334</f>
        <v>0</v>
      </c>
      <c r="K417" s="649"/>
      <c r="L417" s="210" t="s">
        <v>168</v>
      </c>
      <c r="V417" s="197"/>
    </row>
    <row r="418" spans="1:22" ht="18" hidden="1" customHeight="1">
      <c r="A418" s="196"/>
      <c r="B418" s="196" t="s">
        <v>416</v>
      </c>
      <c r="D418" s="30">
        <f>T407</f>
        <v>0</v>
      </c>
      <c r="E418" s="14"/>
      <c r="G418" s="211"/>
      <c r="H418" s="27"/>
      <c r="I418" s="189" t="s">
        <v>138</v>
      </c>
      <c r="J418" s="897">
        <f>J335</f>
        <v>0</v>
      </c>
      <c r="K418" s="649"/>
      <c r="L418" s="214" t="s">
        <v>168</v>
      </c>
      <c r="V418" s="197"/>
    </row>
    <row r="419" spans="1:22" ht="18" hidden="1" customHeight="1">
      <c r="A419" s="196"/>
      <c r="B419" s="196" t="s">
        <v>423</v>
      </c>
      <c r="H419" s="27" t="s">
        <v>610</v>
      </c>
      <c r="I419" s="189" t="s">
        <v>138</v>
      </c>
      <c r="J419" s="897">
        <f>J336</f>
        <v>1.44186744</v>
      </c>
      <c r="K419" s="649"/>
      <c r="L419" s="215" t="s">
        <v>168</v>
      </c>
      <c r="V419" s="197"/>
    </row>
    <row r="420" spans="1:22" ht="18" hidden="1" customHeight="1">
      <c r="A420" s="196"/>
      <c r="B420" s="217" t="s">
        <v>424</v>
      </c>
      <c r="C420" s="218"/>
      <c r="D420" s="218"/>
      <c r="E420" s="218"/>
      <c r="F420" s="219"/>
      <c r="G420" s="219"/>
      <c r="H420" s="202" t="s">
        <v>420</v>
      </c>
      <c r="I420" s="220" t="s">
        <v>138</v>
      </c>
      <c r="J420" s="897">
        <f>J417+J419</f>
        <v>1.44186744</v>
      </c>
      <c r="K420" s="649"/>
      <c r="L420" s="222" t="s">
        <v>168</v>
      </c>
      <c r="V420" s="197"/>
    </row>
    <row r="421" spans="1:22" ht="18" hidden="1" customHeight="1">
      <c r="A421" s="196"/>
      <c r="B421" s="47"/>
      <c r="C421" s="47"/>
      <c r="D421" s="47"/>
      <c r="E421" s="47"/>
      <c r="H421" s="27"/>
      <c r="I421" s="28"/>
      <c r="J421" s="211"/>
      <c r="L421" s="47"/>
      <c r="O421" s="27"/>
      <c r="P421" s="223"/>
      <c r="Q421" s="223"/>
      <c r="R421" s="204"/>
      <c r="V421" s="197"/>
    </row>
    <row r="422" spans="1:22" ht="18" hidden="1" customHeight="1">
      <c r="A422" s="196"/>
      <c r="B422" s="209" t="s">
        <v>659</v>
      </c>
      <c r="L422" s="47"/>
      <c r="M422" s="209" t="s">
        <v>418</v>
      </c>
      <c r="V422" s="197"/>
    </row>
    <row r="423" spans="1:22" s="14" customFormat="1" ht="18" hidden="1" customHeight="1">
      <c r="A423" s="196"/>
      <c r="B423" s="27" t="s">
        <v>660</v>
      </c>
      <c r="C423" s="27" t="s">
        <v>138</v>
      </c>
      <c r="D423" s="30" t="s">
        <v>417</v>
      </c>
      <c r="E423" s="283" t="s">
        <v>421</v>
      </c>
      <c r="F423" s="27" t="s">
        <v>157</v>
      </c>
      <c r="G423" s="28" t="s">
        <v>326</v>
      </c>
      <c r="H423" s="230" t="s">
        <v>157</v>
      </c>
      <c r="I423" s="30" t="s">
        <v>361</v>
      </c>
      <c r="J423" s="211"/>
      <c r="K423" s="30"/>
      <c r="L423" s="47"/>
      <c r="M423" s="30" t="s">
        <v>419</v>
      </c>
      <c r="N423" s="27" t="s">
        <v>138</v>
      </c>
      <c r="O423" s="30" t="s">
        <v>420</v>
      </c>
      <c r="P423" s="203" t="s">
        <v>421</v>
      </c>
      <c r="Q423" s="256" t="s">
        <v>422</v>
      </c>
      <c r="R423" s="27" t="s">
        <v>326</v>
      </c>
      <c r="S423" s="30" t="s">
        <v>422</v>
      </c>
      <c r="T423" s="30" t="s">
        <v>361</v>
      </c>
      <c r="U423" s="30"/>
      <c r="V423" s="197"/>
    </row>
    <row r="424" spans="1:22" s="14" customFormat="1" ht="18" hidden="1" customHeight="1">
      <c r="A424" s="196"/>
      <c r="B424" s="47"/>
      <c r="C424" s="27" t="s">
        <v>138</v>
      </c>
      <c r="D424" s="216">
        <f>J416</f>
        <v>0.1</v>
      </c>
      <c r="E424" s="203" t="s">
        <v>421</v>
      </c>
      <c r="F424" s="27">
        <f>F341</f>
        <v>1</v>
      </c>
      <c r="G424" s="27" t="s">
        <v>326</v>
      </c>
      <c r="H424" s="27">
        <f>H341</f>
        <v>1</v>
      </c>
      <c r="I424" s="30" t="s">
        <v>361</v>
      </c>
      <c r="J424" s="211"/>
      <c r="K424" s="30"/>
      <c r="L424" s="47"/>
      <c r="M424" s="30"/>
      <c r="N424" s="27" t="s">
        <v>138</v>
      </c>
      <c r="O424" s="216">
        <f>J420</f>
        <v>1.44186744</v>
      </c>
      <c r="P424" s="203" t="s">
        <v>421</v>
      </c>
      <c r="Q424" s="27">
        <f>O408</f>
        <v>1</v>
      </c>
      <c r="R424" s="27" t="s">
        <v>326</v>
      </c>
      <c r="S424" s="27">
        <f>O408</f>
        <v>1</v>
      </c>
      <c r="T424" s="30" t="s">
        <v>361</v>
      </c>
      <c r="U424" s="30"/>
      <c r="V424" s="197"/>
    </row>
    <row r="425" spans="1:22" s="14" customFormat="1" ht="18" hidden="1" customHeight="1">
      <c r="A425" s="196"/>
      <c r="B425" s="47"/>
      <c r="C425" s="27" t="s">
        <v>138</v>
      </c>
      <c r="D425" s="637">
        <f>D424/(F424*H424)</f>
        <v>0.1</v>
      </c>
      <c r="E425" s="637"/>
      <c r="F425" s="204" t="s">
        <v>344</v>
      </c>
      <c r="G425" s="30"/>
      <c r="H425" s="30"/>
      <c r="I425" s="30"/>
      <c r="J425" s="211"/>
      <c r="K425" s="30"/>
      <c r="L425" s="47"/>
      <c r="M425" s="30"/>
      <c r="N425" s="27" t="s">
        <v>138</v>
      </c>
      <c r="O425" s="637">
        <f>O424/(Q424*S424)</f>
        <v>1.44186744</v>
      </c>
      <c r="P425" s="637"/>
      <c r="Q425" s="204" t="s">
        <v>344</v>
      </c>
      <c r="R425" s="30"/>
      <c r="S425" s="30"/>
      <c r="T425" s="30"/>
      <c r="U425" s="30"/>
      <c r="V425" s="197"/>
    </row>
    <row r="426" spans="1:22" s="14" customFormat="1" ht="18" hidden="1" customHeight="1">
      <c r="A426" s="196"/>
      <c r="B426" s="47"/>
      <c r="C426" s="47"/>
      <c r="D426" s="47"/>
      <c r="E426" s="47"/>
      <c r="F426" s="30"/>
      <c r="G426" s="30"/>
      <c r="H426" s="27"/>
      <c r="I426" s="28"/>
      <c r="J426" s="211"/>
      <c r="K426" s="30"/>
      <c r="L426" s="47"/>
      <c r="M426" s="30"/>
      <c r="N426" s="30"/>
      <c r="O426" s="27"/>
      <c r="P426" s="223"/>
      <c r="Q426" s="223"/>
      <c r="R426" s="204"/>
      <c r="S426" s="30"/>
      <c r="T426" s="30"/>
      <c r="U426" s="30"/>
      <c r="V426" s="197"/>
    </row>
    <row r="427" spans="1:22" s="14" customFormat="1" ht="18" hidden="1" customHeight="1">
      <c r="A427" s="196"/>
      <c r="B427" s="47" t="s">
        <v>679</v>
      </c>
      <c r="C427" s="47"/>
      <c r="D427" s="47"/>
      <c r="E427" s="47"/>
      <c r="F427" s="30"/>
      <c r="G427" s="30"/>
      <c r="H427" s="27"/>
      <c r="I427" s="28"/>
      <c r="J427" s="211"/>
      <c r="K427" s="30"/>
      <c r="L427" s="47" t="s">
        <v>138</v>
      </c>
      <c r="M427" s="216">
        <f>D425</f>
        <v>0.1</v>
      </c>
      <c r="N427" s="27" t="s">
        <v>358</v>
      </c>
      <c r="O427" s="223">
        <f>O425</f>
        <v>1.44186744</v>
      </c>
      <c r="P427" s="223" t="s">
        <v>138</v>
      </c>
      <c r="Q427" s="223">
        <f>M427+O427</f>
        <v>1.5418674400000001</v>
      </c>
      <c r="R427" s="204" t="s">
        <v>344</v>
      </c>
      <c r="S427" s="30"/>
      <c r="T427" s="30"/>
      <c r="U427" s="30"/>
      <c r="V427" s="197"/>
    </row>
    <row r="428" spans="1:22" s="14" customFormat="1" ht="18" hidden="1" customHeight="1">
      <c r="A428" s="205" t="s">
        <v>611</v>
      </c>
      <c r="B428" s="5"/>
      <c r="C428" s="5"/>
      <c r="D428" s="5"/>
      <c r="E428" s="5"/>
      <c r="F428" s="5"/>
      <c r="G428" s="5"/>
      <c r="H428" s="224"/>
      <c r="I428" s="224"/>
      <c r="J428" s="5"/>
      <c r="K428" s="5"/>
      <c r="L428" s="5"/>
      <c r="M428" s="5"/>
      <c r="N428" s="5"/>
      <c r="O428" s="5"/>
      <c r="P428" s="103"/>
      <c r="Q428" s="224"/>
      <c r="R428" s="225"/>
      <c r="S428" s="226"/>
      <c r="T428" s="18"/>
      <c r="U428" s="18"/>
      <c r="V428" s="97"/>
    </row>
    <row r="429" spans="1:22" s="14" customFormat="1" ht="18" hidden="1" customHeight="1">
      <c r="A429" s="96"/>
      <c r="B429" s="47" t="s">
        <v>612</v>
      </c>
      <c r="C429" s="5"/>
      <c r="D429" s="5"/>
      <c r="E429" s="5"/>
      <c r="I429" s="227"/>
      <c r="M429" s="5"/>
      <c r="N429" s="103" t="s">
        <v>138</v>
      </c>
      <c r="O429" s="1125">
        <f>O346</f>
        <v>100</v>
      </c>
      <c r="P429" s="651"/>
      <c r="Q429" s="14" t="s">
        <v>613</v>
      </c>
      <c r="S429" s="226"/>
      <c r="T429" s="18"/>
      <c r="U429" s="18"/>
      <c r="V429" s="97"/>
    </row>
    <row r="430" spans="1:22" s="14" customFormat="1" ht="18" hidden="1" customHeight="1">
      <c r="A430" s="96"/>
      <c r="B430" s="47" t="s">
        <v>614</v>
      </c>
      <c r="C430" s="5"/>
      <c r="D430" s="5"/>
      <c r="E430" s="5"/>
      <c r="I430" s="227"/>
      <c r="M430" s="5"/>
      <c r="N430" s="103" t="s">
        <v>138</v>
      </c>
      <c r="O430" s="1125">
        <f>O347</f>
        <v>25</v>
      </c>
      <c r="P430" s="651"/>
      <c r="Q430" s="14" t="s">
        <v>615</v>
      </c>
      <c r="S430" s="226"/>
      <c r="T430" s="18"/>
      <c r="U430" s="18"/>
      <c r="V430" s="97"/>
    </row>
    <row r="431" spans="1:22" s="14" customFormat="1" ht="18" hidden="1" customHeight="1">
      <c r="A431" s="96"/>
      <c r="B431" s="47" t="s">
        <v>616</v>
      </c>
      <c r="C431" s="5"/>
      <c r="D431" s="5"/>
      <c r="E431" s="5"/>
      <c r="M431" s="120" t="s">
        <v>617</v>
      </c>
      <c r="N431" s="103" t="s">
        <v>618</v>
      </c>
      <c r="O431" s="1125">
        <f>O348</f>
        <v>132</v>
      </c>
      <c r="P431" s="651"/>
      <c r="Q431" s="14" t="s">
        <v>174</v>
      </c>
      <c r="S431" s="226"/>
      <c r="T431" s="18"/>
      <c r="U431" s="18"/>
      <c r="V431" s="97"/>
    </row>
    <row r="432" spans="1:22" s="14" customFormat="1" ht="18" hidden="1" customHeight="1">
      <c r="A432" s="228"/>
      <c r="B432" s="224"/>
      <c r="C432" s="224"/>
      <c r="D432" s="224"/>
      <c r="E432" s="224"/>
      <c r="T432" s="18"/>
      <c r="U432" s="18"/>
      <c r="V432" s="97"/>
    </row>
    <row r="433" spans="1:22" s="14" customFormat="1" ht="18" hidden="1" customHeight="1">
      <c r="A433" s="284" t="s">
        <v>619</v>
      </c>
      <c r="B433" s="225"/>
      <c r="C433" s="225"/>
      <c r="D433" s="225"/>
      <c r="E433" s="225"/>
      <c r="H433" s="120" t="s">
        <v>620</v>
      </c>
      <c r="I433" s="28" t="s">
        <v>138</v>
      </c>
      <c r="J433" s="638" t="s">
        <v>621</v>
      </c>
      <c r="K433" s="638"/>
      <c r="L433" s="28" t="s">
        <v>326</v>
      </c>
      <c r="M433" s="229">
        <v>1000</v>
      </c>
      <c r="N433" s="102" t="s">
        <v>353</v>
      </c>
      <c r="O433" s="28" t="s">
        <v>622</v>
      </c>
      <c r="P433" s="28" t="s">
        <v>326</v>
      </c>
      <c r="Q433" s="28" t="s">
        <v>617</v>
      </c>
      <c r="R433" s="47" t="s">
        <v>361</v>
      </c>
      <c r="T433" s="18"/>
      <c r="U433" s="18"/>
      <c r="V433" s="97"/>
    </row>
    <row r="434" spans="1:22" ht="18" hidden="1" customHeight="1">
      <c r="A434" s="228"/>
      <c r="B434" s="225"/>
      <c r="C434" s="225"/>
      <c r="D434" s="225"/>
      <c r="E434" s="225"/>
      <c r="F434" s="224"/>
      <c r="G434" s="224"/>
      <c r="H434" s="28"/>
      <c r="I434" s="28" t="s">
        <v>138</v>
      </c>
      <c r="J434" s="638">
        <f>O429</f>
        <v>100</v>
      </c>
      <c r="K434" s="638"/>
      <c r="L434" s="28" t="s">
        <v>326</v>
      </c>
      <c r="M434" s="229">
        <v>1000</v>
      </c>
      <c r="N434" s="102" t="s">
        <v>353</v>
      </c>
      <c r="O434" s="28" t="s">
        <v>622</v>
      </c>
      <c r="P434" s="28" t="s">
        <v>326</v>
      </c>
      <c r="Q434" s="28">
        <f>O431</f>
        <v>132</v>
      </c>
      <c r="R434" s="47" t="s">
        <v>361</v>
      </c>
      <c r="S434" s="14"/>
      <c r="T434" s="18"/>
      <c r="U434" s="18"/>
      <c r="V434" s="97"/>
    </row>
    <row r="435" spans="1:22" ht="18" hidden="1" customHeight="1">
      <c r="A435" s="228"/>
      <c r="B435" s="224"/>
      <c r="C435" s="224"/>
      <c r="D435" s="224"/>
      <c r="E435" s="224"/>
      <c r="F435" s="224"/>
      <c r="G435" s="224"/>
      <c r="H435" s="14"/>
      <c r="I435" s="28" t="s">
        <v>138</v>
      </c>
      <c r="J435" s="641">
        <f>(O429*1000)/(SQRT(3)*O431)</f>
        <v>437.38656756789834</v>
      </c>
      <c r="K435" s="641"/>
      <c r="L435" s="14" t="s">
        <v>9</v>
      </c>
      <c r="M435" s="120"/>
      <c r="N435" s="120"/>
      <c r="O435" s="120"/>
      <c r="P435" s="14"/>
      <c r="Q435" s="14"/>
      <c r="R435" s="14"/>
      <c r="S435" s="14"/>
      <c r="T435" s="18"/>
      <c r="U435" s="18"/>
      <c r="V435" s="97"/>
    </row>
    <row r="436" spans="1:22" ht="18" hidden="1" customHeight="1">
      <c r="A436" s="228"/>
      <c r="B436" s="224"/>
      <c r="C436" s="224"/>
      <c r="D436" s="224"/>
      <c r="E436" s="224"/>
      <c r="F436" s="14"/>
      <c r="G436" s="224"/>
      <c r="H436" s="28"/>
      <c r="I436" s="103"/>
      <c r="J436" s="28"/>
      <c r="K436" s="14"/>
      <c r="L436" s="14"/>
      <c r="M436" s="224"/>
      <c r="N436" s="231"/>
      <c r="O436" s="224"/>
      <c r="P436" s="14"/>
      <c r="Q436" s="14"/>
      <c r="R436" s="14"/>
      <c r="S436" s="14"/>
      <c r="T436" s="18"/>
      <c r="U436" s="18"/>
      <c r="V436" s="97"/>
    </row>
    <row r="437" spans="1:22" s="14" customFormat="1" ht="18" hidden="1" customHeight="1">
      <c r="A437" s="159" t="s">
        <v>640</v>
      </c>
      <c r="B437" s="5"/>
      <c r="C437" s="5"/>
      <c r="D437" s="5"/>
      <c r="E437" s="5"/>
      <c r="F437" s="224"/>
      <c r="G437" s="224"/>
      <c r="H437" s="5"/>
      <c r="I437" s="5"/>
      <c r="J437" s="5"/>
      <c r="K437" s="5"/>
      <c r="L437" s="103"/>
      <c r="M437" s="103"/>
      <c r="N437" s="103"/>
      <c r="O437" s="103"/>
      <c r="P437" s="224"/>
      <c r="Q437" s="225"/>
      <c r="S437" s="232"/>
      <c r="T437" s="18"/>
      <c r="U437" s="18"/>
      <c r="V437" s="97"/>
    </row>
    <row r="438" spans="1:22" s="14" customFormat="1" ht="18" hidden="1" customHeight="1">
      <c r="A438" s="159"/>
      <c r="B438" s="5"/>
      <c r="C438" s="5"/>
      <c r="D438" s="5"/>
      <c r="E438" s="5"/>
      <c r="F438" s="224"/>
      <c r="G438" s="224"/>
      <c r="H438" s="5"/>
      <c r="I438" s="5"/>
      <c r="J438" s="5"/>
      <c r="K438" s="5"/>
      <c r="L438" s="103"/>
      <c r="M438" s="103"/>
      <c r="N438" s="103"/>
      <c r="O438" s="103"/>
      <c r="P438" s="224"/>
      <c r="Q438" s="225"/>
      <c r="S438" s="226"/>
      <c r="T438" s="18"/>
      <c r="U438" s="18"/>
      <c r="V438" s="97"/>
    </row>
    <row r="439" spans="1:22" ht="18" hidden="1" customHeight="1">
      <c r="A439" s="96" t="s">
        <v>623</v>
      </c>
      <c r="B439" s="14"/>
      <c r="C439" s="14"/>
      <c r="D439" s="14"/>
      <c r="E439" s="14"/>
      <c r="M439" s="120" t="s">
        <v>624</v>
      </c>
      <c r="N439" s="28" t="s">
        <v>138</v>
      </c>
      <c r="O439" s="638" t="s">
        <v>620</v>
      </c>
      <c r="P439" s="920"/>
      <c r="Q439" s="233" t="s">
        <v>641</v>
      </c>
      <c r="R439" s="233">
        <v>16</v>
      </c>
      <c r="S439" s="226"/>
      <c r="V439" s="197"/>
    </row>
    <row r="440" spans="1:22" ht="18" hidden="1" customHeight="1">
      <c r="A440" s="96"/>
      <c r="B440" s="5"/>
      <c r="C440" s="5"/>
      <c r="D440" s="5"/>
      <c r="E440" s="5"/>
      <c r="M440" s="262"/>
      <c r="N440" s="28" t="s">
        <v>138</v>
      </c>
      <c r="O440" s="638">
        <f>+J435</f>
        <v>437.38656756789834</v>
      </c>
      <c r="P440" s="920"/>
      <c r="Q440" s="233" t="s">
        <v>641</v>
      </c>
      <c r="R440" s="233">
        <v>16</v>
      </c>
      <c r="S440" s="226"/>
      <c r="V440" s="197"/>
    </row>
    <row r="441" spans="1:22" s="291" customFormat="1" ht="18" hidden="1" customHeight="1">
      <c r="A441" s="96"/>
      <c r="B441" s="5"/>
      <c r="C441" s="5"/>
      <c r="D441" s="5"/>
      <c r="E441" s="5"/>
      <c r="F441" s="30"/>
      <c r="G441" s="30"/>
      <c r="H441" s="30"/>
      <c r="I441" s="30"/>
      <c r="J441" s="30"/>
      <c r="K441" s="30"/>
      <c r="L441" s="30"/>
      <c r="M441" s="120" t="s">
        <v>624</v>
      </c>
      <c r="N441" s="28" t="s">
        <v>138</v>
      </c>
      <c r="O441" s="638">
        <f>O440*R440</f>
        <v>6998.1850810863734</v>
      </c>
      <c r="P441" s="920"/>
      <c r="Q441" s="253" t="s">
        <v>9</v>
      </c>
      <c r="R441" s="14"/>
      <c r="S441" s="226"/>
      <c r="T441" s="30"/>
      <c r="U441" s="30"/>
      <c r="V441" s="197"/>
    </row>
    <row r="442" spans="1:22" s="291" customFormat="1" ht="18" hidden="1" customHeight="1">
      <c r="A442" s="96"/>
      <c r="B442" s="5"/>
      <c r="C442" s="5"/>
      <c r="D442" s="5"/>
      <c r="E442" s="5"/>
      <c r="F442" s="30"/>
      <c r="G442" s="30"/>
      <c r="H442" s="30"/>
      <c r="I442" s="30"/>
      <c r="J442" s="30"/>
      <c r="K442" s="30"/>
      <c r="L442" s="30"/>
      <c r="M442" s="120"/>
      <c r="N442" s="28"/>
      <c r="O442" s="28"/>
      <c r="P442" s="14"/>
      <c r="Q442" s="253"/>
      <c r="R442" s="14"/>
      <c r="S442" s="226"/>
      <c r="T442" s="30"/>
      <c r="U442" s="30"/>
      <c r="V442" s="197"/>
    </row>
    <row r="443" spans="1:22" s="291" customFormat="1" ht="18" hidden="1" customHeight="1">
      <c r="A443" s="96"/>
      <c r="B443" s="5"/>
      <c r="C443" s="5"/>
      <c r="D443" s="5"/>
      <c r="E443" s="5"/>
      <c r="F443" s="30"/>
      <c r="G443" s="30"/>
      <c r="H443" s="30"/>
      <c r="I443" s="30"/>
      <c r="J443" s="30"/>
      <c r="K443" s="30"/>
      <c r="L443" s="30"/>
      <c r="M443" s="120"/>
      <c r="N443" s="28"/>
      <c r="O443" s="28"/>
      <c r="P443" s="14"/>
      <c r="Q443" s="253"/>
      <c r="R443" s="14"/>
      <c r="S443" s="226"/>
      <c r="T443" s="30"/>
      <c r="U443" s="30"/>
      <c r="V443" s="197"/>
    </row>
    <row r="444" spans="1:22" s="291" customFormat="1" ht="18" hidden="1" customHeight="1">
      <c r="A444" s="96"/>
      <c r="B444" s="5"/>
      <c r="C444" s="5"/>
      <c r="D444" s="5"/>
      <c r="E444" s="5"/>
      <c r="F444" s="30"/>
      <c r="G444" s="30"/>
      <c r="H444" s="30"/>
      <c r="I444" s="30"/>
      <c r="J444" s="30"/>
      <c r="K444" s="30"/>
      <c r="L444" s="30"/>
      <c r="M444" s="120"/>
      <c r="N444" s="28"/>
      <c r="O444" s="28"/>
      <c r="P444" s="14"/>
      <c r="Q444" s="253"/>
      <c r="R444" s="14"/>
      <c r="S444" s="226"/>
      <c r="T444" s="30"/>
      <c r="U444" s="30"/>
      <c r="V444" s="197"/>
    </row>
    <row r="445" spans="1:22" s="291" customFormat="1" ht="18" hidden="1" customHeight="1">
      <c r="A445" s="96"/>
      <c r="B445" s="5"/>
      <c r="C445" s="5"/>
      <c r="D445" s="5"/>
      <c r="E445" s="5"/>
      <c r="F445" s="30"/>
      <c r="G445" s="30"/>
      <c r="H445" s="30"/>
      <c r="I445" s="30"/>
      <c r="J445" s="30"/>
      <c r="K445" s="30"/>
      <c r="L445" s="30"/>
      <c r="M445" s="120"/>
      <c r="N445" s="28"/>
      <c r="O445" s="28"/>
      <c r="P445" s="14"/>
      <c r="Q445" s="253"/>
      <c r="R445" s="14"/>
      <c r="S445" s="226"/>
      <c r="T445" s="30"/>
      <c r="U445" s="30"/>
      <c r="V445" s="197"/>
    </row>
    <row r="446" spans="1:22" s="291" customFormat="1" ht="18" hidden="1" customHeight="1">
      <c r="A446" s="96"/>
      <c r="B446" s="5"/>
      <c r="C446" s="5"/>
      <c r="D446" s="5"/>
      <c r="E446" s="5"/>
      <c r="F446" s="30"/>
      <c r="G446" s="30"/>
      <c r="H446" s="30"/>
      <c r="I446" s="30"/>
      <c r="J446" s="30"/>
      <c r="K446" s="30"/>
      <c r="L446" s="30"/>
      <c r="M446" s="120"/>
      <c r="N446" s="28"/>
      <c r="O446" s="28"/>
      <c r="P446" s="14"/>
      <c r="Q446" s="253"/>
      <c r="R446" s="14"/>
      <c r="S446" s="226"/>
      <c r="T446" s="30"/>
      <c r="U446" s="30"/>
      <c r="V446" s="197"/>
    </row>
    <row r="447" spans="1:22" s="291" customFormat="1" ht="18" hidden="1" customHeight="1">
      <c r="A447" s="206"/>
      <c r="B447" s="207"/>
      <c r="C447" s="207"/>
      <c r="D447" s="207"/>
      <c r="E447" s="207"/>
      <c r="F447" s="207"/>
      <c r="G447" s="207"/>
      <c r="H447" s="207"/>
      <c r="I447" s="207"/>
      <c r="J447" s="207"/>
      <c r="K447" s="207"/>
      <c r="L447" s="207"/>
      <c r="M447" s="207"/>
      <c r="N447" s="207"/>
      <c r="O447" s="207"/>
      <c r="P447" s="207"/>
      <c r="Q447" s="236"/>
      <c r="R447" s="194"/>
      <c r="S447" s="237"/>
      <c r="T447" s="207"/>
      <c r="U447" s="207"/>
      <c r="V447" s="140" t="s">
        <v>563</v>
      </c>
    </row>
    <row r="448" spans="1:22" ht="18" hidden="1" customHeight="1">
      <c r="A448" s="141"/>
      <c r="B448" s="285"/>
      <c r="C448" s="285"/>
      <c r="D448" s="285"/>
      <c r="E448" s="285"/>
      <c r="F448" s="285"/>
      <c r="G448" s="285"/>
      <c r="H448" s="285"/>
      <c r="I448" s="285"/>
      <c r="J448" s="285"/>
      <c r="K448" s="285"/>
      <c r="L448" s="285"/>
      <c r="M448" s="285"/>
      <c r="N448" s="285"/>
      <c r="O448" s="285"/>
      <c r="P448" s="285"/>
      <c r="Q448" s="286"/>
      <c r="R448" s="145"/>
      <c r="S448" s="287"/>
      <c r="T448" s="285"/>
      <c r="U448" s="285"/>
      <c r="V448" s="288"/>
    </row>
    <row r="449" spans="1:22" ht="18" hidden="1" customHeight="1">
      <c r="A449" s="96" t="s">
        <v>697</v>
      </c>
      <c r="V449" s="197"/>
    </row>
    <row r="450" spans="1:22" ht="18" hidden="1" customHeight="1">
      <c r="A450" s="196"/>
      <c r="V450" s="197"/>
    </row>
    <row r="451" spans="1:22" ht="18" hidden="1" customHeight="1">
      <c r="A451" s="289"/>
      <c r="B451" s="638" t="s">
        <v>484</v>
      </c>
      <c r="C451" s="1124" t="s">
        <v>663</v>
      </c>
      <c r="D451" s="291"/>
      <c r="E451" s="291"/>
      <c r="F451" s="291"/>
      <c r="G451" s="1008" t="s">
        <v>698</v>
      </c>
      <c r="H451" s="1156" t="s">
        <v>326</v>
      </c>
      <c r="I451" s="661" t="s">
        <v>699</v>
      </c>
      <c r="J451" s="1099"/>
      <c r="K451" s="1099"/>
      <c r="L451" s="1099"/>
      <c r="M451" s="1099"/>
      <c r="N451" s="638" t="s">
        <v>683</v>
      </c>
      <c r="O451" s="661" t="s">
        <v>431</v>
      </c>
      <c r="P451" s="638" t="s">
        <v>358</v>
      </c>
      <c r="Q451" s="661" t="s">
        <v>700</v>
      </c>
      <c r="R451" s="661" t="s">
        <v>685</v>
      </c>
      <c r="S451" s="661" t="s">
        <v>422</v>
      </c>
      <c r="T451" s="14"/>
      <c r="U451" s="958" t="s">
        <v>664</v>
      </c>
      <c r="V451" s="197"/>
    </row>
    <row r="452" spans="1:22" ht="18" hidden="1" customHeight="1">
      <c r="A452" s="289"/>
      <c r="B452" s="638"/>
      <c r="C452" s="638"/>
      <c r="D452" s="291"/>
      <c r="E452" s="291"/>
      <c r="F452" s="291"/>
      <c r="G452" s="1008"/>
      <c r="H452" s="638"/>
      <c r="I452" s="638">
        <v>1.3</v>
      </c>
      <c r="J452" s="638"/>
      <c r="K452" s="28" t="s">
        <v>326</v>
      </c>
      <c r="L452" s="638" t="s">
        <v>434</v>
      </c>
      <c r="M452" s="638"/>
      <c r="N452" s="638"/>
      <c r="O452" s="638"/>
      <c r="P452" s="638"/>
      <c r="Q452" s="638"/>
      <c r="R452" s="638"/>
      <c r="S452" s="638"/>
      <c r="T452" s="14"/>
      <c r="U452" s="638"/>
      <c r="V452" s="197"/>
    </row>
    <row r="453" spans="1:22" ht="18" hidden="1" customHeight="1">
      <c r="A453" s="196"/>
      <c r="V453" s="197"/>
    </row>
    <row r="454" spans="1:22" ht="18" hidden="1" customHeight="1">
      <c r="A454" s="196"/>
      <c r="B454" s="47" t="s">
        <v>665</v>
      </c>
      <c r="C454" s="14"/>
      <c r="D454" s="14"/>
      <c r="E454" s="14"/>
      <c r="F454" s="18"/>
      <c r="G454" s="18"/>
      <c r="H454" s="14"/>
      <c r="I454" s="120"/>
      <c r="J454" s="14"/>
      <c r="K454" s="14"/>
      <c r="M454" s="14"/>
      <c r="N454" s="14"/>
      <c r="P454" s="14" t="s">
        <v>434</v>
      </c>
      <c r="R454" s="246" t="s">
        <v>138</v>
      </c>
      <c r="S454" s="639">
        <f>J408</f>
        <v>4000</v>
      </c>
      <c r="T454" s="639"/>
      <c r="U454" s="30" t="s">
        <v>9</v>
      </c>
      <c r="V454" s="197"/>
    </row>
    <row r="455" spans="1:22" ht="18" hidden="1" customHeight="1">
      <c r="A455" s="196"/>
      <c r="B455" s="47" t="s">
        <v>666</v>
      </c>
      <c r="C455" s="14"/>
      <c r="D455" s="14"/>
      <c r="E455" s="14"/>
      <c r="F455" s="18"/>
      <c r="G455" s="18"/>
      <c r="H455" s="14"/>
      <c r="I455" s="120"/>
      <c r="J455" s="14"/>
      <c r="K455" s="14"/>
      <c r="M455" s="14"/>
      <c r="N455" s="14"/>
      <c r="P455" s="14" t="s">
        <v>431</v>
      </c>
      <c r="R455" s="246" t="s">
        <v>138</v>
      </c>
      <c r="S455" s="639">
        <f>J410</f>
        <v>15</v>
      </c>
      <c r="T455" s="639"/>
      <c r="U455" s="204" t="s">
        <v>344</v>
      </c>
      <c r="V455" s="197"/>
    </row>
    <row r="456" spans="1:22" ht="18" hidden="1" customHeight="1">
      <c r="A456" s="196"/>
      <c r="B456" s="47" t="s">
        <v>687</v>
      </c>
      <c r="C456" s="14"/>
      <c r="D456" s="14"/>
      <c r="E456" s="14"/>
      <c r="F456" s="18"/>
      <c r="G456" s="18"/>
      <c r="H456" s="14"/>
      <c r="I456" s="120"/>
      <c r="J456" s="14"/>
      <c r="K456" s="14"/>
      <c r="M456" s="14"/>
      <c r="N456" s="14"/>
      <c r="P456" s="14" t="s">
        <v>701</v>
      </c>
      <c r="R456" s="246" t="s">
        <v>138</v>
      </c>
      <c r="S456" s="637">
        <f>Q427</f>
        <v>1.5418674400000001</v>
      </c>
      <c r="T456" s="637"/>
      <c r="U456" s="204" t="s">
        <v>344</v>
      </c>
      <c r="V456" s="197"/>
    </row>
    <row r="457" spans="1:22" ht="18" hidden="1" customHeight="1">
      <c r="A457" s="196"/>
      <c r="B457" s="47" t="s">
        <v>702</v>
      </c>
      <c r="C457" s="14"/>
      <c r="D457" s="14"/>
      <c r="E457" s="14"/>
      <c r="F457" s="14"/>
      <c r="G457" s="14"/>
      <c r="H457" s="14"/>
      <c r="I457" s="120"/>
      <c r="J457" s="14"/>
      <c r="K457" s="14"/>
      <c r="M457" s="14"/>
      <c r="N457" s="14"/>
      <c r="P457" s="14" t="s">
        <v>422</v>
      </c>
      <c r="R457" s="246" t="s">
        <v>138</v>
      </c>
      <c r="S457" s="639">
        <f>O408</f>
        <v>1</v>
      </c>
      <c r="T457" s="639"/>
      <c r="U457" s="30" t="s">
        <v>9</v>
      </c>
      <c r="V457" s="197"/>
    </row>
    <row r="458" spans="1:22" ht="18" hidden="1" customHeight="1">
      <c r="A458" s="196"/>
      <c r="B458" s="47" t="s">
        <v>689</v>
      </c>
      <c r="C458" s="14"/>
      <c r="D458" s="14"/>
      <c r="E458" s="14"/>
      <c r="F458" s="14"/>
      <c r="G458" s="14"/>
      <c r="H458" s="14"/>
      <c r="I458" s="120"/>
      <c r="J458" s="14"/>
      <c r="K458" s="14"/>
      <c r="M458" s="14"/>
      <c r="N458" s="14"/>
      <c r="P458" s="120" t="s">
        <v>699</v>
      </c>
      <c r="R458" s="246" t="s">
        <v>138</v>
      </c>
      <c r="S458" s="639">
        <f>O441</f>
        <v>6998.1850810863734</v>
      </c>
      <c r="T458" s="639"/>
      <c r="U458" s="30" t="s">
        <v>9</v>
      </c>
      <c r="V458" s="197"/>
    </row>
    <row r="459" spans="1:22" s="291" customFormat="1" ht="18" hidden="1" customHeight="1">
      <c r="A459" s="196"/>
      <c r="B459" s="47" t="s">
        <v>703</v>
      </c>
      <c r="C459" s="14"/>
      <c r="D459" s="14"/>
      <c r="E459" s="14"/>
      <c r="F459" s="14"/>
      <c r="G459" s="14"/>
      <c r="H459" s="14"/>
      <c r="I459" s="120"/>
      <c r="J459" s="14"/>
      <c r="K459" s="14"/>
      <c r="L459" s="30"/>
      <c r="M459" s="14"/>
      <c r="N459" s="14"/>
      <c r="O459" s="30"/>
      <c r="P459" s="120" t="s">
        <v>691</v>
      </c>
      <c r="Q459" s="30"/>
      <c r="R459" s="246" t="s">
        <v>138</v>
      </c>
      <c r="S459" s="637">
        <f>J435</f>
        <v>437.38656756789834</v>
      </c>
      <c r="T459" s="639"/>
      <c r="U459" s="30" t="s">
        <v>9</v>
      </c>
      <c r="V459" s="197"/>
    </row>
    <row r="460" spans="1:22" s="291" customFormat="1" ht="18" hidden="1" customHeight="1">
      <c r="A460" s="196"/>
      <c r="B460" s="47" t="s">
        <v>670</v>
      </c>
      <c r="C460" s="14"/>
      <c r="D460" s="14"/>
      <c r="E460" s="14"/>
      <c r="F460" s="14"/>
      <c r="G460" s="14"/>
      <c r="H460" s="14"/>
      <c r="I460" s="120"/>
      <c r="J460" s="14"/>
      <c r="K460" s="14"/>
      <c r="L460" s="30"/>
      <c r="M460" s="14"/>
      <c r="N460" s="14"/>
      <c r="O460" s="30"/>
      <c r="P460" s="120" t="s">
        <v>671</v>
      </c>
      <c r="Q460" s="30"/>
      <c r="R460" s="246" t="s">
        <v>138</v>
      </c>
      <c r="S460" s="639">
        <f>S372</f>
        <v>1</v>
      </c>
      <c r="T460" s="639"/>
      <c r="U460" s="30" t="s">
        <v>9</v>
      </c>
      <c r="V460" s="197"/>
    </row>
    <row r="461" spans="1:22" ht="18" hidden="1" customHeight="1">
      <c r="A461" s="96"/>
      <c r="B461" s="14"/>
      <c r="C461" s="14"/>
      <c r="D461" s="247"/>
      <c r="E461" s="14"/>
      <c r="F461" s="28"/>
      <c r="G461" s="261"/>
      <c r="H461" s="28"/>
      <c r="I461" s="263"/>
      <c r="J461" s="14"/>
      <c r="K461" s="292"/>
      <c r="M461" s="47"/>
      <c r="N461" s="280"/>
      <c r="P461" s="293"/>
      <c r="R461" s="246"/>
      <c r="S461" s="1161"/>
      <c r="T461" s="985"/>
      <c r="V461" s="197"/>
    </row>
    <row r="462" spans="1:22" ht="18" hidden="1" customHeight="1">
      <c r="A462" s="284" t="s">
        <v>704</v>
      </c>
      <c r="B462" s="14"/>
      <c r="C462" s="14"/>
      <c r="D462" s="14"/>
      <c r="E462" s="14"/>
      <c r="F462" s="14"/>
      <c r="G462" s="14"/>
      <c r="H462" s="28">
        <v>3</v>
      </c>
      <c r="I462" s="47" t="s">
        <v>705</v>
      </c>
      <c r="J462" s="14"/>
      <c r="K462" s="14"/>
      <c r="M462" s="14" t="s">
        <v>348</v>
      </c>
      <c r="N462" s="14"/>
      <c r="P462" s="120"/>
      <c r="R462" s="246"/>
      <c r="S462" s="1162"/>
      <c r="T462" s="985"/>
      <c r="V462" s="197"/>
    </row>
    <row r="463" spans="1:22" ht="18" hidden="1" customHeight="1">
      <c r="A463" s="284"/>
      <c r="B463" s="14"/>
      <c r="C463" s="14"/>
      <c r="D463" s="14"/>
      <c r="E463" s="14"/>
      <c r="F463" s="14"/>
      <c r="G463" s="14"/>
      <c r="H463" s="28"/>
      <c r="I463" s="47"/>
      <c r="J463" s="14"/>
      <c r="K463" s="14"/>
      <c r="M463" s="14"/>
      <c r="N463" s="14"/>
      <c r="P463" s="120"/>
      <c r="R463" s="246"/>
      <c r="S463" s="294"/>
      <c r="V463" s="197"/>
    </row>
    <row r="464" spans="1:22" ht="18" hidden="1" customHeight="1">
      <c r="A464" s="289"/>
      <c r="B464" s="638" t="s">
        <v>484</v>
      </c>
      <c r="C464" s="1124" t="s">
        <v>663</v>
      </c>
      <c r="D464" s="291"/>
      <c r="E464" s="291"/>
      <c r="F464" s="291"/>
      <c r="G464" s="1008">
        <f>H462</f>
        <v>3</v>
      </c>
      <c r="H464" s="1157" t="s">
        <v>326</v>
      </c>
      <c r="I464" s="1026">
        <f>S458</f>
        <v>6998.1850810863734</v>
      </c>
      <c r="J464" s="1159"/>
      <c r="K464" s="1159"/>
      <c r="L464" s="1159"/>
      <c r="M464" s="1159"/>
      <c r="N464" s="638" t="s">
        <v>683</v>
      </c>
      <c r="O464" s="661">
        <f>S455</f>
        <v>15</v>
      </c>
      <c r="P464" s="638" t="s">
        <v>358</v>
      </c>
      <c r="Q464" s="1026">
        <f>S456</f>
        <v>1.5418674400000001</v>
      </c>
      <c r="R464" s="661" t="s">
        <v>685</v>
      </c>
      <c r="S464" s="661">
        <f>S457</f>
        <v>1</v>
      </c>
      <c r="T464" s="14"/>
      <c r="U464" s="958" t="s">
        <v>664</v>
      </c>
      <c r="V464" s="197"/>
    </row>
    <row r="465" spans="1:22" ht="18" hidden="1" customHeight="1">
      <c r="A465" s="289"/>
      <c r="B465" s="638"/>
      <c r="C465" s="638"/>
      <c r="D465" s="291"/>
      <c r="E465" s="291"/>
      <c r="F465" s="291"/>
      <c r="G465" s="1008"/>
      <c r="H465" s="639"/>
      <c r="I465" s="638">
        <v>1.3</v>
      </c>
      <c r="J465" s="639"/>
      <c r="K465" s="28" t="s">
        <v>326</v>
      </c>
      <c r="L465" s="638">
        <f>S454</f>
        <v>4000</v>
      </c>
      <c r="M465" s="639"/>
      <c r="N465" s="638"/>
      <c r="O465" s="638"/>
      <c r="P465" s="638"/>
      <c r="Q465" s="638"/>
      <c r="R465" s="638"/>
      <c r="S465" s="638"/>
      <c r="T465" s="14"/>
      <c r="U465" s="638"/>
      <c r="V465" s="197"/>
    </row>
    <row r="466" spans="1:22" ht="18" hidden="1" customHeight="1">
      <c r="A466" s="96"/>
      <c r="B466" s="14"/>
      <c r="C466" s="27" t="s">
        <v>138</v>
      </c>
      <c r="D466" s="798">
        <f>G464*(I464/(I465*L465)*(O464+Q464)*S464)</f>
        <v>66.78637496072102</v>
      </c>
      <c r="E466" s="799"/>
      <c r="F466" s="30" t="s">
        <v>316</v>
      </c>
      <c r="G466" s="14"/>
      <c r="H466" s="14"/>
      <c r="I466" s="14"/>
      <c r="J466" s="14"/>
      <c r="K466" s="14"/>
      <c r="L466" s="14"/>
      <c r="M466" s="14"/>
      <c r="N466" s="14"/>
      <c r="R466" s="246"/>
      <c r="S466" s="216"/>
      <c r="V466" s="197"/>
    </row>
    <row r="467" spans="1:22" ht="18" hidden="1" customHeight="1">
      <c r="A467" s="96"/>
      <c r="B467" s="14"/>
      <c r="G467" s="14"/>
      <c r="H467" s="14"/>
      <c r="I467" s="14"/>
      <c r="J467" s="14"/>
      <c r="K467" s="14"/>
      <c r="L467" s="14"/>
      <c r="M467" s="14"/>
      <c r="N467" s="14"/>
      <c r="R467" s="246"/>
      <c r="S467" s="216"/>
      <c r="V467" s="197"/>
    </row>
    <row r="468" spans="1:22" ht="18" hidden="1" customHeight="1">
      <c r="A468" s="96"/>
      <c r="B468" s="14"/>
      <c r="D468" s="30" t="s">
        <v>486</v>
      </c>
      <c r="G468" s="27" t="str">
        <f>IF(E469&gt;H469,"&gt;","&lt;")</f>
        <v>&gt;</v>
      </c>
      <c r="H468" s="30" t="s">
        <v>488</v>
      </c>
      <c r="M468" s="14"/>
      <c r="N468" s="14"/>
      <c r="R468" s="246"/>
      <c r="S468" s="216"/>
      <c r="V468" s="197"/>
    </row>
    <row r="469" spans="1:22" ht="18" hidden="1" customHeight="1">
      <c r="A469" s="96"/>
      <c r="B469" s="14"/>
      <c r="E469" s="639">
        <f>J411</f>
        <v>800</v>
      </c>
      <c r="F469" s="639"/>
      <c r="G469" s="27" t="str">
        <f>G468</f>
        <v>&gt;</v>
      </c>
      <c r="H469" s="637">
        <f>D466</f>
        <v>66.78637496072102</v>
      </c>
      <c r="I469" s="639"/>
      <c r="M469" s="14"/>
      <c r="N469" s="14"/>
      <c r="R469" s="246"/>
      <c r="S469" s="216"/>
      <c r="V469" s="197"/>
    </row>
    <row r="470" spans="1:22" ht="18" hidden="1" customHeight="1">
      <c r="A470" s="96"/>
      <c r="B470" s="14"/>
      <c r="F470" s="256" t="s">
        <v>489</v>
      </c>
      <c r="H470" s="18" t="str">
        <f>IF(G468="&gt;","Suitably Dimentioned","Under Dimentioned")</f>
        <v>Suitably Dimentioned</v>
      </c>
      <c r="M470" s="14"/>
      <c r="N470" s="14"/>
      <c r="R470" s="246"/>
      <c r="S470" s="216"/>
      <c r="V470" s="197"/>
    </row>
    <row r="471" spans="1:22" ht="18" hidden="1" customHeight="1">
      <c r="A471" s="96"/>
      <c r="B471" s="14"/>
      <c r="G471" s="14"/>
      <c r="H471" s="14"/>
      <c r="I471" s="14"/>
      <c r="J471" s="14"/>
      <c r="K471" s="14"/>
      <c r="L471" s="14"/>
      <c r="M471" s="14"/>
      <c r="N471" s="14"/>
      <c r="R471" s="246"/>
      <c r="S471" s="216"/>
      <c r="V471" s="197"/>
    </row>
    <row r="472" spans="1:22" ht="18" hidden="1" customHeight="1">
      <c r="A472" s="205" t="s">
        <v>706</v>
      </c>
      <c r="B472" s="14"/>
      <c r="G472" s="14"/>
      <c r="H472" s="14"/>
      <c r="I472" s="14"/>
      <c r="J472" s="14"/>
      <c r="K472" s="14"/>
      <c r="L472" s="14"/>
      <c r="M472" s="14"/>
      <c r="N472" s="14"/>
      <c r="R472" s="246"/>
      <c r="S472" s="216"/>
      <c r="V472" s="197"/>
    </row>
    <row r="473" spans="1:22" ht="18" hidden="1" customHeight="1">
      <c r="A473" s="96"/>
      <c r="B473" s="14"/>
      <c r="D473" s="1008" t="s">
        <v>707</v>
      </c>
      <c r="E473" s="920"/>
      <c r="F473" s="638" t="s">
        <v>138</v>
      </c>
      <c r="G473" s="661" t="s">
        <v>434</v>
      </c>
      <c r="H473" s="1099"/>
      <c r="I473" s="638" t="s">
        <v>326</v>
      </c>
      <c r="J473" s="661" t="s">
        <v>708</v>
      </c>
      <c r="K473" s="1099"/>
      <c r="L473" s="14"/>
      <c r="M473" s="14"/>
      <c r="N473" s="14"/>
      <c r="R473" s="246"/>
      <c r="S473" s="216"/>
      <c r="V473" s="197"/>
    </row>
    <row r="474" spans="1:22" ht="18" hidden="1" customHeight="1">
      <c r="A474" s="96"/>
      <c r="B474" s="14"/>
      <c r="D474" s="920"/>
      <c r="E474" s="920"/>
      <c r="F474" s="638"/>
      <c r="G474" s="638" t="s">
        <v>691</v>
      </c>
      <c r="H474" s="920"/>
      <c r="I474" s="638"/>
      <c r="J474" s="638" t="s">
        <v>422</v>
      </c>
      <c r="K474" s="920"/>
      <c r="L474" s="14"/>
      <c r="M474" s="14"/>
      <c r="N474" s="14"/>
      <c r="R474" s="246"/>
      <c r="S474" s="216"/>
      <c r="V474" s="197"/>
    </row>
    <row r="475" spans="1:22" ht="18" hidden="1" customHeight="1">
      <c r="A475" s="96"/>
      <c r="B475" s="14"/>
      <c r="D475" s="14"/>
      <c r="E475" s="14"/>
      <c r="F475" s="14"/>
      <c r="G475" s="14"/>
      <c r="H475" s="14"/>
      <c r="I475" s="14"/>
      <c r="J475" s="14"/>
      <c r="K475" s="14"/>
      <c r="L475" s="14"/>
      <c r="M475" s="14"/>
      <c r="N475" s="14"/>
      <c r="R475" s="246"/>
      <c r="S475" s="216"/>
      <c r="V475" s="197"/>
    </row>
    <row r="476" spans="1:22" ht="18" hidden="1" customHeight="1">
      <c r="A476" s="96"/>
      <c r="B476" s="14"/>
      <c r="D476" s="14"/>
      <c r="E476" s="14"/>
      <c r="F476" s="638" t="s">
        <v>138</v>
      </c>
      <c r="G476" s="661">
        <f>S454</f>
        <v>4000</v>
      </c>
      <c r="H476" s="1099"/>
      <c r="I476" s="638" t="s">
        <v>326</v>
      </c>
      <c r="J476" s="661">
        <f>S460</f>
        <v>1</v>
      </c>
      <c r="K476" s="1099"/>
      <c r="L476" s="14"/>
      <c r="M476" s="14"/>
      <c r="N476" s="14"/>
      <c r="R476" s="246"/>
      <c r="S476" s="216"/>
      <c r="V476" s="197"/>
    </row>
    <row r="477" spans="1:22" ht="18" hidden="1" customHeight="1">
      <c r="A477" s="96"/>
      <c r="B477" s="14"/>
      <c r="D477" s="14"/>
      <c r="E477" s="14"/>
      <c r="F477" s="638"/>
      <c r="G477" s="641">
        <f>J435</f>
        <v>437.38656756789834</v>
      </c>
      <c r="H477" s="920"/>
      <c r="I477" s="638"/>
      <c r="J477" s="638">
        <f>S457</f>
        <v>1</v>
      </c>
      <c r="K477" s="920"/>
      <c r="L477" s="14"/>
      <c r="M477" s="14"/>
      <c r="N477" s="14"/>
      <c r="R477" s="246"/>
      <c r="S477" s="216"/>
      <c r="V477" s="197"/>
    </row>
    <row r="478" spans="1:22" ht="18" hidden="1" customHeight="1">
      <c r="A478" s="96"/>
      <c r="B478" s="14"/>
      <c r="D478" s="14"/>
      <c r="E478" s="14"/>
      <c r="F478" s="14"/>
      <c r="G478" s="14"/>
      <c r="H478" s="14"/>
      <c r="I478" s="14"/>
      <c r="J478" s="14"/>
      <c r="K478" s="14"/>
      <c r="L478" s="14"/>
      <c r="M478" s="14"/>
      <c r="N478" s="14"/>
      <c r="R478" s="246"/>
      <c r="S478" s="216"/>
      <c r="V478" s="197"/>
    </row>
    <row r="479" spans="1:22" ht="18" hidden="1" customHeight="1">
      <c r="A479" s="96"/>
      <c r="B479" s="14"/>
      <c r="D479" s="14"/>
      <c r="E479" s="14"/>
      <c r="F479" s="28" t="s">
        <v>138</v>
      </c>
      <c r="G479" s="920">
        <f>(G476/G477)*(J476/J477)</f>
        <v>9.1452282639636717</v>
      </c>
      <c r="H479" s="920"/>
      <c r="I479" s="14"/>
      <c r="J479" s="14"/>
      <c r="K479" s="14"/>
      <c r="L479" s="14"/>
      <c r="M479" s="14"/>
      <c r="N479" s="14"/>
      <c r="R479" s="246"/>
      <c r="S479" s="216"/>
      <c r="V479" s="197"/>
    </row>
    <row r="480" spans="1:22" ht="18" hidden="1" customHeight="1">
      <c r="A480" s="96"/>
      <c r="B480" s="14"/>
      <c r="G480" s="14"/>
      <c r="H480" s="14"/>
      <c r="I480" s="14"/>
      <c r="J480" s="14"/>
      <c r="K480" s="14"/>
      <c r="L480" s="14"/>
      <c r="M480" s="14"/>
      <c r="N480" s="14"/>
      <c r="R480" s="246"/>
      <c r="S480" s="216"/>
      <c r="V480" s="197"/>
    </row>
    <row r="481" spans="1:22" s="14" customFormat="1" ht="18" hidden="1" customHeight="1">
      <c r="A481" s="96"/>
      <c r="C481" s="30"/>
      <c r="D481" s="295" t="s">
        <v>709</v>
      </c>
      <c r="E481" s="296" t="s">
        <v>710</v>
      </c>
      <c r="F481" s="638" t="s">
        <v>707</v>
      </c>
      <c r="G481" s="920"/>
      <c r="H481" s="920"/>
      <c r="I481" s="296" t="s">
        <v>710</v>
      </c>
      <c r="J481" s="28">
        <v>4</v>
      </c>
      <c r="K481" s="30"/>
      <c r="L481" s="291"/>
      <c r="M481" s="120" t="s">
        <v>711</v>
      </c>
      <c r="N481" s="47" t="s">
        <v>712</v>
      </c>
      <c r="O481" s="291"/>
      <c r="P481" s="248"/>
      <c r="Q481" s="248"/>
      <c r="R481" s="246"/>
      <c r="S481" s="216"/>
      <c r="T481" s="30"/>
      <c r="U481" s="30"/>
      <c r="V481" s="197"/>
    </row>
    <row r="482" spans="1:22" ht="18" hidden="1" customHeight="1">
      <c r="A482" s="96"/>
      <c r="B482" s="14"/>
      <c r="D482" s="230">
        <v>0.25</v>
      </c>
      <c r="E482" s="296" t="str">
        <f>IF(D482&lt;=G479,"≤","&gt;")</f>
        <v>≤</v>
      </c>
      <c r="F482" s="911">
        <f>G479</f>
        <v>9.1452282639636717</v>
      </c>
      <c r="G482" s="1163"/>
      <c r="H482" s="911"/>
      <c r="I482" s="296" t="str">
        <f>IF(G479&lt;=J481,"≤","&gt;")</f>
        <v>&gt;</v>
      </c>
      <c r="J482" s="28">
        <f>J481</f>
        <v>4</v>
      </c>
      <c r="L482" s="291"/>
      <c r="M482" s="120"/>
      <c r="N482" s="225"/>
      <c r="O482" s="291"/>
      <c r="P482" s="248"/>
      <c r="Q482" s="248"/>
      <c r="R482" s="246"/>
      <c r="S482" s="216"/>
      <c r="V482" s="197"/>
    </row>
    <row r="483" spans="1:22" ht="18" hidden="1" customHeight="1">
      <c r="A483" s="96"/>
      <c r="B483" s="14"/>
      <c r="G483" s="14"/>
      <c r="H483" s="14"/>
      <c r="I483" s="14"/>
      <c r="J483" s="14"/>
      <c r="K483" s="14"/>
      <c r="L483" s="14"/>
      <c r="M483" s="14"/>
      <c r="N483" s="14"/>
      <c r="R483" s="246"/>
      <c r="S483" s="216"/>
      <c r="V483" s="197"/>
    </row>
    <row r="484" spans="1:22" ht="18" hidden="1" customHeight="1">
      <c r="A484" s="96"/>
      <c r="B484" s="14" t="s">
        <v>713</v>
      </c>
      <c r="G484" s="14"/>
      <c r="H484" s="18" t="str">
        <f>IF(AND(E482="≤",I482="≤")=TRUE,"OK","Not OK")</f>
        <v>Not OK</v>
      </c>
      <c r="I484" s="14"/>
      <c r="J484" s="14"/>
      <c r="K484" s="14"/>
      <c r="L484" s="14"/>
      <c r="M484" s="14"/>
      <c r="N484" s="14"/>
      <c r="R484" s="246"/>
      <c r="S484" s="216"/>
      <c r="V484" s="197"/>
    </row>
    <row r="485" spans="1:22" ht="18" hidden="1" customHeight="1">
      <c r="A485" s="96"/>
      <c r="B485" s="14"/>
      <c r="G485" s="14"/>
      <c r="H485" s="18"/>
      <c r="I485" s="14"/>
      <c r="J485" s="14"/>
      <c r="K485" s="14"/>
      <c r="L485" s="14"/>
      <c r="M485" s="14"/>
      <c r="N485" s="14"/>
      <c r="R485" s="246"/>
      <c r="S485" s="216"/>
      <c r="V485" s="197"/>
    </row>
    <row r="486" spans="1:22" ht="18" hidden="1" customHeight="1">
      <c r="A486" s="96"/>
      <c r="B486" s="14"/>
      <c r="G486" s="14"/>
      <c r="H486" s="18"/>
      <c r="I486" s="14"/>
      <c r="J486" s="14"/>
      <c r="K486" s="14"/>
      <c r="L486" s="14"/>
      <c r="M486" s="14"/>
      <c r="N486" s="14"/>
      <c r="R486" s="246"/>
      <c r="S486" s="216"/>
      <c r="V486" s="197"/>
    </row>
    <row r="487" spans="1:22" ht="18" hidden="1" customHeight="1">
      <c r="A487" s="96"/>
      <c r="B487" s="14"/>
      <c r="G487" s="14"/>
      <c r="H487" s="18"/>
      <c r="I487" s="14"/>
      <c r="J487" s="14"/>
      <c r="K487" s="14"/>
      <c r="L487" s="14"/>
      <c r="M487" s="14"/>
      <c r="N487" s="14"/>
      <c r="R487" s="246"/>
      <c r="S487" s="216"/>
      <c r="V487" s="197"/>
    </row>
    <row r="488" spans="1:22" ht="18" hidden="1" customHeight="1">
      <c r="A488" s="96"/>
      <c r="B488" s="14"/>
      <c r="G488" s="14"/>
      <c r="H488" s="18"/>
      <c r="I488" s="14"/>
      <c r="J488" s="14"/>
      <c r="K488" s="14"/>
      <c r="L488" s="14"/>
      <c r="M488" s="14"/>
      <c r="N488" s="14"/>
      <c r="R488" s="246"/>
      <c r="S488" s="216"/>
      <c r="V488" s="197"/>
    </row>
    <row r="489" spans="1:22" ht="18" hidden="1" customHeight="1">
      <c r="A489" s="96"/>
      <c r="B489" s="14"/>
      <c r="G489" s="14"/>
      <c r="H489" s="18"/>
      <c r="I489" s="14"/>
      <c r="J489" s="14"/>
      <c r="K489" s="14"/>
      <c r="L489" s="14"/>
      <c r="M489" s="14"/>
      <c r="N489" s="14"/>
      <c r="R489" s="246"/>
      <c r="S489" s="216"/>
      <c r="V489" s="197"/>
    </row>
    <row r="490" spans="1:22" ht="18" hidden="1" customHeight="1">
      <c r="A490" s="96"/>
      <c r="B490" s="14"/>
      <c r="G490" s="14"/>
      <c r="H490" s="14"/>
      <c r="I490" s="14"/>
      <c r="J490" s="14"/>
      <c r="K490" s="14"/>
      <c r="L490" s="14"/>
      <c r="M490" s="14"/>
      <c r="N490" s="14"/>
      <c r="R490" s="246"/>
      <c r="S490" s="216"/>
      <c r="V490" s="197"/>
    </row>
    <row r="491" spans="1:22" ht="18" hidden="1" customHeight="1">
      <c r="A491" s="206"/>
      <c r="B491" s="207"/>
      <c r="C491" s="207"/>
      <c r="D491" s="207"/>
      <c r="E491" s="207"/>
      <c r="F491" s="207"/>
      <c r="G491" s="207"/>
      <c r="H491" s="207"/>
      <c r="I491" s="207"/>
      <c r="J491" s="207"/>
      <c r="K491" s="207"/>
      <c r="L491" s="207"/>
      <c r="M491" s="207"/>
      <c r="N491" s="207"/>
      <c r="O491" s="207"/>
      <c r="P491" s="207"/>
      <c r="Q491" s="236"/>
      <c r="R491" s="194"/>
      <c r="S491" s="237"/>
      <c r="T491" s="207"/>
      <c r="U491" s="207"/>
      <c r="V491" s="140" t="s">
        <v>563</v>
      </c>
    </row>
    <row r="492" spans="1:22" ht="18" hidden="1" customHeight="1">
      <c r="A492" s="238"/>
      <c r="B492" s="239"/>
      <c r="C492" s="239"/>
      <c r="D492" s="239"/>
      <c r="E492" s="239"/>
      <c r="F492" s="239"/>
      <c r="G492" s="239"/>
      <c r="H492" s="239"/>
      <c r="I492" s="239"/>
      <c r="J492" s="239"/>
      <c r="K492" s="239"/>
      <c r="L492" s="239"/>
      <c r="M492" s="239"/>
      <c r="N492" s="239"/>
      <c r="O492" s="239"/>
      <c r="P492" s="239"/>
      <c r="Q492" s="239"/>
      <c r="R492" s="239"/>
      <c r="S492" s="239"/>
      <c r="T492" s="239"/>
      <c r="U492" s="239"/>
      <c r="V492" s="240"/>
    </row>
    <row r="493" spans="1:22" ht="18" hidden="1" customHeight="1">
      <c r="A493" s="196"/>
      <c r="B493" s="650" t="str">
        <f>B405</f>
        <v>CT1L1</v>
      </c>
      <c r="C493" s="651"/>
      <c r="D493" s="663" t="str">
        <f>D405</f>
        <v>Core3</v>
      </c>
      <c r="E493" s="664"/>
      <c r="F493" s="198" t="s">
        <v>647</v>
      </c>
      <c r="H493" s="639" t="str">
        <f>H405</f>
        <v>(Transformer Differential)</v>
      </c>
      <c r="I493" s="639"/>
      <c r="J493" s="639"/>
      <c r="K493" s="639"/>
      <c r="L493" s="639"/>
      <c r="M493" s="639"/>
      <c r="P493" s="198"/>
      <c r="S493" s="199" t="s">
        <v>398</v>
      </c>
      <c r="T493" s="1125" t="str">
        <f>T405</f>
        <v>7UT85</v>
      </c>
      <c r="U493" s="1126"/>
      <c r="V493" s="197"/>
    </row>
    <row r="494" spans="1:22" ht="18" hidden="1" customHeight="1">
      <c r="A494" s="196"/>
      <c r="B494" s="660" t="str">
        <f>B406</f>
        <v>CT1L2</v>
      </c>
      <c r="C494" s="660"/>
      <c r="D494" s="665"/>
      <c r="E494" s="666"/>
      <c r="F494" s="267"/>
      <c r="T494" s="1125">
        <f>T406</f>
        <v>0</v>
      </c>
      <c r="U494" s="1126"/>
      <c r="V494" s="197"/>
    </row>
    <row r="495" spans="1:22" ht="18" hidden="1" customHeight="1">
      <c r="A495" s="196"/>
      <c r="H495" s="661" t="s">
        <v>401</v>
      </c>
      <c r="I495" s="661"/>
      <c r="J495" s="661" t="s">
        <v>402</v>
      </c>
      <c r="K495" s="661"/>
      <c r="L495" s="662" t="s">
        <v>403</v>
      </c>
      <c r="M495" s="662"/>
      <c r="T495" s="1125">
        <f>T407</f>
        <v>0</v>
      </c>
      <c r="U495" s="1126"/>
      <c r="V495" s="197"/>
    </row>
    <row r="496" spans="1:22" ht="18" hidden="1" customHeight="1">
      <c r="A496" s="196"/>
      <c r="B496" s="47" t="s">
        <v>404</v>
      </c>
      <c r="H496" s="650">
        <f>H408</f>
        <v>5000</v>
      </c>
      <c r="I496" s="651"/>
      <c r="J496" s="650">
        <f>J408</f>
        <v>4000</v>
      </c>
      <c r="K496" s="651"/>
      <c r="L496" s="652">
        <f>L408</f>
        <v>3000</v>
      </c>
      <c r="M496" s="653"/>
      <c r="N496" s="102" t="s">
        <v>353</v>
      </c>
      <c r="O496" s="268">
        <f>O408</f>
        <v>1</v>
      </c>
      <c r="P496" s="27" t="s">
        <v>9</v>
      </c>
      <c r="V496" s="197"/>
    </row>
    <row r="497" spans="1:29" ht="18" hidden="1" customHeight="1">
      <c r="A497" s="196"/>
      <c r="B497" s="47" t="s">
        <v>405</v>
      </c>
      <c r="H497" s="14"/>
      <c r="I497" s="14"/>
      <c r="L497" s="650" t="str">
        <f>J409</f>
        <v>PX</v>
      </c>
      <c r="M497" s="707"/>
      <c r="V497" s="197"/>
    </row>
    <row r="498" spans="1:29" ht="18" hidden="1" customHeight="1">
      <c r="A498" s="196"/>
      <c r="B498" s="47" t="s">
        <v>407</v>
      </c>
      <c r="K498" s="120" t="s">
        <v>508</v>
      </c>
      <c r="L498" s="656">
        <v>10</v>
      </c>
      <c r="M498" s="657"/>
      <c r="N498" s="204" t="s">
        <v>344</v>
      </c>
      <c r="V498" s="197"/>
    </row>
    <row r="499" spans="1:29" ht="18" hidden="1" customHeight="1">
      <c r="A499" s="196"/>
      <c r="B499" s="47" t="s">
        <v>409</v>
      </c>
      <c r="K499" s="120" t="s">
        <v>509</v>
      </c>
      <c r="L499" s="656">
        <v>800</v>
      </c>
      <c r="M499" s="657"/>
      <c r="N499" s="14" t="s">
        <v>316</v>
      </c>
      <c r="V499" s="197"/>
      <c r="W499" s="30" t="s">
        <v>411</v>
      </c>
      <c r="AB499" s="996">
        <f>D554</f>
        <v>62.132403481911211</v>
      </c>
      <c r="AC499" s="997"/>
    </row>
    <row r="500" spans="1:29" ht="18" hidden="1" customHeight="1">
      <c r="A500" s="196"/>
      <c r="B500" s="14" t="s">
        <v>412</v>
      </c>
      <c r="K500" s="120" t="s">
        <v>413</v>
      </c>
      <c r="L500" s="656">
        <v>50</v>
      </c>
      <c r="M500" s="657"/>
      <c r="N500" s="30" t="s">
        <v>414</v>
      </c>
      <c r="V500" s="197"/>
    </row>
    <row r="501" spans="1:29" ht="18" hidden="1" customHeight="1">
      <c r="A501" s="96"/>
      <c r="V501" s="197"/>
    </row>
    <row r="502" spans="1:29" ht="18" hidden="1" customHeight="1">
      <c r="A502" s="205" t="s">
        <v>415</v>
      </c>
      <c r="V502" s="197"/>
    </row>
    <row r="503" spans="1:29" ht="18" hidden="1" customHeight="1">
      <c r="A503" s="196"/>
      <c r="V503" s="197"/>
    </row>
    <row r="504" spans="1:29" ht="18" hidden="1" customHeight="1">
      <c r="A504" s="196"/>
      <c r="B504" s="206" t="s">
        <v>416</v>
      </c>
      <c r="C504" s="207"/>
      <c r="D504" s="207" t="str">
        <f>T493</f>
        <v>7UT85</v>
      </c>
      <c r="E504" s="208"/>
      <c r="F504" s="208"/>
      <c r="G504" s="208"/>
      <c r="H504" s="194" t="s">
        <v>417</v>
      </c>
      <c r="I504" s="195" t="s">
        <v>138</v>
      </c>
      <c r="J504" s="897">
        <f>J416</f>
        <v>0.1</v>
      </c>
      <c r="K504" s="649"/>
      <c r="L504" s="3" t="s">
        <v>168</v>
      </c>
      <c r="V504" s="197"/>
    </row>
    <row r="505" spans="1:29" ht="18" hidden="1" customHeight="1">
      <c r="A505" s="196"/>
      <c r="B505" s="196" t="s">
        <v>416</v>
      </c>
      <c r="D505" s="30">
        <f>T494</f>
        <v>0</v>
      </c>
      <c r="H505" s="27"/>
      <c r="I505" s="189" t="s">
        <v>138</v>
      </c>
      <c r="J505" s="897">
        <f>J417</f>
        <v>0</v>
      </c>
      <c r="K505" s="649"/>
      <c r="L505" s="210" t="s">
        <v>168</v>
      </c>
      <c r="V505" s="197"/>
    </row>
    <row r="506" spans="1:29" ht="18" hidden="1" customHeight="1">
      <c r="A506" s="196"/>
      <c r="B506" s="196" t="s">
        <v>416</v>
      </c>
      <c r="D506" s="30">
        <f>T495</f>
        <v>0</v>
      </c>
      <c r="E506" s="14"/>
      <c r="G506" s="211"/>
      <c r="H506" s="27"/>
      <c r="I506" s="189" t="s">
        <v>138</v>
      </c>
      <c r="J506" s="897">
        <f>J418</f>
        <v>0</v>
      </c>
      <c r="K506" s="649"/>
      <c r="L506" s="214" t="s">
        <v>168</v>
      </c>
      <c r="V506" s="197"/>
    </row>
    <row r="507" spans="1:29" ht="18" hidden="1" customHeight="1">
      <c r="A507" s="196"/>
      <c r="B507" s="196" t="s">
        <v>423</v>
      </c>
      <c r="H507" s="27" t="s">
        <v>610</v>
      </c>
      <c r="I507" s="189" t="s">
        <v>138</v>
      </c>
      <c r="J507" s="897">
        <f>J419</f>
        <v>1.44186744</v>
      </c>
      <c r="K507" s="649"/>
      <c r="L507" s="215" t="s">
        <v>168</v>
      </c>
      <c r="V507" s="197"/>
    </row>
    <row r="508" spans="1:29" ht="18" hidden="1" customHeight="1">
      <c r="A508" s="196"/>
      <c r="B508" s="217" t="s">
        <v>424</v>
      </c>
      <c r="C508" s="218"/>
      <c r="D508" s="218"/>
      <c r="E508" s="218"/>
      <c r="F508" s="219"/>
      <c r="G508" s="219"/>
      <c r="H508" s="202" t="s">
        <v>420</v>
      </c>
      <c r="I508" s="220" t="s">
        <v>138</v>
      </c>
      <c r="J508" s="897">
        <f>J505+J507</f>
        <v>1.44186744</v>
      </c>
      <c r="K508" s="649"/>
      <c r="L508" s="222" t="s">
        <v>168</v>
      </c>
      <c r="V508" s="197"/>
    </row>
    <row r="509" spans="1:29" ht="18" hidden="1" customHeight="1">
      <c r="A509" s="196"/>
      <c r="B509" s="47"/>
      <c r="C509" s="47"/>
      <c r="D509" s="47"/>
      <c r="E509" s="47"/>
      <c r="H509" s="27"/>
      <c r="I509" s="28"/>
      <c r="J509" s="211"/>
      <c r="L509" s="47"/>
      <c r="O509" s="27"/>
      <c r="P509" s="223"/>
      <c r="Q509" s="223"/>
      <c r="R509" s="204"/>
      <c r="V509" s="197"/>
    </row>
    <row r="510" spans="1:29" ht="18" hidden="1" customHeight="1">
      <c r="A510" s="196"/>
      <c r="B510" s="209" t="s">
        <v>659</v>
      </c>
      <c r="L510" s="47"/>
      <c r="M510" s="209" t="s">
        <v>418</v>
      </c>
      <c r="V510" s="197"/>
    </row>
    <row r="511" spans="1:29" s="14" customFormat="1" ht="18" hidden="1" customHeight="1">
      <c r="A511" s="196"/>
      <c r="B511" s="27" t="s">
        <v>660</v>
      </c>
      <c r="C511" s="27" t="s">
        <v>138</v>
      </c>
      <c r="D511" s="30" t="s">
        <v>417</v>
      </c>
      <c r="E511" s="283" t="s">
        <v>421</v>
      </c>
      <c r="F511" s="27" t="s">
        <v>157</v>
      </c>
      <c r="G511" s="28" t="s">
        <v>326</v>
      </c>
      <c r="H511" s="230" t="s">
        <v>157</v>
      </c>
      <c r="I511" s="30" t="s">
        <v>361</v>
      </c>
      <c r="J511" s="211"/>
      <c r="K511" s="30"/>
      <c r="L511" s="47"/>
      <c r="M511" s="30" t="s">
        <v>419</v>
      </c>
      <c r="N511" s="27" t="s">
        <v>138</v>
      </c>
      <c r="O511" s="30" t="s">
        <v>420</v>
      </c>
      <c r="P511" s="203" t="s">
        <v>421</v>
      </c>
      <c r="Q511" s="256" t="s">
        <v>422</v>
      </c>
      <c r="R511" s="27" t="s">
        <v>326</v>
      </c>
      <c r="S511" s="30" t="s">
        <v>422</v>
      </c>
      <c r="T511" s="30" t="s">
        <v>361</v>
      </c>
      <c r="U511" s="30"/>
      <c r="V511" s="197"/>
    </row>
    <row r="512" spans="1:29" s="14" customFormat="1" ht="18" hidden="1" customHeight="1">
      <c r="A512" s="196"/>
      <c r="B512" s="47"/>
      <c r="C512" s="27" t="s">
        <v>138</v>
      </c>
      <c r="D512" s="216">
        <f>J504</f>
        <v>0.1</v>
      </c>
      <c r="E512" s="203" t="s">
        <v>421</v>
      </c>
      <c r="F512" s="27">
        <f>F424</f>
        <v>1</v>
      </c>
      <c r="G512" s="27" t="s">
        <v>326</v>
      </c>
      <c r="H512" s="27">
        <f>H424</f>
        <v>1</v>
      </c>
      <c r="I512" s="30" t="s">
        <v>361</v>
      </c>
      <c r="J512" s="211"/>
      <c r="K512" s="30"/>
      <c r="L512" s="47"/>
      <c r="M512" s="30"/>
      <c r="N512" s="27" t="s">
        <v>138</v>
      </c>
      <c r="O512" s="216">
        <f>J508</f>
        <v>1.44186744</v>
      </c>
      <c r="P512" s="203" t="s">
        <v>421</v>
      </c>
      <c r="Q512" s="27">
        <f>O496</f>
        <v>1</v>
      </c>
      <c r="R512" s="27" t="s">
        <v>326</v>
      </c>
      <c r="S512" s="27">
        <f>O496</f>
        <v>1</v>
      </c>
      <c r="T512" s="30" t="s">
        <v>361</v>
      </c>
      <c r="U512" s="30"/>
      <c r="V512" s="197"/>
    </row>
    <row r="513" spans="1:22" s="14" customFormat="1" ht="18" hidden="1" customHeight="1">
      <c r="A513" s="196"/>
      <c r="B513" s="47"/>
      <c r="C513" s="27" t="s">
        <v>138</v>
      </c>
      <c r="D513" s="637">
        <f>D512/(F512*H512)</f>
        <v>0.1</v>
      </c>
      <c r="E513" s="637"/>
      <c r="F513" s="204" t="s">
        <v>344</v>
      </c>
      <c r="G513" s="30"/>
      <c r="H513" s="30"/>
      <c r="I513" s="30"/>
      <c r="J513" s="211"/>
      <c r="K513" s="30"/>
      <c r="L513" s="47"/>
      <c r="M513" s="30"/>
      <c r="N513" s="27" t="s">
        <v>138</v>
      </c>
      <c r="O513" s="637">
        <f>O512/(Q512*S512)</f>
        <v>1.44186744</v>
      </c>
      <c r="P513" s="637"/>
      <c r="Q513" s="204" t="s">
        <v>344</v>
      </c>
      <c r="R513" s="30"/>
      <c r="S513" s="30"/>
      <c r="T513" s="30"/>
      <c r="U513" s="30"/>
      <c r="V513" s="197"/>
    </row>
    <row r="514" spans="1:22" s="14" customFormat="1" ht="18" hidden="1" customHeight="1">
      <c r="A514" s="196"/>
      <c r="B514" s="47"/>
      <c r="C514" s="47"/>
      <c r="D514" s="47"/>
      <c r="E514" s="47"/>
      <c r="F514" s="30"/>
      <c r="G514" s="30"/>
      <c r="H514" s="27"/>
      <c r="I514" s="28"/>
      <c r="J514" s="211"/>
      <c r="K514" s="30"/>
      <c r="L514" s="47"/>
      <c r="M514" s="30"/>
      <c r="N514" s="30"/>
      <c r="O514" s="27"/>
      <c r="P514" s="223"/>
      <c r="Q514" s="223"/>
      <c r="R514" s="204"/>
      <c r="S514" s="30"/>
      <c r="T514" s="30"/>
      <c r="U514" s="30"/>
      <c r="V514" s="197"/>
    </row>
    <row r="515" spans="1:22" s="14" customFormat="1" ht="18" hidden="1" customHeight="1">
      <c r="A515" s="196"/>
      <c r="B515" s="47" t="s">
        <v>679</v>
      </c>
      <c r="C515" s="47"/>
      <c r="D515" s="47"/>
      <c r="E515" s="47"/>
      <c r="F515" s="30"/>
      <c r="G515" s="30"/>
      <c r="H515" s="27"/>
      <c r="I515" s="28"/>
      <c r="J515" s="211"/>
      <c r="K515" s="30"/>
      <c r="L515" s="47" t="s">
        <v>138</v>
      </c>
      <c r="M515" s="216">
        <f>D513</f>
        <v>0.1</v>
      </c>
      <c r="N515" s="27" t="s">
        <v>358</v>
      </c>
      <c r="O515" s="223">
        <f>O513</f>
        <v>1.44186744</v>
      </c>
      <c r="P515" s="223" t="s">
        <v>138</v>
      </c>
      <c r="Q515" s="223">
        <f>M515+O515</f>
        <v>1.5418674400000001</v>
      </c>
      <c r="R515" s="204" t="s">
        <v>344</v>
      </c>
      <c r="S515" s="30"/>
      <c r="T515" s="30"/>
      <c r="U515" s="30"/>
      <c r="V515" s="197"/>
    </row>
    <row r="516" spans="1:22" s="14" customFormat="1" ht="18" hidden="1" customHeight="1">
      <c r="A516" s="205" t="s">
        <v>611</v>
      </c>
      <c r="B516" s="5"/>
      <c r="C516" s="5"/>
      <c r="D516" s="5"/>
      <c r="E516" s="5"/>
      <c r="F516" s="5"/>
      <c r="G516" s="5"/>
      <c r="H516" s="224"/>
      <c r="I516" s="224"/>
      <c r="J516" s="5"/>
      <c r="K516" s="5"/>
      <c r="L516" s="5"/>
      <c r="M516" s="5"/>
      <c r="N516" s="5"/>
      <c r="O516" s="5"/>
      <c r="P516" s="103"/>
      <c r="Q516" s="224"/>
      <c r="R516" s="225"/>
      <c r="S516" s="226"/>
      <c r="T516" s="18"/>
      <c r="U516" s="18"/>
      <c r="V516" s="97"/>
    </row>
    <row r="517" spans="1:22" s="14" customFormat="1" ht="18" hidden="1" customHeight="1">
      <c r="A517" s="96"/>
      <c r="B517" s="47" t="s">
        <v>612</v>
      </c>
      <c r="C517" s="5"/>
      <c r="D517" s="5"/>
      <c r="E517" s="5"/>
      <c r="I517" s="227"/>
      <c r="M517" s="5"/>
      <c r="N517" s="103" t="s">
        <v>138</v>
      </c>
      <c r="O517" s="1125">
        <f>O429</f>
        <v>100</v>
      </c>
      <c r="P517" s="651"/>
      <c r="Q517" s="14" t="s">
        <v>613</v>
      </c>
      <c r="S517" s="226"/>
      <c r="T517" s="18"/>
      <c r="U517" s="18"/>
      <c r="V517" s="97"/>
    </row>
    <row r="518" spans="1:22" s="14" customFormat="1" ht="18" hidden="1" customHeight="1">
      <c r="A518" s="96"/>
      <c r="B518" s="47" t="s">
        <v>614</v>
      </c>
      <c r="C518" s="5"/>
      <c r="D518" s="5"/>
      <c r="E518" s="5"/>
      <c r="I518" s="227"/>
      <c r="M518" s="5"/>
      <c r="N518" s="103" t="s">
        <v>138</v>
      </c>
      <c r="O518" s="1125">
        <f>O430</f>
        <v>25</v>
      </c>
      <c r="P518" s="651"/>
      <c r="Q518" s="14" t="s">
        <v>615</v>
      </c>
      <c r="S518" s="226"/>
      <c r="T518" s="18"/>
      <c r="U518" s="18"/>
      <c r="V518" s="97"/>
    </row>
    <row r="519" spans="1:22" s="14" customFormat="1" ht="18" hidden="1" customHeight="1">
      <c r="A519" s="96"/>
      <c r="B519" s="47" t="s">
        <v>616</v>
      </c>
      <c r="C519" s="5"/>
      <c r="D519" s="5"/>
      <c r="E519" s="5"/>
      <c r="M519" s="120" t="s">
        <v>617</v>
      </c>
      <c r="N519" s="103" t="s">
        <v>618</v>
      </c>
      <c r="O519" s="1125">
        <f>O431</f>
        <v>132</v>
      </c>
      <c r="P519" s="651"/>
      <c r="Q519" s="14" t="s">
        <v>174</v>
      </c>
      <c r="S519" s="226"/>
      <c r="T519" s="18"/>
      <c r="U519" s="18"/>
      <c r="V519" s="97"/>
    </row>
    <row r="520" spans="1:22" s="14" customFormat="1" ht="18" hidden="1" customHeight="1">
      <c r="A520" s="228"/>
      <c r="B520" s="224"/>
      <c r="C520" s="224"/>
      <c r="D520" s="224"/>
      <c r="E520" s="224"/>
      <c r="T520" s="18"/>
      <c r="U520" s="18"/>
      <c r="V520" s="97"/>
    </row>
    <row r="521" spans="1:22" s="14" customFormat="1" ht="18" hidden="1" customHeight="1">
      <c r="A521" s="284" t="s">
        <v>619</v>
      </c>
      <c r="B521" s="225"/>
      <c r="C521" s="225"/>
      <c r="D521" s="225"/>
      <c r="E521" s="225"/>
      <c r="H521" s="120" t="s">
        <v>620</v>
      </c>
      <c r="I521" s="28" t="s">
        <v>138</v>
      </c>
      <c r="J521" s="638" t="s">
        <v>621</v>
      </c>
      <c r="K521" s="638"/>
      <c r="L521" s="28" t="s">
        <v>326</v>
      </c>
      <c r="M521" s="229">
        <v>1000</v>
      </c>
      <c r="N521" s="102" t="s">
        <v>353</v>
      </c>
      <c r="O521" s="28" t="s">
        <v>622</v>
      </c>
      <c r="P521" s="28" t="s">
        <v>326</v>
      </c>
      <c r="Q521" s="28" t="s">
        <v>617</v>
      </c>
      <c r="R521" s="47" t="s">
        <v>361</v>
      </c>
      <c r="T521" s="18"/>
      <c r="U521" s="18"/>
      <c r="V521" s="97"/>
    </row>
    <row r="522" spans="1:22" ht="18" hidden="1" customHeight="1">
      <c r="A522" s="228"/>
      <c r="B522" s="225"/>
      <c r="C522" s="225"/>
      <c r="D522" s="225"/>
      <c r="E522" s="225"/>
      <c r="F522" s="224"/>
      <c r="G522" s="224"/>
      <c r="H522" s="28"/>
      <c r="I522" s="28" t="s">
        <v>138</v>
      </c>
      <c r="J522" s="638">
        <f>O517</f>
        <v>100</v>
      </c>
      <c r="K522" s="638"/>
      <c r="L522" s="28" t="s">
        <v>326</v>
      </c>
      <c r="M522" s="229">
        <v>1000</v>
      </c>
      <c r="N522" s="102" t="s">
        <v>353</v>
      </c>
      <c r="O522" s="28" t="s">
        <v>622</v>
      </c>
      <c r="P522" s="28" t="s">
        <v>326</v>
      </c>
      <c r="Q522" s="28">
        <f>O519</f>
        <v>132</v>
      </c>
      <c r="R522" s="47" t="s">
        <v>361</v>
      </c>
      <c r="S522" s="14"/>
      <c r="T522" s="18"/>
      <c r="U522" s="18"/>
      <c r="V522" s="97"/>
    </row>
    <row r="523" spans="1:22" ht="18" hidden="1" customHeight="1">
      <c r="A523" s="228"/>
      <c r="B523" s="224"/>
      <c r="C523" s="224"/>
      <c r="D523" s="224"/>
      <c r="E523" s="224"/>
      <c r="F523" s="224"/>
      <c r="G523" s="224"/>
      <c r="H523" s="14"/>
      <c r="I523" s="28" t="s">
        <v>138</v>
      </c>
      <c r="J523" s="641">
        <f>(O517*1000)/(SQRT(3)*O519)</f>
        <v>437.38656756789834</v>
      </c>
      <c r="K523" s="641"/>
      <c r="L523" s="14" t="s">
        <v>9</v>
      </c>
      <c r="M523" s="120"/>
      <c r="N523" s="120"/>
      <c r="O523" s="120"/>
      <c r="P523" s="14"/>
      <c r="Q523" s="14"/>
      <c r="R523" s="14"/>
      <c r="S523" s="14"/>
      <c r="T523" s="18"/>
      <c r="U523" s="18"/>
      <c r="V523" s="97"/>
    </row>
    <row r="524" spans="1:22" ht="18" hidden="1" customHeight="1">
      <c r="A524" s="228"/>
      <c r="B524" s="224"/>
      <c r="C524" s="224"/>
      <c r="D524" s="224"/>
      <c r="E524" s="224"/>
      <c r="F524" s="14"/>
      <c r="G524" s="224"/>
      <c r="H524" s="28"/>
      <c r="I524" s="103"/>
      <c r="J524" s="28"/>
      <c r="K524" s="14"/>
      <c r="L524" s="14"/>
      <c r="M524" s="224"/>
      <c r="N524" s="231"/>
      <c r="O524" s="224"/>
      <c r="P524" s="14"/>
      <c r="Q524" s="14"/>
      <c r="R524" s="14"/>
      <c r="S524" s="14"/>
      <c r="T524" s="18"/>
      <c r="U524" s="18"/>
      <c r="V524" s="97"/>
    </row>
    <row r="525" spans="1:22" s="14" customFormat="1" ht="18" hidden="1" customHeight="1">
      <c r="A525" s="159" t="s">
        <v>640</v>
      </c>
      <c r="B525" s="5"/>
      <c r="C525" s="5"/>
      <c r="D525" s="5"/>
      <c r="E525" s="5"/>
      <c r="F525" s="224"/>
      <c r="G525" s="224"/>
      <c r="H525" s="5"/>
      <c r="I525" s="5"/>
      <c r="J525" s="5"/>
      <c r="K525" s="5"/>
      <c r="L525" s="103"/>
      <c r="M525" s="103"/>
      <c r="N525" s="103"/>
      <c r="O525" s="103"/>
      <c r="P525" s="224"/>
      <c r="Q525" s="225"/>
      <c r="S525" s="232"/>
      <c r="T525" s="18"/>
      <c r="U525" s="18"/>
      <c r="V525" s="97"/>
    </row>
    <row r="526" spans="1:22" s="14" customFormat="1" ht="18" hidden="1" customHeight="1">
      <c r="A526" s="159"/>
      <c r="B526" s="5"/>
      <c r="C526" s="5"/>
      <c r="D526" s="5"/>
      <c r="E526" s="5"/>
      <c r="F526" s="224"/>
      <c r="G526" s="224"/>
      <c r="H526" s="5"/>
      <c r="I526" s="5"/>
      <c r="J526" s="5"/>
      <c r="K526" s="5"/>
      <c r="L526" s="103"/>
      <c r="M526" s="103"/>
      <c r="N526" s="103"/>
      <c r="O526" s="103"/>
      <c r="P526" s="224"/>
      <c r="Q526" s="225"/>
      <c r="S526" s="226"/>
      <c r="T526" s="18"/>
      <c r="U526" s="18"/>
      <c r="V526" s="97"/>
    </row>
    <row r="527" spans="1:22" ht="18" hidden="1" customHeight="1">
      <c r="A527" s="96" t="s">
        <v>623</v>
      </c>
      <c r="B527" s="14"/>
      <c r="C527" s="14"/>
      <c r="D527" s="14"/>
      <c r="E527" s="14"/>
      <c r="M527" s="120" t="s">
        <v>624</v>
      </c>
      <c r="N527" s="28" t="s">
        <v>138</v>
      </c>
      <c r="O527" s="638" t="s">
        <v>620</v>
      </c>
      <c r="P527" s="920"/>
      <c r="Q527" s="233" t="s">
        <v>641</v>
      </c>
      <c r="R527" s="233">
        <v>16</v>
      </c>
      <c r="S527" s="198"/>
      <c r="V527" s="197"/>
    </row>
    <row r="528" spans="1:22" ht="18" hidden="1" customHeight="1">
      <c r="A528" s="96"/>
      <c r="B528" s="5"/>
      <c r="C528" s="5"/>
      <c r="D528" s="5"/>
      <c r="E528" s="5"/>
      <c r="M528" s="262"/>
      <c r="N528" s="28" t="s">
        <v>138</v>
      </c>
      <c r="O528" s="638">
        <f>+J523</f>
        <v>437.38656756789834</v>
      </c>
      <c r="P528" s="920"/>
      <c r="Q528" s="233" t="s">
        <v>641</v>
      </c>
      <c r="R528" s="233">
        <v>16</v>
      </c>
      <c r="S528" s="198"/>
      <c r="V528" s="197"/>
    </row>
    <row r="529" spans="1:22" s="291" customFormat="1" ht="18" hidden="1" customHeight="1">
      <c r="A529" s="96"/>
      <c r="B529" s="5"/>
      <c r="C529" s="5"/>
      <c r="D529" s="5"/>
      <c r="E529" s="5"/>
      <c r="F529" s="30"/>
      <c r="G529" s="30"/>
      <c r="H529" s="30"/>
      <c r="I529" s="30"/>
      <c r="J529" s="30"/>
      <c r="K529" s="30"/>
      <c r="L529" s="30"/>
      <c r="M529" s="120" t="s">
        <v>624</v>
      </c>
      <c r="N529" s="28" t="s">
        <v>138</v>
      </c>
      <c r="O529" s="638">
        <f>O528*R528</f>
        <v>6998.1850810863734</v>
      </c>
      <c r="P529" s="920"/>
      <c r="Q529" s="253" t="s">
        <v>9</v>
      </c>
      <c r="R529" s="14"/>
      <c r="S529" s="198"/>
      <c r="T529" s="30"/>
      <c r="U529" s="30"/>
      <c r="V529" s="197"/>
    </row>
    <row r="530" spans="1:22" s="291" customFormat="1" ht="18" hidden="1" customHeight="1">
      <c r="A530" s="96"/>
      <c r="B530" s="5"/>
      <c r="C530" s="5"/>
      <c r="D530" s="5"/>
      <c r="E530" s="5"/>
      <c r="F530" s="30"/>
      <c r="G530" s="30"/>
      <c r="H530" s="30"/>
      <c r="I530" s="30"/>
      <c r="J530" s="30"/>
      <c r="K530" s="30"/>
      <c r="L530" s="30"/>
      <c r="M530" s="120"/>
      <c r="N530" s="28"/>
      <c r="O530" s="28"/>
      <c r="P530" s="14"/>
      <c r="Q530" s="253"/>
      <c r="R530" s="14"/>
      <c r="S530" s="198"/>
      <c r="T530" s="30"/>
      <c r="U530" s="30"/>
      <c r="V530" s="197"/>
    </row>
    <row r="531" spans="1:22" s="291" customFormat="1" ht="18" hidden="1" customHeight="1">
      <c r="A531" s="96"/>
      <c r="B531" s="5"/>
      <c r="C531" s="5"/>
      <c r="D531" s="5"/>
      <c r="E531" s="5"/>
      <c r="F531" s="30"/>
      <c r="G531" s="30"/>
      <c r="H531" s="30"/>
      <c r="I531" s="30"/>
      <c r="J531" s="30"/>
      <c r="K531" s="30"/>
      <c r="L531" s="30"/>
      <c r="M531" s="120"/>
      <c r="N531" s="28"/>
      <c r="O531" s="28"/>
      <c r="P531" s="14"/>
      <c r="Q531" s="253"/>
      <c r="R531" s="14"/>
      <c r="S531" s="198"/>
      <c r="T531" s="30"/>
      <c r="U531" s="30"/>
      <c r="V531" s="197"/>
    </row>
    <row r="532" spans="1:22" s="291" customFormat="1" ht="18" hidden="1" customHeight="1">
      <c r="A532" s="96"/>
      <c r="B532" s="5"/>
      <c r="C532" s="5"/>
      <c r="D532" s="5"/>
      <c r="E532" s="5"/>
      <c r="F532" s="30"/>
      <c r="G532" s="30"/>
      <c r="H532" s="30"/>
      <c r="I532" s="30"/>
      <c r="J532" s="30"/>
      <c r="K532" s="30"/>
      <c r="L532" s="30"/>
      <c r="M532" s="120"/>
      <c r="N532" s="28"/>
      <c r="O532" s="28"/>
      <c r="P532" s="14"/>
      <c r="Q532" s="253"/>
      <c r="R532" s="14"/>
      <c r="S532" s="198"/>
      <c r="T532" s="30"/>
      <c r="U532" s="30"/>
      <c r="V532" s="197"/>
    </row>
    <row r="533" spans="1:22" s="291" customFormat="1" ht="18" hidden="1" customHeight="1">
      <c r="A533" s="96"/>
      <c r="B533" s="5"/>
      <c r="C533" s="5"/>
      <c r="D533" s="5"/>
      <c r="E533" s="5"/>
      <c r="F533" s="30"/>
      <c r="G533" s="30"/>
      <c r="H533" s="30"/>
      <c r="I533" s="30"/>
      <c r="J533" s="30"/>
      <c r="K533" s="30"/>
      <c r="L533" s="30"/>
      <c r="M533" s="120"/>
      <c r="N533" s="28"/>
      <c r="O533" s="28"/>
      <c r="P533" s="14"/>
      <c r="Q533" s="253"/>
      <c r="R533" s="14"/>
      <c r="S533" s="198"/>
      <c r="T533" s="30"/>
      <c r="U533" s="30"/>
      <c r="V533" s="197"/>
    </row>
    <row r="534" spans="1:22" s="291" customFormat="1" ht="18" hidden="1" customHeight="1">
      <c r="A534" s="96"/>
      <c r="B534" s="5"/>
      <c r="C534" s="5"/>
      <c r="D534" s="5"/>
      <c r="E534" s="5"/>
      <c r="F534" s="30"/>
      <c r="G534" s="30"/>
      <c r="H534" s="30"/>
      <c r="I534" s="30"/>
      <c r="J534" s="30"/>
      <c r="K534" s="30"/>
      <c r="L534" s="30"/>
      <c r="M534" s="120"/>
      <c r="N534" s="28"/>
      <c r="O534" s="28"/>
      <c r="P534" s="14"/>
      <c r="Q534" s="253"/>
      <c r="R534" s="14"/>
      <c r="S534" s="198"/>
      <c r="T534" s="30"/>
      <c r="U534" s="30"/>
      <c r="V534" s="197"/>
    </row>
    <row r="535" spans="1:22" s="291" customFormat="1" ht="18" hidden="1" customHeight="1">
      <c r="A535" s="206"/>
      <c r="B535" s="207"/>
      <c r="C535" s="207"/>
      <c r="D535" s="207"/>
      <c r="E535" s="207"/>
      <c r="F535" s="207"/>
      <c r="G535" s="207"/>
      <c r="H535" s="207"/>
      <c r="I535" s="207"/>
      <c r="J535" s="207"/>
      <c r="K535" s="207"/>
      <c r="L535" s="207"/>
      <c r="M535" s="207"/>
      <c r="N535" s="207"/>
      <c r="O535" s="207"/>
      <c r="P535" s="207"/>
      <c r="Q535" s="236"/>
      <c r="R535" s="194"/>
      <c r="S535" s="237"/>
      <c r="T535" s="207"/>
      <c r="U535" s="207"/>
      <c r="V535" s="140" t="s">
        <v>563</v>
      </c>
    </row>
    <row r="536" spans="1:22" ht="18" hidden="1" customHeight="1">
      <c r="A536" s="141"/>
      <c r="B536" s="285"/>
      <c r="C536" s="285"/>
      <c r="D536" s="285"/>
      <c r="E536" s="285"/>
      <c r="F536" s="285"/>
      <c r="G536" s="285"/>
      <c r="H536" s="285"/>
      <c r="I536" s="285"/>
      <c r="J536" s="285"/>
      <c r="K536" s="285"/>
      <c r="L536" s="285"/>
      <c r="M536" s="285"/>
      <c r="N536" s="285"/>
      <c r="O536" s="285"/>
      <c r="P536" s="285"/>
      <c r="Q536" s="286"/>
      <c r="R536" s="145"/>
      <c r="S536" s="287"/>
      <c r="T536" s="285"/>
      <c r="U536" s="285"/>
      <c r="V536" s="288"/>
    </row>
    <row r="537" spans="1:22" ht="18" hidden="1" customHeight="1">
      <c r="A537" s="96" t="s">
        <v>697</v>
      </c>
      <c r="V537" s="197"/>
    </row>
    <row r="538" spans="1:22" ht="18" hidden="1" customHeight="1">
      <c r="A538" s="196"/>
      <c r="V538" s="197"/>
    </row>
    <row r="539" spans="1:22" ht="18" hidden="1" customHeight="1">
      <c r="A539" s="289"/>
      <c r="B539" s="638" t="s">
        <v>484</v>
      </c>
      <c r="C539" s="1124" t="s">
        <v>663</v>
      </c>
      <c r="D539" s="291"/>
      <c r="E539" s="291"/>
      <c r="F539" s="291"/>
      <c r="G539" s="1008" t="s">
        <v>698</v>
      </c>
      <c r="H539" s="1156" t="s">
        <v>326</v>
      </c>
      <c r="I539" s="661" t="s">
        <v>699</v>
      </c>
      <c r="J539" s="1099"/>
      <c r="K539" s="1099"/>
      <c r="L539" s="1099"/>
      <c r="M539" s="1099"/>
      <c r="N539" s="638" t="s">
        <v>683</v>
      </c>
      <c r="O539" s="661" t="s">
        <v>431</v>
      </c>
      <c r="P539" s="638" t="s">
        <v>358</v>
      </c>
      <c r="Q539" s="661" t="s">
        <v>700</v>
      </c>
      <c r="R539" s="661" t="s">
        <v>685</v>
      </c>
      <c r="S539" s="661" t="s">
        <v>422</v>
      </c>
      <c r="T539" s="14"/>
      <c r="U539" s="958" t="s">
        <v>664</v>
      </c>
      <c r="V539" s="197"/>
    </row>
    <row r="540" spans="1:22" ht="18" hidden="1" customHeight="1">
      <c r="A540" s="289"/>
      <c r="B540" s="638"/>
      <c r="C540" s="638"/>
      <c r="D540" s="291"/>
      <c r="E540" s="291"/>
      <c r="F540" s="291"/>
      <c r="G540" s="1008"/>
      <c r="H540" s="638"/>
      <c r="I540" s="638">
        <v>1.3</v>
      </c>
      <c r="J540" s="638"/>
      <c r="K540" s="28" t="s">
        <v>326</v>
      </c>
      <c r="L540" s="638" t="s">
        <v>434</v>
      </c>
      <c r="M540" s="638"/>
      <c r="N540" s="638"/>
      <c r="O540" s="638"/>
      <c r="P540" s="638"/>
      <c r="Q540" s="638"/>
      <c r="R540" s="638"/>
      <c r="S540" s="638"/>
      <c r="T540" s="14"/>
      <c r="U540" s="638"/>
      <c r="V540" s="197"/>
    </row>
    <row r="541" spans="1:22" ht="18" hidden="1" customHeight="1">
      <c r="A541" s="196"/>
      <c r="V541" s="197"/>
    </row>
    <row r="542" spans="1:22" ht="18" hidden="1" customHeight="1">
      <c r="A542" s="196"/>
      <c r="B542" s="47" t="s">
        <v>665</v>
      </c>
      <c r="C542" s="14"/>
      <c r="D542" s="14"/>
      <c r="E542" s="14"/>
      <c r="F542" s="18"/>
      <c r="G542" s="18"/>
      <c r="H542" s="14"/>
      <c r="I542" s="120"/>
      <c r="J542" s="14"/>
      <c r="K542" s="14"/>
      <c r="M542" s="14"/>
      <c r="N542" s="14"/>
      <c r="P542" s="14" t="s">
        <v>434</v>
      </c>
      <c r="R542" s="246" t="s">
        <v>138</v>
      </c>
      <c r="S542" s="639">
        <f>L496</f>
        <v>3000</v>
      </c>
      <c r="T542" s="639"/>
      <c r="U542" s="30" t="s">
        <v>9</v>
      </c>
      <c r="V542" s="197"/>
    </row>
    <row r="543" spans="1:22" ht="18" hidden="1" customHeight="1">
      <c r="A543" s="196"/>
      <c r="B543" s="47" t="s">
        <v>666</v>
      </c>
      <c r="C543" s="14"/>
      <c r="D543" s="14"/>
      <c r="E543" s="14"/>
      <c r="F543" s="18"/>
      <c r="G543" s="18"/>
      <c r="H543" s="14"/>
      <c r="I543" s="120"/>
      <c r="J543" s="14"/>
      <c r="K543" s="14"/>
      <c r="M543" s="14"/>
      <c r="N543" s="14"/>
      <c r="P543" s="14" t="s">
        <v>431</v>
      </c>
      <c r="R543" s="246" t="s">
        <v>138</v>
      </c>
      <c r="S543" s="639">
        <f>L498</f>
        <v>10</v>
      </c>
      <c r="T543" s="639"/>
      <c r="U543" s="204" t="s">
        <v>344</v>
      </c>
      <c r="V543" s="197"/>
    </row>
    <row r="544" spans="1:22" ht="18" hidden="1" customHeight="1">
      <c r="A544" s="196"/>
      <c r="B544" s="47" t="s">
        <v>687</v>
      </c>
      <c r="C544" s="14"/>
      <c r="D544" s="14"/>
      <c r="E544" s="14"/>
      <c r="F544" s="18"/>
      <c r="G544" s="18"/>
      <c r="H544" s="14"/>
      <c r="I544" s="120"/>
      <c r="J544" s="14"/>
      <c r="K544" s="14"/>
      <c r="M544" s="14"/>
      <c r="N544" s="14"/>
      <c r="P544" s="14" t="s">
        <v>701</v>
      </c>
      <c r="R544" s="246" t="s">
        <v>138</v>
      </c>
      <c r="S544" s="637">
        <f>Q515</f>
        <v>1.5418674400000001</v>
      </c>
      <c r="T544" s="637"/>
      <c r="U544" s="204" t="s">
        <v>344</v>
      </c>
      <c r="V544" s="197"/>
    </row>
    <row r="545" spans="1:22" ht="18" hidden="1" customHeight="1">
      <c r="A545" s="196"/>
      <c r="B545" s="47" t="s">
        <v>702</v>
      </c>
      <c r="C545" s="14"/>
      <c r="D545" s="14"/>
      <c r="E545" s="14"/>
      <c r="F545" s="14"/>
      <c r="G545" s="14"/>
      <c r="H545" s="14"/>
      <c r="I545" s="120"/>
      <c r="J545" s="14"/>
      <c r="K545" s="14"/>
      <c r="M545" s="14"/>
      <c r="N545" s="14"/>
      <c r="P545" s="14" t="s">
        <v>422</v>
      </c>
      <c r="R545" s="246" t="s">
        <v>138</v>
      </c>
      <c r="S545" s="639">
        <f>O496</f>
        <v>1</v>
      </c>
      <c r="T545" s="639"/>
      <c r="U545" s="30" t="s">
        <v>9</v>
      </c>
      <c r="V545" s="197"/>
    </row>
    <row r="546" spans="1:22" ht="18" hidden="1" customHeight="1">
      <c r="A546" s="196"/>
      <c r="B546" s="47" t="s">
        <v>689</v>
      </c>
      <c r="C546" s="14"/>
      <c r="D546" s="14"/>
      <c r="E546" s="14"/>
      <c r="F546" s="14"/>
      <c r="G546" s="14"/>
      <c r="H546" s="14"/>
      <c r="I546" s="120"/>
      <c r="J546" s="14"/>
      <c r="K546" s="14"/>
      <c r="M546" s="14"/>
      <c r="N546" s="14"/>
      <c r="P546" s="120" t="s">
        <v>699</v>
      </c>
      <c r="R546" s="246" t="s">
        <v>138</v>
      </c>
      <c r="S546" s="639">
        <f>O529</f>
        <v>6998.1850810863734</v>
      </c>
      <c r="T546" s="639"/>
      <c r="U546" s="30" t="s">
        <v>9</v>
      </c>
      <c r="V546" s="197"/>
    </row>
    <row r="547" spans="1:22" s="291" customFormat="1" ht="18" hidden="1" customHeight="1">
      <c r="A547" s="196"/>
      <c r="B547" s="47" t="s">
        <v>703</v>
      </c>
      <c r="C547" s="14"/>
      <c r="D547" s="14"/>
      <c r="E547" s="14"/>
      <c r="F547" s="14"/>
      <c r="G547" s="14"/>
      <c r="H547" s="14"/>
      <c r="I547" s="120"/>
      <c r="J547" s="14"/>
      <c r="K547" s="14"/>
      <c r="L547" s="30"/>
      <c r="M547" s="14"/>
      <c r="N547" s="14"/>
      <c r="O547" s="30"/>
      <c r="P547" s="120" t="s">
        <v>691</v>
      </c>
      <c r="Q547" s="30"/>
      <c r="R547" s="246" t="s">
        <v>138</v>
      </c>
      <c r="S547" s="637">
        <f>J523</f>
        <v>437.38656756789834</v>
      </c>
      <c r="T547" s="639"/>
      <c r="U547" s="30" t="s">
        <v>9</v>
      </c>
      <c r="V547" s="197"/>
    </row>
    <row r="548" spans="1:22" s="291" customFormat="1" ht="18" hidden="1" customHeight="1">
      <c r="A548" s="196"/>
      <c r="B548" s="47" t="s">
        <v>670</v>
      </c>
      <c r="C548" s="14"/>
      <c r="D548" s="14"/>
      <c r="E548" s="14"/>
      <c r="F548" s="14"/>
      <c r="G548" s="14"/>
      <c r="H548" s="14"/>
      <c r="I548" s="120"/>
      <c r="J548" s="14"/>
      <c r="K548" s="14"/>
      <c r="L548" s="30"/>
      <c r="M548" s="14"/>
      <c r="N548" s="14"/>
      <c r="O548" s="30"/>
      <c r="P548" s="120" t="s">
        <v>671</v>
      </c>
      <c r="Q548" s="30"/>
      <c r="R548" s="246" t="s">
        <v>138</v>
      </c>
      <c r="S548" s="639">
        <f>S460</f>
        <v>1</v>
      </c>
      <c r="T548" s="639"/>
      <c r="U548" s="30" t="s">
        <v>9</v>
      </c>
      <c r="V548" s="197"/>
    </row>
    <row r="549" spans="1:22" ht="18" hidden="1" customHeight="1">
      <c r="A549" s="96"/>
      <c r="B549" s="14"/>
      <c r="C549" s="14"/>
      <c r="D549" s="247"/>
      <c r="E549" s="14"/>
      <c r="F549" s="28"/>
      <c r="G549" s="261"/>
      <c r="H549" s="28"/>
      <c r="I549" s="263"/>
      <c r="J549" s="14"/>
      <c r="K549" s="292"/>
      <c r="M549" s="47"/>
      <c r="N549" s="280"/>
      <c r="P549" s="293"/>
      <c r="R549" s="246"/>
      <c r="S549" s="1161"/>
      <c r="T549" s="985"/>
      <c r="V549" s="197"/>
    </row>
    <row r="550" spans="1:22" ht="18" hidden="1" customHeight="1">
      <c r="A550" s="284" t="s">
        <v>704</v>
      </c>
      <c r="B550" s="14"/>
      <c r="C550" s="14"/>
      <c r="D550" s="14"/>
      <c r="E550" s="14"/>
      <c r="F550" s="14"/>
      <c r="G550" s="14"/>
      <c r="H550" s="28">
        <v>3</v>
      </c>
      <c r="I550" s="47" t="s">
        <v>705</v>
      </c>
      <c r="J550" s="14"/>
      <c r="K550" s="14"/>
      <c r="M550" s="14" t="s">
        <v>348</v>
      </c>
      <c r="N550" s="14"/>
      <c r="P550" s="120"/>
      <c r="R550" s="246"/>
      <c r="S550" s="1162"/>
      <c r="T550" s="985"/>
      <c r="V550" s="197"/>
    </row>
    <row r="551" spans="1:22" ht="18" hidden="1" customHeight="1">
      <c r="A551" s="284"/>
      <c r="B551" s="14"/>
      <c r="C551" s="14"/>
      <c r="D551" s="14"/>
      <c r="E551" s="14"/>
      <c r="F551" s="14"/>
      <c r="G551" s="14"/>
      <c r="H551" s="28"/>
      <c r="I551" s="47"/>
      <c r="J551" s="14"/>
      <c r="K551" s="14"/>
      <c r="M551" s="14"/>
      <c r="N551" s="14"/>
      <c r="P551" s="120"/>
      <c r="R551" s="246"/>
      <c r="S551" s="294"/>
      <c r="V551" s="197"/>
    </row>
    <row r="552" spans="1:22" ht="18" hidden="1" customHeight="1">
      <c r="A552" s="289"/>
      <c r="B552" s="638" t="s">
        <v>714</v>
      </c>
      <c r="C552" s="1124" t="s">
        <v>663</v>
      </c>
      <c r="D552" s="291"/>
      <c r="E552" s="291"/>
      <c r="F552" s="291"/>
      <c r="G552" s="1008">
        <f>H550</f>
        <v>3</v>
      </c>
      <c r="H552" s="1157" t="s">
        <v>326</v>
      </c>
      <c r="I552" s="1026">
        <f>S546</f>
        <v>6998.1850810863734</v>
      </c>
      <c r="J552" s="1159"/>
      <c r="K552" s="1159"/>
      <c r="L552" s="1159"/>
      <c r="M552" s="1159"/>
      <c r="N552" s="638" t="s">
        <v>683</v>
      </c>
      <c r="O552" s="661">
        <f>S543</f>
        <v>10</v>
      </c>
      <c r="P552" s="638" t="s">
        <v>358</v>
      </c>
      <c r="Q552" s="1026">
        <f>S544</f>
        <v>1.5418674400000001</v>
      </c>
      <c r="R552" s="661" t="s">
        <v>685</v>
      </c>
      <c r="S552" s="661">
        <f>S545</f>
        <v>1</v>
      </c>
      <c r="T552" s="14"/>
      <c r="U552" s="958" t="s">
        <v>664</v>
      </c>
      <c r="V552" s="197"/>
    </row>
    <row r="553" spans="1:22" ht="18" hidden="1" customHeight="1">
      <c r="A553" s="289"/>
      <c r="B553" s="638"/>
      <c r="C553" s="638"/>
      <c r="D553" s="291"/>
      <c r="E553" s="291"/>
      <c r="F553" s="291"/>
      <c r="G553" s="1008"/>
      <c r="H553" s="639"/>
      <c r="I553" s="638">
        <v>1.3</v>
      </c>
      <c r="J553" s="639"/>
      <c r="K553" s="28" t="s">
        <v>326</v>
      </c>
      <c r="L553" s="638">
        <f>S542</f>
        <v>3000</v>
      </c>
      <c r="M553" s="639"/>
      <c r="N553" s="638"/>
      <c r="O553" s="638"/>
      <c r="P553" s="638"/>
      <c r="Q553" s="638"/>
      <c r="R553" s="638"/>
      <c r="S553" s="638"/>
      <c r="T553" s="14"/>
      <c r="U553" s="638"/>
      <c r="V553" s="197"/>
    </row>
    <row r="554" spans="1:22" ht="18" hidden="1" customHeight="1">
      <c r="A554" s="96"/>
      <c r="B554" s="14"/>
      <c r="C554" s="27" t="s">
        <v>138</v>
      </c>
      <c r="D554" s="798">
        <f>G552*(I552/(I553*L553)*(O552+Q552)*S552)</f>
        <v>62.132403481911211</v>
      </c>
      <c r="E554" s="799"/>
      <c r="F554" s="30" t="s">
        <v>316</v>
      </c>
      <c r="G554" s="14"/>
      <c r="H554" s="14"/>
      <c r="I554" s="14"/>
      <c r="J554" s="14"/>
      <c r="K554" s="14"/>
      <c r="L554" s="14"/>
      <c r="M554" s="14"/>
      <c r="N554" s="14"/>
      <c r="R554" s="246"/>
      <c r="S554" s="216"/>
      <c r="V554" s="197"/>
    </row>
    <row r="555" spans="1:22" ht="18" hidden="1" customHeight="1">
      <c r="A555" s="96"/>
      <c r="B555" s="14"/>
      <c r="G555" s="14"/>
      <c r="H555" s="14"/>
      <c r="I555" s="14"/>
      <c r="J555" s="14"/>
      <c r="K555" s="14"/>
      <c r="L555" s="14"/>
      <c r="M555" s="14"/>
      <c r="N555" s="14"/>
      <c r="R555" s="246"/>
      <c r="S555" s="216"/>
      <c r="V555" s="197"/>
    </row>
    <row r="556" spans="1:22" ht="18" hidden="1" customHeight="1">
      <c r="A556" s="96"/>
      <c r="B556" s="14"/>
      <c r="D556" s="30" t="s">
        <v>486</v>
      </c>
      <c r="G556" s="27" t="str">
        <f>IF(E557&gt;H557,"&gt;","&lt;")</f>
        <v>&gt;</v>
      </c>
      <c r="H556" s="30" t="s">
        <v>488</v>
      </c>
      <c r="M556" s="14"/>
      <c r="N556" s="14"/>
      <c r="R556" s="246"/>
      <c r="S556" s="216"/>
      <c r="V556" s="197"/>
    </row>
    <row r="557" spans="1:22" ht="18" hidden="1" customHeight="1">
      <c r="A557" s="96"/>
      <c r="B557" s="14"/>
      <c r="E557" s="639">
        <f>L499</f>
        <v>800</v>
      </c>
      <c r="F557" s="639"/>
      <c r="G557" s="27" t="str">
        <f>G556</f>
        <v>&gt;</v>
      </c>
      <c r="H557" s="637">
        <f>D554</f>
        <v>62.132403481911211</v>
      </c>
      <c r="I557" s="639"/>
      <c r="M557" s="14"/>
      <c r="N557" s="14"/>
      <c r="R557" s="246"/>
      <c r="S557" s="216"/>
      <c r="V557" s="197"/>
    </row>
    <row r="558" spans="1:22" ht="18" hidden="1" customHeight="1">
      <c r="A558" s="96"/>
      <c r="B558" s="14"/>
      <c r="F558" s="256" t="s">
        <v>489</v>
      </c>
      <c r="H558" s="18" t="str">
        <f>IF(G556="&gt;","Suitably Dimentioned","Under Dimentioned")</f>
        <v>Suitably Dimentioned</v>
      </c>
      <c r="M558" s="14"/>
      <c r="N558" s="14"/>
      <c r="R558" s="246"/>
      <c r="S558" s="216"/>
      <c r="V558" s="197"/>
    </row>
    <row r="559" spans="1:22" ht="18" hidden="1" customHeight="1">
      <c r="A559" s="96"/>
      <c r="B559" s="14"/>
      <c r="G559" s="14"/>
      <c r="H559" s="14"/>
      <c r="I559" s="14"/>
      <c r="J559" s="14"/>
      <c r="K559" s="14"/>
      <c r="L559" s="14"/>
      <c r="M559" s="14"/>
      <c r="N559" s="14"/>
      <c r="R559" s="246"/>
      <c r="S559" s="216"/>
      <c r="V559" s="197"/>
    </row>
    <row r="560" spans="1:22" ht="18" hidden="1" customHeight="1">
      <c r="A560" s="205" t="s">
        <v>706</v>
      </c>
      <c r="B560" s="14"/>
      <c r="G560" s="14"/>
      <c r="H560" s="14"/>
      <c r="I560" s="14"/>
      <c r="J560" s="14"/>
      <c r="K560" s="14"/>
      <c r="L560" s="14"/>
      <c r="M560" s="14"/>
      <c r="N560" s="14"/>
      <c r="R560" s="246"/>
      <c r="S560" s="216"/>
      <c r="V560" s="197"/>
    </row>
    <row r="561" spans="1:22" ht="18" hidden="1" customHeight="1">
      <c r="A561" s="96"/>
      <c r="B561" s="14"/>
      <c r="D561" s="1008" t="s">
        <v>707</v>
      </c>
      <c r="E561" s="920"/>
      <c r="F561" s="638" t="s">
        <v>138</v>
      </c>
      <c r="G561" s="661" t="s">
        <v>434</v>
      </c>
      <c r="H561" s="1099"/>
      <c r="I561" s="638" t="s">
        <v>326</v>
      </c>
      <c r="J561" s="661" t="s">
        <v>708</v>
      </c>
      <c r="K561" s="1099"/>
      <c r="L561" s="14"/>
      <c r="M561" s="14"/>
      <c r="N561" s="14"/>
      <c r="R561" s="246"/>
      <c r="S561" s="216"/>
      <c r="V561" s="197"/>
    </row>
    <row r="562" spans="1:22" ht="18" hidden="1" customHeight="1">
      <c r="A562" s="96"/>
      <c r="B562" s="14"/>
      <c r="D562" s="920"/>
      <c r="E562" s="920"/>
      <c r="F562" s="638"/>
      <c r="G562" s="638" t="s">
        <v>691</v>
      </c>
      <c r="H562" s="920"/>
      <c r="I562" s="638"/>
      <c r="J562" s="638" t="s">
        <v>422</v>
      </c>
      <c r="K562" s="920"/>
      <c r="L562" s="14"/>
      <c r="M562" s="14"/>
      <c r="N562" s="14"/>
      <c r="R562" s="246"/>
      <c r="S562" s="216"/>
      <c r="V562" s="197"/>
    </row>
    <row r="563" spans="1:22" ht="18" hidden="1" customHeight="1">
      <c r="A563" s="96"/>
      <c r="B563" s="14"/>
      <c r="D563" s="14"/>
      <c r="E563" s="14"/>
      <c r="F563" s="14"/>
      <c r="G563" s="14"/>
      <c r="H563" s="14"/>
      <c r="I563" s="14"/>
      <c r="J563" s="14"/>
      <c r="K563" s="14"/>
      <c r="L563" s="14"/>
      <c r="M563" s="14"/>
      <c r="N563" s="14"/>
      <c r="R563" s="246"/>
      <c r="S563" s="216"/>
      <c r="V563" s="197"/>
    </row>
    <row r="564" spans="1:22" ht="18" hidden="1" customHeight="1">
      <c r="A564" s="96"/>
      <c r="B564" s="14"/>
      <c r="D564" s="14"/>
      <c r="E564" s="14"/>
      <c r="F564" s="638" t="s">
        <v>138</v>
      </c>
      <c r="G564" s="661">
        <f>S542</f>
        <v>3000</v>
      </c>
      <c r="H564" s="1099"/>
      <c r="I564" s="638" t="s">
        <v>326</v>
      </c>
      <c r="J564" s="661">
        <f>S548</f>
        <v>1</v>
      </c>
      <c r="K564" s="1099"/>
      <c r="L564" s="14"/>
      <c r="M564" s="14"/>
      <c r="N564" s="14"/>
      <c r="R564" s="246"/>
      <c r="S564" s="216"/>
      <c r="V564" s="197"/>
    </row>
    <row r="565" spans="1:22" ht="18" hidden="1" customHeight="1">
      <c r="A565" s="96"/>
      <c r="B565" s="14"/>
      <c r="D565" s="14"/>
      <c r="E565" s="14"/>
      <c r="F565" s="638"/>
      <c r="G565" s="641">
        <f>J523</f>
        <v>437.38656756789834</v>
      </c>
      <c r="H565" s="920"/>
      <c r="I565" s="638"/>
      <c r="J565" s="638">
        <f>S545</f>
        <v>1</v>
      </c>
      <c r="K565" s="920"/>
      <c r="L565" s="14"/>
      <c r="M565" s="14"/>
      <c r="N565" s="14"/>
      <c r="R565" s="246"/>
      <c r="S565" s="216"/>
      <c r="V565" s="197"/>
    </row>
    <row r="566" spans="1:22" ht="18" hidden="1" customHeight="1">
      <c r="A566" s="96"/>
      <c r="B566" s="14"/>
      <c r="D566" s="14"/>
      <c r="E566" s="14"/>
      <c r="F566" s="14"/>
      <c r="G566" s="14"/>
      <c r="H566" s="14"/>
      <c r="I566" s="14"/>
      <c r="J566" s="14"/>
      <c r="K566" s="14"/>
      <c r="L566" s="14"/>
      <c r="M566" s="14"/>
      <c r="N566" s="14"/>
      <c r="R566" s="246"/>
      <c r="S566" s="216"/>
      <c r="V566" s="197"/>
    </row>
    <row r="567" spans="1:22" ht="18" hidden="1" customHeight="1">
      <c r="A567" s="96"/>
      <c r="B567" s="14"/>
      <c r="D567" s="14"/>
      <c r="E567" s="14"/>
      <c r="F567" s="28" t="s">
        <v>138</v>
      </c>
      <c r="G567" s="638">
        <f>(G564/G565)*(J564/J565)</f>
        <v>6.8589211979727533</v>
      </c>
      <c r="H567" s="638"/>
      <c r="I567" s="14"/>
      <c r="J567" s="14"/>
      <c r="K567" s="14"/>
      <c r="L567" s="14"/>
      <c r="M567" s="14"/>
      <c r="N567" s="14"/>
      <c r="R567" s="246"/>
      <c r="S567" s="216"/>
      <c r="V567" s="197"/>
    </row>
    <row r="568" spans="1:22" ht="18" hidden="1" customHeight="1">
      <c r="A568" s="96"/>
      <c r="B568" s="14"/>
      <c r="G568" s="14"/>
      <c r="H568" s="14"/>
      <c r="I568" s="14"/>
      <c r="J568" s="14"/>
      <c r="K568" s="14"/>
      <c r="L568" s="14"/>
      <c r="M568" s="14"/>
      <c r="N568" s="14"/>
      <c r="R568" s="246"/>
      <c r="S568" s="216"/>
      <c r="V568" s="197"/>
    </row>
    <row r="569" spans="1:22" s="14" customFormat="1" ht="18" hidden="1" customHeight="1">
      <c r="A569" s="96"/>
      <c r="C569" s="30"/>
      <c r="D569" s="295" t="s">
        <v>709</v>
      </c>
      <c r="E569" s="296" t="s">
        <v>710</v>
      </c>
      <c r="F569" s="638" t="s">
        <v>707</v>
      </c>
      <c r="G569" s="920"/>
      <c r="H569" s="920"/>
      <c r="I569" s="296" t="s">
        <v>710</v>
      </c>
      <c r="J569" s="28">
        <v>4</v>
      </c>
      <c r="K569" s="30"/>
      <c r="L569" s="291"/>
      <c r="M569" s="120" t="s">
        <v>711</v>
      </c>
      <c r="N569" s="47" t="s">
        <v>712</v>
      </c>
      <c r="O569" s="291"/>
      <c r="P569" s="248"/>
      <c r="Q569" s="248"/>
      <c r="R569" s="246"/>
      <c r="S569" s="216"/>
      <c r="T569" s="30"/>
      <c r="U569" s="30"/>
      <c r="V569" s="197"/>
    </row>
    <row r="570" spans="1:22" ht="18" hidden="1" customHeight="1">
      <c r="A570" s="96"/>
      <c r="B570" s="14"/>
      <c r="D570" s="230">
        <v>0.25</v>
      </c>
      <c r="E570" s="296" t="str">
        <f>IF(D570&lt;=G567,"≤","&gt;")</f>
        <v>≤</v>
      </c>
      <c r="F570" s="911">
        <f>G567</f>
        <v>6.8589211979727533</v>
      </c>
      <c r="G570" s="1163"/>
      <c r="H570" s="911"/>
      <c r="I570" s="296" t="str">
        <f>IF(G567&lt;=J569,"≤","&gt;")</f>
        <v>&gt;</v>
      </c>
      <c r="J570" s="28">
        <f>J569</f>
        <v>4</v>
      </c>
      <c r="L570" s="291"/>
      <c r="M570" s="120"/>
      <c r="N570" s="225"/>
      <c r="O570" s="291"/>
      <c r="P570" s="248"/>
      <c r="Q570" s="248"/>
      <c r="R570" s="246"/>
      <c r="S570" s="216"/>
      <c r="V570" s="197"/>
    </row>
    <row r="571" spans="1:22" ht="18" hidden="1" customHeight="1">
      <c r="A571" s="96"/>
      <c r="B571" s="14"/>
      <c r="G571" s="14"/>
      <c r="H571" s="14"/>
      <c r="I571" s="14"/>
      <c r="J571" s="14"/>
      <c r="K571" s="14"/>
      <c r="L571" s="14"/>
      <c r="M571" s="14"/>
      <c r="N571" s="14"/>
      <c r="R571" s="246"/>
      <c r="S571" s="216"/>
      <c r="V571" s="197"/>
    </row>
    <row r="572" spans="1:22" ht="18" hidden="1" customHeight="1">
      <c r="A572" s="96"/>
      <c r="B572" s="14" t="s">
        <v>713</v>
      </c>
      <c r="G572" s="14"/>
      <c r="H572" s="18" t="str">
        <f>IF(AND(E570="≤",I570="≤")=TRUE,"OK","Not OK")</f>
        <v>Not OK</v>
      </c>
      <c r="I572" s="14"/>
      <c r="J572" s="14"/>
      <c r="K572" s="14"/>
      <c r="L572" s="14"/>
      <c r="M572" s="14"/>
      <c r="N572" s="14"/>
      <c r="R572" s="246"/>
      <c r="S572" s="216"/>
      <c r="V572" s="197"/>
    </row>
    <row r="573" spans="1:22" ht="18" hidden="1" customHeight="1">
      <c r="A573" s="96"/>
      <c r="B573" s="14"/>
      <c r="G573" s="14"/>
      <c r="H573" s="18"/>
      <c r="I573" s="14"/>
      <c r="J573" s="14"/>
      <c r="K573" s="14"/>
      <c r="L573" s="14"/>
      <c r="M573" s="14"/>
      <c r="N573" s="14"/>
      <c r="R573" s="246"/>
      <c r="S573" s="216"/>
      <c r="V573" s="197"/>
    </row>
    <row r="574" spans="1:22" ht="18" hidden="1" customHeight="1">
      <c r="A574" s="96"/>
      <c r="B574" s="14"/>
      <c r="G574" s="14"/>
      <c r="H574" s="18"/>
      <c r="I574" s="14"/>
      <c r="J574" s="14"/>
      <c r="K574" s="14"/>
      <c r="L574" s="14"/>
      <c r="M574" s="14"/>
      <c r="N574" s="14"/>
      <c r="R574" s="246"/>
      <c r="S574" s="216"/>
      <c r="V574" s="197"/>
    </row>
    <row r="575" spans="1:22" ht="18" hidden="1" customHeight="1">
      <c r="A575" s="96"/>
      <c r="B575" s="14"/>
      <c r="G575" s="14"/>
      <c r="H575" s="18"/>
      <c r="I575" s="14"/>
      <c r="J575" s="14"/>
      <c r="K575" s="14"/>
      <c r="L575" s="14"/>
      <c r="M575" s="14"/>
      <c r="N575" s="14"/>
      <c r="R575" s="246"/>
      <c r="S575" s="216"/>
      <c r="V575" s="197"/>
    </row>
    <row r="576" spans="1:22" ht="18" hidden="1" customHeight="1">
      <c r="A576" s="96"/>
      <c r="B576" s="14"/>
      <c r="G576" s="14"/>
      <c r="H576" s="18"/>
      <c r="I576" s="14"/>
      <c r="J576" s="14"/>
      <c r="K576" s="14"/>
      <c r="L576" s="14"/>
      <c r="M576" s="14"/>
      <c r="N576" s="14"/>
      <c r="R576" s="246"/>
      <c r="S576" s="216"/>
      <c r="V576" s="197"/>
    </row>
    <row r="577" spans="1:22" ht="18" hidden="1" customHeight="1">
      <c r="A577" s="96"/>
      <c r="B577" s="14"/>
      <c r="G577" s="14"/>
      <c r="H577" s="18"/>
      <c r="I577" s="14"/>
      <c r="J577" s="14"/>
      <c r="K577" s="14"/>
      <c r="L577" s="14"/>
      <c r="M577" s="14"/>
      <c r="N577" s="14"/>
      <c r="R577" s="246"/>
      <c r="S577" s="216"/>
      <c r="V577" s="197"/>
    </row>
    <row r="578" spans="1:22" ht="18" hidden="1" customHeight="1">
      <c r="A578" s="96"/>
      <c r="B578" s="14"/>
      <c r="G578" s="14"/>
      <c r="H578" s="14"/>
      <c r="I578" s="14"/>
      <c r="J578" s="14"/>
      <c r="K578" s="14"/>
      <c r="L578" s="14"/>
      <c r="M578" s="14"/>
      <c r="N578" s="14"/>
      <c r="R578" s="246"/>
      <c r="S578" s="216"/>
      <c r="V578" s="197"/>
    </row>
    <row r="579" spans="1:22" ht="18" hidden="1" customHeight="1">
      <c r="A579" s="206"/>
      <c r="B579" s="207"/>
      <c r="C579" s="207"/>
      <c r="D579" s="207"/>
      <c r="E579" s="207"/>
      <c r="F579" s="207"/>
      <c r="G579" s="207"/>
      <c r="H579" s="207"/>
      <c r="I579" s="207"/>
      <c r="J579" s="207"/>
      <c r="K579" s="207"/>
      <c r="L579" s="207"/>
      <c r="M579" s="207"/>
      <c r="N579" s="207"/>
      <c r="O579" s="207"/>
      <c r="P579" s="207"/>
      <c r="Q579" s="236"/>
      <c r="R579" s="194"/>
      <c r="S579" s="237"/>
      <c r="T579" s="207"/>
      <c r="U579" s="207"/>
      <c r="V579" s="140" t="s">
        <v>563</v>
      </c>
    </row>
    <row r="580" spans="1:22" ht="18" hidden="1" customHeight="1">
      <c r="A580" s="238"/>
      <c r="B580" s="239"/>
      <c r="C580" s="239"/>
      <c r="D580" s="239"/>
      <c r="E580" s="239"/>
      <c r="F580" s="239"/>
      <c r="G580" s="239"/>
      <c r="H580" s="239"/>
      <c r="I580" s="239"/>
      <c r="J580" s="239"/>
      <c r="K580" s="239"/>
      <c r="L580" s="239"/>
      <c r="M580" s="239"/>
      <c r="N580" s="239"/>
      <c r="O580" s="239"/>
      <c r="P580" s="239"/>
      <c r="Q580" s="239"/>
      <c r="R580" s="239"/>
      <c r="S580" s="239"/>
      <c r="T580" s="239"/>
      <c r="U580" s="239"/>
      <c r="V580" s="240"/>
    </row>
    <row r="581" spans="1:22" ht="18" hidden="1" customHeight="1">
      <c r="A581" s="274" t="s">
        <v>543</v>
      </c>
      <c r="B581" s="14"/>
      <c r="C581" s="14"/>
      <c r="D581" s="120"/>
      <c r="E581" s="120"/>
      <c r="F581" s="18"/>
      <c r="G581" s="18"/>
      <c r="H581" s="14"/>
      <c r="I581" s="14"/>
      <c r="J581" s="14"/>
      <c r="K581" s="14"/>
      <c r="L581" s="14"/>
      <c r="M581" s="14"/>
      <c r="N581" s="14"/>
      <c r="O581" s="14"/>
      <c r="P581" s="28"/>
      <c r="Q581" s="120"/>
      <c r="R581" s="47"/>
      <c r="S581" s="218"/>
      <c r="T581" s="271"/>
      <c r="U581" s="14"/>
      <c r="V581" s="97"/>
    </row>
    <row r="582" spans="1:22" ht="18" hidden="1" customHeight="1">
      <c r="A582" s="614" t="s">
        <v>97</v>
      </c>
      <c r="B582" s="620"/>
      <c r="C582" s="1081"/>
      <c r="D582" s="614" t="s">
        <v>98</v>
      </c>
      <c r="E582" s="1084"/>
      <c r="F582" s="1084"/>
      <c r="G582" s="1081"/>
      <c r="H582" s="614" t="s">
        <v>99</v>
      </c>
      <c r="I582" s="615"/>
      <c r="J582" s="614" t="s">
        <v>100</v>
      </c>
      <c r="K582" s="1081"/>
      <c r="L582" s="614" t="s">
        <v>513</v>
      </c>
      <c r="M582" s="620"/>
      <c r="N582" s="615" t="s">
        <v>567</v>
      </c>
      <c r="O582" s="614" t="s">
        <v>568</v>
      </c>
      <c r="P582" s="620"/>
      <c r="Q582" s="1081"/>
      <c r="R582" s="614" t="s">
        <v>569</v>
      </c>
      <c r="S582" s="1086"/>
      <c r="T582" s="1082"/>
      <c r="U582" s="614" t="s">
        <v>516</v>
      </c>
      <c r="V582" s="1069"/>
    </row>
    <row r="583" spans="1:22" ht="18" hidden="1" customHeight="1">
      <c r="A583" s="616"/>
      <c r="B583" s="621"/>
      <c r="C583" s="1082"/>
      <c r="D583" s="1085"/>
      <c r="E583" s="1086"/>
      <c r="F583" s="1086"/>
      <c r="G583" s="1082"/>
      <c r="H583" s="616"/>
      <c r="I583" s="617"/>
      <c r="J583" s="1085"/>
      <c r="K583" s="1082"/>
      <c r="L583" s="616"/>
      <c r="M583" s="621"/>
      <c r="N583" s="617"/>
      <c r="O583" s="616"/>
      <c r="P583" s="621"/>
      <c r="Q583" s="1082"/>
      <c r="R583" s="1085"/>
      <c r="S583" s="1086"/>
      <c r="T583" s="1082"/>
      <c r="U583" s="1070"/>
      <c r="V583" s="1071"/>
    </row>
    <row r="584" spans="1:22" ht="18" hidden="1" customHeight="1">
      <c r="A584" s="618"/>
      <c r="B584" s="622"/>
      <c r="C584" s="1083"/>
      <c r="D584" s="1087"/>
      <c r="E584" s="1088"/>
      <c r="F584" s="1088"/>
      <c r="G584" s="1083"/>
      <c r="H584" s="618"/>
      <c r="I584" s="619"/>
      <c r="J584" s="1087"/>
      <c r="K584" s="1083"/>
      <c r="L584" s="618"/>
      <c r="M584" s="622"/>
      <c r="N584" s="619"/>
      <c r="O584" s="618"/>
      <c r="P584" s="622"/>
      <c r="Q584" s="1083"/>
      <c r="R584" s="1087"/>
      <c r="S584" s="1088"/>
      <c r="T584" s="1083"/>
      <c r="U584" s="1072"/>
      <c r="V584" s="1073"/>
    </row>
    <row r="585" spans="1:22" ht="18" hidden="1" customHeight="1">
      <c r="A585" s="623" t="str">
        <f>B493</f>
        <v>CT1L1</v>
      </c>
      <c r="B585" s="1079" t="str">
        <f>B494</f>
        <v>CT1L2</v>
      </c>
      <c r="C585" s="624" t="str">
        <f>D493</f>
        <v>Core3</v>
      </c>
      <c r="D585" s="624">
        <f>H408</f>
        <v>5000</v>
      </c>
      <c r="E585" s="624">
        <f>J408</f>
        <v>4000</v>
      </c>
      <c r="F585" s="624">
        <f>L496</f>
        <v>3000</v>
      </c>
      <c r="G585" s="624">
        <f>O408</f>
        <v>1</v>
      </c>
      <c r="H585" s="624">
        <f>'[5]CT-VT Burdens'!S19</f>
        <v>100</v>
      </c>
      <c r="I585" s="631">
        <f>'[5]CT-VT Burdens'!S10</f>
        <v>4</v>
      </c>
      <c r="J585" s="612" t="str">
        <f>J409</f>
        <v>PX</v>
      </c>
      <c r="K585" s="612"/>
      <c r="L585" s="624">
        <f>H327</f>
        <v>20</v>
      </c>
      <c r="M585" s="624">
        <f>J410</f>
        <v>15</v>
      </c>
      <c r="N585" s="624">
        <f>L498</f>
        <v>10</v>
      </c>
      <c r="O585" s="624">
        <f>H328</f>
        <v>1000</v>
      </c>
      <c r="P585" s="624">
        <f>J411</f>
        <v>800</v>
      </c>
      <c r="Q585" s="624">
        <f>L499</f>
        <v>800</v>
      </c>
      <c r="R585" s="624">
        <f>H329</f>
        <v>20</v>
      </c>
      <c r="S585" s="624">
        <f>J412</f>
        <v>40</v>
      </c>
      <c r="T585" s="624">
        <f>L500</f>
        <v>50</v>
      </c>
      <c r="U585" s="705" t="str">
        <f>D416</f>
        <v>7UT85</v>
      </c>
      <c r="V585" s="707"/>
    </row>
    <row r="586" spans="1:22" ht="18" hidden="1" customHeight="1">
      <c r="A586" s="623" t="str">
        <f>B494</f>
        <v>CT1L2</v>
      </c>
      <c r="B586" s="1079">
        <f>A495</f>
        <v>0</v>
      </c>
      <c r="C586" s="1076"/>
      <c r="D586" s="1076"/>
      <c r="E586" s="1076"/>
      <c r="F586" s="1076"/>
      <c r="G586" s="1076"/>
      <c r="H586" s="1076"/>
      <c r="I586" s="1076"/>
      <c r="J586" s="1078"/>
      <c r="K586" s="1078"/>
      <c r="L586" s="1076"/>
      <c r="M586" s="1076"/>
      <c r="N586" s="1076"/>
      <c r="O586" s="1076"/>
      <c r="P586" s="1076"/>
      <c r="Q586" s="1076"/>
      <c r="R586" s="1076"/>
      <c r="S586" s="1076"/>
      <c r="T586" s="1076"/>
      <c r="U586" s="705"/>
      <c r="V586" s="707"/>
    </row>
    <row r="587" spans="1:22" ht="18" hidden="1" customHeight="1">
      <c r="A587" s="623">
        <f>A495</f>
        <v>0</v>
      </c>
      <c r="B587" s="1079" t="str">
        <f>B496</f>
        <v>CT Ratio:</v>
      </c>
      <c r="C587" s="1077"/>
      <c r="D587" s="1077"/>
      <c r="E587" s="1077"/>
      <c r="F587" s="1077"/>
      <c r="G587" s="1077"/>
      <c r="H587" s="1077"/>
      <c r="I587" s="1077"/>
      <c r="J587" s="1078"/>
      <c r="K587" s="1078"/>
      <c r="L587" s="1077"/>
      <c r="M587" s="1077"/>
      <c r="N587" s="1077"/>
      <c r="O587" s="1077"/>
      <c r="P587" s="1077"/>
      <c r="Q587" s="1077"/>
      <c r="R587" s="1077"/>
      <c r="S587" s="1077"/>
      <c r="T587" s="1077"/>
      <c r="U587" s="705"/>
      <c r="V587" s="707"/>
    </row>
    <row r="588" spans="1:22" ht="18" hidden="1" customHeight="1">
      <c r="A588" s="196"/>
      <c r="V588" s="197"/>
    </row>
    <row r="589" spans="1:22" ht="18" hidden="1" customHeight="1">
      <c r="A589" s="196"/>
      <c r="V589" s="197"/>
    </row>
    <row r="590" spans="1:22" ht="18" hidden="1" customHeight="1">
      <c r="A590" s="196"/>
      <c r="V590" s="197"/>
    </row>
    <row r="591" spans="1:22" ht="18" hidden="1" customHeight="1">
      <c r="A591" s="196"/>
      <c r="V591" s="197"/>
    </row>
    <row r="592" spans="1:22" ht="18" hidden="1" customHeight="1">
      <c r="A592" s="196"/>
      <c r="V592" s="197"/>
    </row>
    <row r="593" spans="1:22" ht="18" hidden="1" customHeight="1">
      <c r="A593" s="196"/>
      <c r="V593" s="197"/>
    </row>
    <row r="594" spans="1:22" ht="18" hidden="1" customHeight="1">
      <c r="A594" s="196"/>
      <c r="V594" s="197"/>
    </row>
    <row r="595" spans="1:22" ht="18" hidden="1" customHeight="1">
      <c r="A595" s="196"/>
      <c r="V595" s="197"/>
    </row>
    <row r="596" spans="1:22" ht="18" hidden="1" customHeight="1">
      <c r="A596" s="196"/>
      <c r="V596" s="197"/>
    </row>
    <row r="597" spans="1:22" ht="18" hidden="1" customHeight="1">
      <c r="A597" s="196"/>
      <c r="V597" s="197"/>
    </row>
    <row r="598" spans="1:22" ht="18" hidden="1" customHeight="1">
      <c r="A598" s="196"/>
      <c r="V598" s="197"/>
    </row>
    <row r="599" spans="1:22" ht="18" hidden="1" customHeight="1">
      <c r="A599" s="196"/>
      <c r="V599" s="197"/>
    </row>
    <row r="600" spans="1:22" ht="18" hidden="1" customHeight="1">
      <c r="A600" s="196"/>
      <c r="V600" s="197"/>
    </row>
    <row r="601" spans="1:22" ht="18" hidden="1" customHeight="1">
      <c r="A601" s="196"/>
      <c r="V601" s="197"/>
    </row>
    <row r="602" spans="1:22" ht="18" hidden="1" customHeight="1">
      <c r="A602" s="196"/>
      <c r="V602" s="197"/>
    </row>
    <row r="603" spans="1:22" ht="18" hidden="1" customHeight="1">
      <c r="A603" s="196"/>
      <c r="V603" s="197"/>
    </row>
    <row r="604" spans="1:22" ht="18" hidden="1" customHeight="1">
      <c r="A604" s="196"/>
      <c r="V604" s="197"/>
    </row>
    <row r="605" spans="1:22" ht="18" hidden="1" customHeight="1">
      <c r="A605" s="196"/>
      <c r="V605" s="197"/>
    </row>
    <row r="606" spans="1:22" ht="18" hidden="1" customHeight="1">
      <c r="A606" s="196"/>
      <c r="V606" s="197"/>
    </row>
    <row r="607" spans="1:22" ht="18" hidden="1" customHeight="1">
      <c r="A607" s="196"/>
      <c r="V607" s="197"/>
    </row>
    <row r="608" spans="1:22" ht="18" hidden="1" customHeight="1">
      <c r="A608" s="196"/>
      <c r="V608" s="197"/>
    </row>
    <row r="609" spans="1:22" ht="18" hidden="1" customHeight="1">
      <c r="A609" s="196"/>
      <c r="V609" s="197"/>
    </row>
    <row r="610" spans="1:22" ht="18" hidden="1" customHeight="1">
      <c r="A610" s="196"/>
      <c r="V610" s="197"/>
    </row>
    <row r="611" spans="1:22" ht="18" hidden="1" customHeight="1">
      <c r="A611" s="196"/>
      <c r="V611" s="197"/>
    </row>
    <row r="612" spans="1:22" ht="18" hidden="1" customHeight="1">
      <c r="A612" s="196"/>
      <c r="V612" s="197"/>
    </row>
    <row r="613" spans="1:22" ht="18" hidden="1" customHeight="1">
      <c r="A613" s="196"/>
      <c r="V613" s="197"/>
    </row>
    <row r="614" spans="1:22" ht="18" hidden="1" customHeight="1">
      <c r="A614" s="196"/>
      <c r="V614" s="197"/>
    </row>
    <row r="615" spans="1:22" ht="18" hidden="1" customHeight="1">
      <c r="A615" s="196"/>
      <c r="V615" s="197"/>
    </row>
    <row r="616" spans="1:22" ht="18" hidden="1" customHeight="1">
      <c r="A616" s="196"/>
      <c r="V616" s="197"/>
    </row>
    <row r="617" spans="1:22" ht="18" hidden="1" customHeight="1">
      <c r="A617" s="196"/>
      <c r="V617" s="197"/>
    </row>
    <row r="618" spans="1:22" s="14" customFormat="1" ht="18" hidden="1" customHeight="1">
      <c r="A618" s="196"/>
      <c r="B618" s="30"/>
      <c r="C618" s="30"/>
      <c r="D618" s="30"/>
      <c r="E618" s="30"/>
      <c r="F618" s="30"/>
      <c r="G618" s="30"/>
      <c r="H618" s="30"/>
      <c r="I618" s="30"/>
      <c r="J618" s="30"/>
      <c r="K618" s="30"/>
      <c r="L618" s="30"/>
      <c r="M618" s="30"/>
      <c r="N618" s="30"/>
      <c r="O618" s="30"/>
      <c r="P618" s="30"/>
      <c r="Q618" s="30"/>
      <c r="R618" s="30"/>
      <c r="S618" s="30"/>
      <c r="T618" s="30"/>
      <c r="U618" s="30"/>
      <c r="V618" s="197"/>
    </row>
    <row r="619" spans="1:22" ht="18" hidden="1" customHeight="1">
      <c r="A619" s="196"/>
      <c r="V619" s="197"/>
    </row>
    <row r="620" spans="1:22" ht="18" hidden="1" customHeight="1">
      <c r="A620" s="196"/>
      <c r="V620" s="197"/>
    </row>
    <row r="621" spans="1:22" ht="18" hidden="1" customHeight="1">
      <c r="A621" s="196"/>
      <c r="V621" s="197"/>
    </row>
    <row r="622" spans="1:22" ht="18" hidden="1" customHeight="1">
      <c r="A622" s="196"/>
      <c r="V622" s="197"/>
    </row>
    <row r="623" spans="1:22" ht="18" hidden="1" customHeight="1">
      <c r="A623" s="206"/>
      <c r="B623" s="207"/>
      <c r="C623" s="207"/>
      <c r="D623" s="207"/>
      <c r="E623" s="207"/>
      <c r="F623" s="207"/>
      <c r="G623" s="207"/>
      <c r="H623" s="207"/>
      <c r="I623" s="207"/>
      <c r="J623" s="207"/>
      <c r="K623" s="207"/>
      <c r="L623" s="207"/>
      <c r="M623" s="207"/>
      <c r="N623" s="207"/>
      <c r="O623" s="207"/>
      <c r="P623" s="207"/>
      <c r="Q623" s="236"/>
      <c r="R623" s="194"/>
      <c r="S623" s="237"/>
      <c r="T623" s="207"/>
      <c r="U623" s="207"/>
      <c r="V623" s="140" t="s">
        <v>563</v>
      </c>
    </row>
  </sheetData>
  <mergeCells count="674">
    <mergeCell ref="O285:P285"/>
    <mergeCell ref="Q285:R287"/>
    <mergeCell ref="S285:V285"/>
    <mergeCell ref="D286:E286"/>
    <mergeCell ref="K286:L286"/>
    <mergeCell ref="M286:N286"/>
    <mergeCell ref="O286:P286"/>
    <mergeCell ref="S286:V286"/>
    <mergeCell ref="D287:E287"/>
    <mergeCell ref="K287:L287"/>
    <mergeCell ref="A285:A287"/>
    <mergeCell ref="B285:C287"/>
    <mergeCell ref="D285:E285"/>
    <mergeCell ref="F285:F287"/>
    <mergeCell ref="G285:G287"/>
    <mergeCell ref="H285:H287"/>
    <mergeCell ref="P81:P82"/>
    <mergeCell ref="A281:C284"/>
    <mergeCell ref="D281:F284"/>
    <mergeCell ref="D252:E252"/>
    <mergeCell ref="E255:F255"/>
    <mergeCell ref="H255:I255"/>
    <mergeCell ref="D259:E260"/>
    <mergeCell ref="P250:P251"/>
    <mergeCell ref="B250:B251"/>
    <mergeCell ref="C250:C251"/>
    <mergeCell ref="G250:G251"/>
    <mergeCell ref="H250:H251"/>
    <mergeCell ref="O215:P215"/>
    <mergeCell ref="O216:P216"/>
    <mergeCell ref="O217:P217"/>
    <mergeCell ref="J219:K219"/>
    <mergeCell ref="J220:K220"/>
    <mergeCell ref="J221:K221"/>
    <mergeCell ref="O31:P31"/>
    <mergeCell ref="O32:P32"/>
    <mergeCell ref="O33:P33"/>
    <mergeCell ref="J35:K35"/>
    <mergeCell ref="J36:K36"/>
    <mergeCell ref="J37:K37"/>
    <mergeCell ref="J22:K22"/>
    <mergeCell ref="D27:E27"/>
    <mergeCell ref="O27:P27"/>
    <mergeCell ref="M29:N29"/>
    <mergeCell ref="P29:Q29"/>
    <mergeCell ref="L585:L587"/>
    <mergeCell ref="M585:M587"/>
    <mergeCell ref="B70:B71"/>
    <mergeCell ref="C70:C71"/>
    <mergeCell ref="G70:G71"/>
    <mergeCell ref="H70:H71"/>
    <mergeCell ref="I70:M70"/>
    <mergeCell ref="N70:N71"/>
    <mergeCell ref="G281:H284"/>
    <mergeCell ref="I281:J284"/>
    <mergeCell ref="M281:N284"/>
    <mergeCell ref="M287:N287"/>
    <mergeCell ref="L582:N584"/>
    <mergeCell ref="G567:H567"/>
    <mergeCell ref="F569:H569"/>
    <mergeCell ref="F570:H570"/>
    <mergeCell ref="D582:G584"/>
    <mergeCell ref="H582:I584"/>
    <mergeCell ref="J561:K561"/>
    <mergeCell ref="G562:H562"/>
    <mergeCell ref="J562:K562"/>
    <mergeCell ref="F564:F565"/>
    <mergeCell ref="G564:H564"/>
    <mergeCell ref="I82:M82"/>
    <mergeCell ref="R582:T584"/>
    <mergeCell ref="U582:V584"/>
    <mergeCell ref="A585:B585"/>
    <mergeCell ref="C585:C587"/>
    <mergeCell ref="D585:D587"/>
    <mergeCell ref="E585:E587"/>
    <mergeCell ref="F585:F587"/>
    <mergeCell ref="T585:T587"/>
    <mergeCell ref="U585:V585"/>
    <mergeCell ref="A586:B586"/>
    <mergeCell ref="U586:V586"/>
    <mergeCell ref="A587:B587"/>
    <mergeCell ref="U587:V587"/>
    <mergeCell ref="N585:N587"/>
    <mergeCell ref="O585:O587"/>
    <mergeCell ref="P585:P587"/>
    <mergeCell ref="Q585:Q587"/>
    <mergeCell ref="R585:R587"/>
    <mergeCell ref="S585:S587"/>
    <mergeCell ref="G585:G587"/>
    <mergeCell ref="H585:H587"/>
    <mergeCell ref="I585:I587"/>
    <mergeCell ref="A582:C584"/>
    <mergeCell ref="J585:K587"/>
    <mergeCell ref="J582:K584"/>
    <mergeCell ref="D554:E554"/>
    <mergeCell ref="E557:F557"/>
    <mergeCell ref="H557:I557"/>
    <mergeCell ref="D561:E562"/>
    <mergeCell ref="F561:F562"/>
    <mergeCell ref="G561:H561"/>
    <mergeCell ref="I561:I562"/>
    <mergeCell ref="O582:Q584"/>
    <mergeCell ref="U552:U553"/>
    <mergeCell ref="I553:J553"/>
    <mergeCell ref="L553:M553"/>
    <mergeCell ref="S548:T548"/>
    <mergeCell ref="S549:T549"/>
    <mergeCell ref="S550:T550"/>
    <mergeCell ref="I564:I565"/>
    <mergeCell ref="J564:K564"/>
    <mergeCell ref="G565:H565"/>
    <mergeCell ref="J565:K565"/>
    <mergeCell ref="B552:B553"/>
    <mergeCell ref="C552:C553"/>
    <mergeCell ref="G552:G553"/>
    <mergeCell ref="H552:H553"/>
    <mergeCell ref="I552:M552"/>
    <mergeCell ref="N552:N553"/>
    <mergeCell ref="O552:O553"/>
    <mergeCell ref="S542:T542"/>
    <mergeCell ref="S543:T543"/>
    <mergeCell ref="S544:T544"/>
    <mergeCell ref="S545:T545"/>
    <mergeCell ref="S546:T546"/>
    <mergeCell ref="S547:T547"/>
    <mergeCell ref="P552:P553"/>
    <mergeCell ref="Q552:Q553"/>
    <mergeCell ref="R552:R553"/>
    <mergeCell ref="S552:S553"/>
    <mergeCell ref="O539:O540"/>
    <mergeCell ref="P539:P540"/>
    <mergeCell ref="Q539:Q540"/>
    <mergeCell ref="R539:R540"/>
    <mergeCell ref="S539:S540"/>
    <mergeCell ref="U539:U540"/>
    <mergeCell ref="B539:B540"/>
    <mergeCell ref="C539:C540"/>
    <mergeCell ref="G539:G540"/>
    <mergeCell ref="H539:H540"/>
    <mergeCell ref="I539:M539"/>
    <mergeCell ref="N539:N540"/>
    <mergeCell ref="I540:J540"/>
    <mergeCell ref="L540:M540"/>
    <mergeCell ref="J521:K521"/>
    <mergeCell ref="J522:K522"/>
    <mergeCell ref="J523:K523"/>
    <mergeCell ref="O527:P527"/>
    <mergeCell ref="O528:P528"/>
    <mergeCell ref="O529:P529"/>
    <mergeCell ref="J508:K508"/>
    <mergeCell ref="D513:E513"/>
    <mergeCell ref="O513:P513"/>
    <mergeCell ref="O517:P517"/>
    <mergeCell ref="O518:P518"/>
    <mergeCell ref="O519:P519"/>
    <mergeCell ref="AB499:AC499"/>
    <mergeCell ref="L500:M500"/>
    <mergeCell ref="J504:K504"/>
    <mergeCell ref="J505:K505"/>
    <mergeCell ref="J506:K506"/>
    <mergeCell ref="J507:K507"/>
    <mergeCell ref="H496:I496"/>
    <mergeCell ref="J496:K496"/>
    <mergeCell ref="L496:M496"/>
    <mergeCell ref="L497:M497"/>
    <mergeCell ref="L498:M498"/>
    <mergeCell ref="L499:M499"/>
    <mergeCell ref="H495:I495"/>
    <mergeCell ref="J495:K495"/>
    <mergeCell ref="L495:M495"/>
    <mergeCell ref="T495:U495"/>
    <mergeCell ref="G479:H479"/>
    <mergeCell ref="F481:H481"/>
    <mergeCell ref="F482:H482"/>
    <mergeCell ref="B493:C493"/>
    <mergeCell ref="D493:E494"/>
    <mergeCell ref="H493:M493"/>
    <mergeCell ref="F476:F477"/>
    <mergeCell ref="G476:H476"/>
    <mergeCell ref="I476:I477"/>
    <mergeCell ref="J476:K476"/>
    <mergeCell ref="G477:H477"/>
    <mergeCell ref="J477:K477"/>
    <mergeCell ref="T493:U493"/>
    <mergeCell ref="B494:C494"/>
    <mergeCell ref="T494:U494"/>
    <mergeCell ref="D466:E466"/>
    <mergeCell ref="E469:F469"/>
    <mergeCell ref="H469:I469"/>
    <mergeCell ref="D473:E474"/>
    <mergeCell ref="F473:F474"/>
    <mergeCell ref="G473:H473"/>
    <mergeCell ref="I473:I474"/>
    <mergeCell ref="P464:P465"/>
    <mergeCell ref="Q464:Q465"/>
    <mergeCell ref="J473:K473"/>
    <mergeCell ref="G474:H474"/>
    <mergeCell ref="J474:K474"/>
    <mergeCell ref="R464:R465"/>
    <mergeCell ref="S464:S465"/>
    <mergeCell ref="U464:U465"/>
    <mergeCell ref="I465:J465"/>
    <mergeCell ref="L465:M465"/>
    <mergeCell ref="S460:T460"/>
    <mergeCell ref="S461:T461"/>
    <mergeCell ref="S462:T462"/>
    <mergeCell ref="B464:B465"/>
    <mergeCell ref="C464:C465"/>
    <mergeCell ref="G464:G465"/>
    <mergeCell ref="H464:H465"/>
    <mergeCell ref="I464:M464"/>
    <mergeCell ref="N464:N465"/>
    <mergeCell ref="O464:O465"/>
    <mergeCell ref="S454:T454"/>
    <mergeCell ref="S455:T455"/>
    <mergeCell ref="S456:T456"/>
    <mergeCell ref="S457:T457"/>
    <mergeCell ref="S458:T458"/>
    <mergeCell ref="S459:T459"/>
    <mergeCell ref="O451:O452"/>
    <mergeCell ref="P451:P452"/>
    <mergeCell ref="Q451:Q452"/>
    <mergeCell ref="R451:R452"/>
    <mergeCell ref="S451:S452"/>
    <mergeCell ref="U451:U452"/>
    <mergeCell ref="B451:B452"/>
    <mergeCell ref="C451:C452"/>
    <mergeCell ref="G451:G452"/>
    <mergeCell ref="H451:H452"/>
    <mergeCell ref="I451:M451"/>
    <mergeCell ref="N451:N452"/>
    <mergeCell ref="I452:J452"/>
    <mergeCell ref="L452:M452"/>
    <mergeCell ref="J433:K433"/>
    <mergeCell ref="J434:K434"/>
    <mergeCell ref="J435:K435"/>
    <mergeCell ref="O439:P439"/>
    <mergeCell ref="O440:P440"/>
    <mergeCell ref="O441:P441"/>
    <mergeCell ref="J420:K420"/>
    <mergeCell ref="D425:E425"/>
    <mergeCell ref="O425:P425"/>
    <mergeCell ref="O429:P429"/>
    <mergeCell ref="O430:P430"/>
    <mergeCell ref="O431:P431"/>
    <mergeCell ref="AB411:AC411"/>
    <mergeCell ref="J412:K412"/>
    <mergeCell ref="J416:K416"/>
    <mergeCell ref="J417:K417"/>
    <mergeCell ref="J418:K418"/>
    <mergeCell ref="J419:K419"/>
    <mergeCell ref="H408:I408"/>
    <mergeCell ref="J408:K408"/>
    <mergeCell ref="L408:M408"/>
    <mergeCell ref="J409:K409"/>
    <mergeCell ref="J410:K410"/>
    <mergeCell ref="J411:K411"/>
    <mergeCell ref="H407:I407"/>
    <mergeCell ref="J407:K407"/>
    <mergeCell ref="L407:M407"/>
    <mergeCell ref="T407:U407"/>
    <mergeCell ref="G391:H391"/>
    <mergeCell ref="F393:H393"/>
    <mergeCell ref="F394:H394"/>
    <mergeCell ref="B405:C405"/>
    <mergeCell ref="D405:E406"/>
    <mergeCell ref="H405:M405"/>
    <mergeCell ref="F388:F389"/>
    <mergeCell ref="G388:H388"/>
    <mergeCell ref="I388:I389"/>
    <mergeCell ref="J388:K388"/>
    <mergeCell ref="G389:H389"/>
    <mergeCell ref="J389:K389"/>
    <mergeCell ref="T405:U405"/>
    <mergeCell ref="B406:C406"/>
    <mergeCell ref="T406:U406"/>
    <mergeCell ref="D378:E378"/>
    <mergeCell ref="E381:F381"/>
    <mergeCell ref="H381:I381"/>
    <mergeCell ref="D385:E386"/>
    <mergeCell ref="F385:F386"/>
    <mergeCell ref="G385:H385"/>
    <mergeCell ref="I385:I386"/>
    <mergeCell ref="P376:P377"/>
    <mergeCell ref="Q376:Q377"/>
    <mergeCell ref="J385:K385"/>
    <mergeCell ref="G386:H386"/>
    <mergeCell ref="J386:K386"/>
    <mergeCell ref="R376:R377"/>
    <mergeCell ref="S376:S377"/>
    <mergeCell ref="U376:U377"/>
    <mergeCell ref="I377:J377"/>
    <mergeCell ref="L377:M377"/>
    <mergeCell ref="S372:T372"/>
    <mergeCell ref="S373:T373"/>
    <mergeCell ref="S374:T374"/>
    <mergeCell ref="B376:B377"/>
    <mergeCell ref="C376:C377"/>
    <mergeCell ref="G376:G377"/>
    <mergeCell ref="H376:H377"/>
    <mergeCell ref="I376:M376"/>
    <mergeCell ref="N376:N377"/>
    <mergeCell ref="O376:O377"/>
    <mergeCell ref="S366:T366"/>
    <mergeCell ref="S367:T367"/>
    <mergeCell ref="S368:T368"/>
    <mergeCell ref="S369:T369"/>
    <mergeCell ref="S370:T370"/>
    <mergeCell ref="S371:T371"/>
    <mergeCell ref="P363:P364"/>
    <mergeCell ref="Q363:Q364"/>
    <mergeCell ref="R363:R364"/>
    <mergeCell ref="S363:S364"/>
    <mergeCell ref="U363:U364"/>
    <mergeCell ref="I364:J364"/>
    <mergeCell ref="L364:M364"/>
    <mergeCell ref="O356:P356"/>
    <mergeCell ref="O357:P357"/>
    <mergeCell ref="O358:P358"/>
    <mergeCell ref="B363:B364"/>
    <mergeCell ref="C363:C364"/>
    <mergeCell ref="G363:G364"/>
    <mergeCell ref="H363:H364"/>
    <mergeCell ref="I363:M363"/>
    <mergeCell ref="N363:N364"/>
    <mergeCell ref="O363:O364"/>
    <mergeCell ref="O346:P346"/>
    <mergeCell ref="O347:P347"/>
    <mergeCell ref="O348:P348"/>
    <mergeCell ref="J350:K350"/>
    <mergeCell ref="J351:K351"/>
    <mergeCell ref="J352:K352"/>
    <mergeCell ref="J334:K334"/>
    <mergeCell ref="J335:K335"/>
    <mergeCell ref="J336:K336"/>
    <mergeCell ref="J337:K337"/>
    <mergeCell ref="D342:E342"/>
    <mergeCell ref="O342:P342"/>
    <mergeCell ref="H326:I326"/>
    <mergeCell ref="H327:I327"/>
    <mergeCell ref="H328:I328"/>
    <mergeCell ref="AB328:AC328"/>
    <mergeCell ref="H329:I329"/>
    <mergeCell ref="J333:K333"/>
    <mergeCell ref="T323:U323"/>
    <mergeCell ref="H324:I324"/>
    <mergeCell ref="J324:K324"/>
    <mergeCell ref="L324:M324"/>
    <mergeCell ref="T324:U324"/>
    <mergeCell ref="H325:I325"/>
    <mergeCell ref="J325:K325"/>
    <mergeCell ref="L325:M325"/>
    <mergeCell ref="A320:B320"/>
    <mergeCell ref="D320:F320"/>
    <mergeCell ref="H320:N320"/>
    <mergeCell ref="O320:Q320"/>
    <mergeCell ref="R320:V320"/>
    <mergeCell ref="B322:C322"/>
    <mergeCell ref="D322:E323"/>
    <mergeCell ref="H322:M322"/>
    <mergeCell ref="T322:U322"/>
    <mergeCell ref="B323:C323"/>
    <mergeCell ref="A318:G319"/>
    <mergeCell ref="H318:N319"/>
    <mergeCell ref="O318:Q318"/>
    <mergeCell ref="R318:V318"/>
    <mergeCell ref="O319:Q319"/>
    <mergeCell ref="R319:V319"/>
    <mergeCell ref="A316:G317"/>
    <mergeCell ref="H316:N316"/>
    <mergeCell ref="O316:Q316"/>
    <mergeCell ref="R316:V316"/>
    <mergeCell ref="H317:N317"/>
    <mergeCell ref="O317:Q317"/>
    <mergeCell ref="R317:V317"/>
    <mergeCell ref="S281:V284"/>
    <mergeCell ref="K281:L284"/>
    <mergeCell ref="I285:J287"/>
    <mergeCell ref="K285:L285"/>
    <mergeCell ref="M285:N285"/>
    <mergeCell ref="G265:H265"/>
    <mergeCell ref="F267:H267"/>
    <mergeCell ref="F268:H268"/>
    <mergeCell ref="J259:K259"/>
    <mergeCell ref="G260:H260"/>
    <mergeCell ref="J260:K260"/>
    <mergeCell ref="F262:F263"/>
    <mergeCell ref="G262:H262"/>
    <mergeCell ref="I262:I263"/>
    <mergeCell ref="J262:K262"/>
    <mergeCell ref="G263:H263"/>
    <mergeCell ref="J263:K263"/>
    <mergeCell ref="O281:P284"/>
    <mergeCell ref="Q281:R284"/>
    <mergeCell ref="O287:P287"/>
    <mergeCell ref="S287:V287"/>
    <mergeCell ref="F259:F260"/>
    <mergeCell ref="G259:H259"/>
    <mergeCell ref="I259:I260"/>
    <mergeCell ref="Q250:Q251"/>
    <mergeCell ref="R250:R251"/>
    <mergeCell ref="S250:S251"/>
    <mergeCell ref="U250:U251"/>
    <mergeCell ref="I251:J251"/>
    <mergeCell ref="L251:M251"/>
    <mergeCell ref="S246:T246"/>
    <mergeCell ref="S247:T247"/>
    <mergeCell ref="S248:T248"/>
    <mergeCell ref="I250:M250"/>
    <mergeCell ref="N250:N251"/>
    <mergeCell ref="O250:O251"/>
    <mergeCell ref="S240:T240"/>
    <mergeCell ref="S241:T241"/>
    <mergeCell ref="S242:T242"/>
    <mergeCell ref="S243:T243"/>
    <mergeCell ref="S244:T244"/>
    <mergeCell ref="S245:T245"/>
    <mergeCell ref="P237:P238"/>
    <mergeCell ref="Q237:Q238"/>
    <mergeCell ref="R237:R238"/>
    <mergeCell ref="S237:S238"/>
    <mergeCell ref="U237:U238"/>
    <mergeCell ref="I238:J238"/>
    <mergeCell ref="L238:M238"/>
    <mergeCell ref="O225:P225"/>
    <mergeCell ref="O226:P226"/>
    <mergeCell ref="O227:P227"/>
    <mergeCell ref="B237:B238"/>
    <mergeCell ref="C237:C238"/>
    <mergeCell ref="G237:G238"/>
    <mergeCell ref="H237:H238"/>
    <mergeCell ref="I237:M237"/>
    <mergeCell ref="N237:N238"/>
    <mergeCell ref="O237:O238"/>
    <mergeCell ref="J206:K206"/>
    <mergeCell ref="D211:E211"/>
    <mergeCell ref="O211:P211"/>
    <mergeCell ref="M213:N213"/>
    <mergeCell ref="P213:Q213"/>
    <mergeCell ref="S213:T213"/>
    <mergeCell ref="AB197:AC197"/>
    <mergeCell ref="L198:M198"/>
    <mergeCell ref="J202:K202"/>
    <mergeCell ref="J203:K203"/>
    <mergeCell ref="J204:K204"/>
    <mergeCell ref="J205:K205"/>
    <mergeCell ref="H194:I194"/>
    <mergeCell ref="J194:K194"/>
    <mergeCell ref="L194:M194"/>
    <mergeCell ref="L195:M195"/>
    <mergeCell ref="L196:M196"/>
    <mergeCell ref="L197:M197"/>
    <mergeCell ref="H193:I193"/>
    <mergeCell ref="J193:K193"/>
    <mergeCell ref="L193:M193"/>
    <mergeCell ref="T193:U193"/>
    <mergeCell ref="G177:H177"/>
    <mergeCell ref="F179:H179"/>
    <mergeCell ref="F180:H180"/>
    <mergeCell ref="B191:C191"/>
    <mergeCell ref="D191:E192"/>
    <mergeCell ref="H191:M191"/>
    <mergeCell ref="F174:F175"/>
    <mergeCell ref="G174:H174"/>
    <mergeCell ref="I174:I175"/>
    <mergeCell ref="J174:K174"/>
    <mergeCell ref="G175:H175"/>
    <mergeCell ref="J175:K175"/>
    <mergeCell ref="T191:U191"/>
    <mergeCell ref="B192:C192"/>
    <mergeCell ref="T192:U192"/>
    <mergeCell ref="D164:E164"/>
    <mergeCell ref="E167:F167"/>
    <mergeCell ref="H167:I167"/>
    <mergeCell ref="D171:E172"/>
    <mergeCell ref="F171:F172"/>
    <mergeCell ref="G171:H171"/>
    <mergeCell ref="I171:I172"/>
    <mergeCell ref="P162:P163"/>
    <mergeCell ref="Q162:Q163"/>
    <mergeCell ref="J171:K171"/>
    <mergeCell ref="G172:H172"/>
    <mergeCell ref="J172:K172"/>
    <mergeCell ref="R162:R163"/>
    <mergeCell ref="S162:S163"/>
    <mergeCell ref="U162:U163"/>
    <mergeCell ref="I163:J163"/>
    <mergeCell ref="L163:M163"/>
    <mergeCell ref="S158:T158"/>
    <mergeCell ref="S159:T159"/>
    <mergeCell ref="S160:T160"/>
    <mergeCell ref="B162:B163"/>
    <mergeCell ref="C162:C163"/>
    <mergeCell ref="G162:G163"/>
    <mergeCell ref="H162:H163"/>
    <mergeCell ref="I162:M162"/>
    <mergeCell ref="N162:N163"/>
    <mergeCell ref="O162:O163"/>
    <mergeCell ref="S152:T152"/>
    <mergeCell ref="S153:T153"/>
    <mergeCell ref="S154:T154"/>
    <mergeCell ref="S155:T155"/>
    <mergeCell ref="S156:T156"/>
    <mergeCell ref="S157:T157"/>
    <mergeCell ref="P149:P150"/>
    <mergeCell ref="Q149:Q150"/>
    <mergeCell ref="R149:R150"/>
    <mergeCell ref="S149:S150"/>
    <mergeCell ref="U149:U150"/>
    <mergeCell ref="I150:J150"/>
    <mergeCell ref="L150:M150"/>
    <mergeCell ref="O137:P137"/>
    <mergeCell ref="O138:P138"/>
    <mergeCell ref="O139:P139"/>
    <mergeCell ref="B149:B150"/>
    <mergeCell ref="C149:C150"/>
    <mergeCell ref="G149:G150"/>
    <mergeCell ref="H149:H150"/>
    <mergeCell ref="I149:M149"/>
    <mergeCell ref="N149:N150"/>
    <mergeCell ref="O149:O150"/>
    <mergeCell ref="O127:P127"/>
    <mergeCell ref="O128:P128"/>
    <mergeCell ref="O129:P129"/>
    <mergeCell ref="J131:K131"/>
    <mergeCell ref="J132:K132"/>
    <mergeCell ref="J133:K133"/>
    <mergeCell ref="J118:K118"/>
    <mergeCell ref="D123:E123"/>
    <mergeCell ref="O123:P123"/>
    <mergeCell ref="M125:N125"/>
    <mergeCell ref="P125:Q125"/>
    <mergeCell ref="N97:O97"/>
    <mergeCell ref="N98:O98"/>
    <mergeCell ref="G93:H93"/>
    <mergeCell ref="S125:T125"/>
    <mergeCell ref="AB109:AC109"/>
    <mergeCell ref="J110:K110"/>
    <mergeCell ref="J114:K114"/>
    <mergeCell ref="J115:K115"/>
    <mergeCell ref="J116:K116"/>
    <mergeCell ref="J117:K117"/>
    <mergeCell ref="H106:I106"/>
    <mergeCell ref="J106:K106"/>
    <mergeCell ref="L106:M106"/>
    <mergeCell ref="J107:K107"/>
    <mergeCell ref="J108:K108"/>
    <mergeCell ref="J109:K109"/>
    <mergeCell ref="T103:U103"/>
    <mergeCell ref="B104:C104"/>
    <mergeCell ref="T104:U104"/>
    <mergeCell ref="H105:I105"/>
    <mergeCell ref="J105:K105"/>
    <mergeCell ref="L105:M105"/>
    <mergeCell ref="T105:U105"/>
    <mergeCell ref="B103:C103"/>
    <mergeCell ref="D103:E104"/>
    <mergeCell ref="H103:M103"/>
    <mergeCell ref="O41:P41"/>
    <mergeCell ref="O46:P46"/>
    <mergeCell ref="U44:U45"/>
    <mergeCell ref="S50:T50"/>
    <mergeCell ref="S51:T51"/>
    <mergeCell ref="S52:T52"/>
    <mergeCell ref="S53:T53"/>
    <mergeCell ref="S54:T54"/>
    <mergeCell ref="S55:T55"/>
    <mergeCell ref="P44:P45"/>
    <mergeCell ref="Q44:Q45"/>
    <mergeCell ref="R44:R45"/>
    <mergeCell ref="S44:S45"/>
    <mergeCell ref="S29:T29"/>
    <mergeCell ref="AB13:AC13"/>
    <mergeCell ref="H14:I14"/>
    <mergeCell ref="J18:K18"/>
    <mergeCell ref="J19:K19"/>
    <mergeCell ref="J20:K20"/>
    <mergeCell ref="J21:K21"/>
    <mergeCell ref="H10:I10"/>
    <mergeCell ref="J10:K10"/>
    <mergeCell ref="L10:M10"/>
    <mergeCell ref="H11:I11"/>
    <mergeCell ref="H12:I12"/>
    <mergeCell ref="H13:I13"/>
    <mergeCell ref="T8:U8"/>
    <mergeCell ref="A9:B9"/>
    <mergeCell ref="C9:D9"/>
    <mergeCell ref="H9:I9"/>
    <mergeCell ref="J9:K9"/>
    <mergeCell ref="L9:M9"/>
    <mergeCell ref="T9:U9"/>
    <mergeCell ref="D8:E8"/>
    <mergeCell ref="B7:C7"/>
    <mergeCell ref="T7:U7"/>
    <mergeCell ref="B8:C8"/>
    <mergeCell ref="A3:G4"/>
    <mergeCell ref="H3:N4"/>
    <mergeCell ref="O3:Q3"/>
    <mergeCell ref="R3:V3"/>
    <mergeCell ref="O4:Q4"/>
    <mergeCell ref="R4:V4"/>
    <mergeCell ref="D7:E7"/>
    <mergeCell ref="H7:N7"/>
    <mergeCell ref="A1:G2"/>
    <mergeCell ref="H1:N1"/>
    <mergeCell ref="O1:Q1"/>
    <mergeCell ref="R1:V1"/>
    <mergeCell ref="H2:N2"/>
    <mergeCell ref="O2:Q2"/>
    <mergeCell ref="R2:V2"/>
    <mergeCell ref="A5:B5"/>
    <mergeCell ref="D5:F5"/>
    <mergeCell ref="H5:N5"/>
    <mergeCell ref="O5:Q5"/>
    <mergeCell ref="R5:V5"/>
    <mergeCell ref="S56:T56"/>
    <mergeCell ref="S57:T57"/>
    <mergeCell ref="I58:M58"/>
    <mergeCell ref="N58:N59"/>
    <mergeCell ref="O58:O59"/>
    <mergeCell ref="O70:O71"/>
    <mergeCell ref="I59:M59"/>
    <mergeCell ref="P70:P71"/>
    <mergeCell ref="Q70:Q71"/>
    <mergeCell ref="R70:R71"/>
    <mergeCell ref="S70:S71"/>
    <mergeCell ref="R66:V66"/>
    <mergeCell ref="U70:U71"/>
    <mergeCell ref="I71:M71"/>
    <mergeCell ref="O66:P66"/>
    <mergeCell ref="U85:U86"/>
    <mergeCell ref="S87:T87"/>
    <mergeCell ref="S88:T88"/>
    <mergeCell ref="S89:T89"/>
    <mergeCell ref="P58:P59"/>
    <mergeCell ref="Q58:Q59"/>
    <mergeCell ref="R58:R59"/>
    <mergeCell ref="S58:S59"/>
    <mergeCell ref="U58:U59"/>
    <mergeCell ref="Q81:Q82"/>
    <mergeCell ref="R81:R82"/>
    <mergeCell ref="S81:S82"/>
    <mergeCell ref="U81:U82"/>
    <mergeCell ref="S79:T79"/>
    <mergeCell ref="S80:T80"/>
    <mergeCell ref="S73:T73"/>
    <mergeCell ref="S74:T74"/>
    <mergeCell ref="S75:T75"/>
    <mergeCell ref="S76:T76"/>
    <mergeCell ref="S77:T77"/>
    <mergeCell ref="S78:T78"/>
    <mergeCell ref="B44:B45"/>
    <mergeCell ref="C44:C45"/>
    <mergeCell ref="G44:G45"/>
    <mergeCell ref="H44:H45"/>
    <mergeCell ref="I44:M44"/>
    <mergeCell ref="N44:N45"/>
    <mergeCell ref="O44:O45"/>
    <mergeCell ref="D83:E83"/>
    <mergeCell ref="B58:B59"/>
    <mergeCell ref="C58:C59"/>
    <mergeCell ref="G58:G59"/>
    <mergeCell ref="H58:H59"/>
    <mergeCell ref="D60:E60"/>
    <mergeCell ref="O67:P67"/>
    <mergeCell ref="O68:P68"/>
    <mergeCell ref="I45:M45"/>
    <mergeCell ref="B81:B82"/>
    <mergeCell ref="C81:C82"/>
    <mergeCell ref="G81:G82"/>
    <mergeCell ref="H81:H82"/>
    <mergeCell ref="I81:M81"/>
    <mergeCell ref="N81:N82"/>
    <mergeCell ref="O81:O82"/>
  </mergeCells>
  <conditionalFormatting sqref="H64 H168 H256 H382 H470 H558">
    <cfRule type="cellIs" dxfId="60" priority="2" stopIfTrue="1" operator="equal">
      <formula>"Under Dimentioned"</formula>
    </cfRule>
  </conditionalFormatting>
  <conditionalFormatting sqref="H100">
    <cfRule type="cellIs" dxfId="59" priority="1" stopIfTrue="1" operator="equal">
      <formula>"Under Dimentioned"</formula>
    </cfRule>
  </conditionalFormatting>
  <conditionalFormatting sqref="H182:H187 H270:H275 H396:H401 H484:H489 H572:H577">
    <cfRule type="cellIs" dxfId="58" priority="3" stopIfTrue="1" operator="equal">
      <formula>"Not OK"</formula>
    </cfRule>
  </conditionalFormatting>
  <dataValidations count="1">
    <dataValidation type="list" allowBlank="1" showInputMessage="1" showErrorMessage="1" sqref="D493 IZ493 SV493 ACR493 AMN493 AWJ493 BGF493 BQB493 BZX493 CJT493 CTP493 DDL493 DNH493 DXD493 EGZ493 EQV493 FAR493 FKN493 FUJ493 GEF493 GOB493 GXX493 HHT493 HRP493 IBL493 ILH493 IVD493 JEZ493 JOV493 JYR493 KIN493 KSJ493 LCF493 LMB493 LVX493 MFT493 MPP493 MZL493 NJH493 NTD493 OCZ493 OMV493 OWR493 PGN493 PQJ493 QAF493 QKB493 QTX493 RDT493 RNP493 RXL493 SHH493 SRD493 TAZ493 TKV493 TUR493 UEN493 UOJ493 UYF493 VIB493 VRX493 WBT493 WLP493 WVL493 D66029 IZ66029 SV66029 ACR66029 AMN66029 AWJ66029 BGF66029 BQB66029 BZX66029 CJT66029 CTP66029 DDL66029 DNH66029 DXD66029 EGZ66029 EQV66029 FAR66029 FKN66029 FUJ66029 GEF66029 GOB66029 GXX66029 HHT66029 HRP66029 IBL66029 ILH66029 IVD66029 JEZ66029 JOV66029 JYR66029 KIN66029 KSJ66029 LCF66029 LMB66029 LVX66029 MFT66029 MPP66029 MZL66029 NJH66029 NTD66029 OCZ66029 OMV66029 OWR66029 PGN66029 PQJ66029 QAF66029 QKB66029 QTX66029 RDT66029 RNP66029 RXL66029 SHH66029 SRD66029 TAZ66029 TKV66029 TUR66029 UEN66029 UOJ66029 UYF66029 VIB66029 VRX66029 WBT66029 WLP66029 WVL66029 D131565 IZ131565 SV131565 ACR131565 AMN131565 AWJ131565 BGF131565 BQB131565 BZX131565 CJT131565 CTP131565 DDL131565 DNH131565 DXD131565 EGZ131565 EQV131565 FAR131565 FKN131565 FUJ131565 GEF131565 GOB131565 GXX131565 HHT131565 HRP131565 IBL131565 ILH131565 IVD131565 JEZ131565 JOV131565 JYR131565 KIN131565 KSJ131565 LCF131565 LMB131565 LVX131565 MFT131565 MPP131565 MZL131565 NJH131565 NTD131565 OCZ131565 OMV131565 OWR131565 PGN131565 PQJ131565 QAF131565 QKB131565 QTX131565 RDT131565 RNP131565 RXL131565 SHH131565 SRD131565 TAZ131565 TKV131565 TUR131565 UEN131565 UOJ131565 UYF131565 VIB131565 VRX131565 WBT131565 WLP131565 WVL131565 D197101 IZ197101 SV197101 ACR197101 AMN197101 AWJ197101 BGF197101 BQB197101 BZX197101 CJT197101 CTP197101 DDL197101 DNH197101 DXD197101 EGZ197101 EQV197101 FAR197101 FKN197101 FUJ197101 GEF197101 GOB197101 GXX197101 HHT197101 HRP197101 IBL197101 ILH197101 IVD197101 JEZ197101 JOV197101 JYR197101 KIN197101 KSJ197101 LCF197101 LMB197101 LVX197101 MFT197101 MPP197101 MZL197101 NJH197101 NTD197101 OCZ197101 OMV197101 OWR197101 PGN197101 PQJ197101 QAF197101 QKB197101 QTX197101 RDT197101 RNP197101 RXL197101 SHH197101 SRD197101 TAZ197101 TKV197101 TUR197101 UEN197101 UOJ197101 UYF197101 VIB197101 VRX197101 WBT197101 WLP197101 WVL197101 D262637 IZ262637 SV262637 ACR262637 AMN262637 AWJ262637 BGF262637 BQB262637 BZX262637 CJT262637 CTP262637 DDL262637 DNH262637 DXD262637 EGZ262637 EQV262637 FAR262637 FKN262637 FUJ262637 GEF262637 GOB262637 GXX262637 HHT262637 HRP262637 IBL262637 ILH262637 IVD262637 JEZ262637 JOV262637 JYR262637 KIN262637 KSJ262637 LCF262637 LMB262637 LVX262637 MFT262637 MPP262637 MZL262637 NJH262637 NTD262637 OCZ262637 OMV262637 OWR262637 PGN262637 PQJ262637 QAF262637 QKB262637 QTX262637 RDT262637 RNP262637 RXL262637 SHH262637 SRD262637 TAZ262637 TKV262637 TUR262637 UEN262637 UOJ262637 UYF262637 VIB262637 VRX262637 WBT262637 WLP262637 WVL262637 D328173 IZ328173 SV328173 ACR328173 AMN328173 AWJ328173 BGF328173 BQB328173 BZX328173 CJT328173 CTP328173 DDL328173 DNH328173 DXD328173 EGZ328173 EQV328173 FAR328173 FKN328173 FUJ328173 GEF328173 GOB328173 GXX328173 HHT328173 HRP328173 IBL328173 ILH328173 IVD328173 JEZ328173 JOV328173 JYR328173 KIN328173 KSJ328173 LCF328173 LMB328173 LVX328173 MFT328173 MPP328173 MZL328173 NJH328173 NTD328173 OCZ328173 OMV328173 OWR328173 PGN328173 PQJ328173 QAF328173 QKB328173 QTX328173 RDT328173 RNP328173 RXL328173 SHH328173 SRD328173 TAZ328173 TKV328173 TUR328173 UEN328173 UOJ328173 UYF328173 VIB328173 VRX328173 WBT328173 WLP328173 WVL328173 D393709 IZ393709 SV393709 ACR393709 AMN393709 AWJ393709 BGF393709 BQB393709 BZX393709 CJT393709 CTP393709 DDL393709 DNH393709 DXD393709 EGZ393709 EQV393709 FAR393709 FKN393709 FUJ393709 GEF393709 GOB393709 GXX393709 HHT393709 HRP393709 IBL393709 ILH393709 IVD393709 JEZ393709 JOV393709 JYR393709 KIN393709 KSJ393709 LCF393709 LMB393709 LVX393709 MFT393709 MPP393709 MZL393709 NJH393709 NTD393709 OCZ393709 OMV393709 OWR393709 PGN393709 PQJ393709 QAF393709 QKB393709 QTX393709 RDT393709 RNP393709 RXL393709 SHH393709 SRD393709 TAZ393709 TKV393709 TUR393709 UEN393709 UOJ393709 UYF393709 VIB393709 VRX393709 WBT393709 WLP393709 WVL393709 D459245 IZ459245 SV459245 ACR459245 AMN459245 AWJ459245 BGF459245 BQB459245 BZX459245 CJT459245 CTP459245 DDL459245 DNH459245 DXD459245 EGZ459245 EQV459245 FAR459245 FKN459245 FUJ459245 GEF459245 GOB459245 GXX459245 HHT459245 HRP459245 IBL459245 ILH459245 IVD459245 JEZ459245 JOV459245 JYR459245 KIN459245 KSJ459245 LCF459245 LMB459245 LVX459245 MFT459245 MPP459245 MZL459245 NJH459245 NTD459245 OCZ459245 OMV459245 OWR459245 PGN459245 PQJ459245 QAF459245 QKB459245 QTX459245 RDT459245 RNP459245 RXL459245 SHH459245 SRD459245 TAZ459245 TKV459245 TUR459245 UEN459245 UOJ459245 UYF459245 VIB459245 VRX459245 WBT459245 WLP459245 WVL459245 D524781 IZ524781 SV524781 ACR524781 AMN524781 AWJ524781 BGF524781 BQB524781 BZX524781 CJT524781 CTP524781 DDL524781 DNH524781 DXD524781 EGZ524781 EQV524781 FAR524781 FKN524781 FUJ524781 GEF524781 GOB524781 GXX524781 HHT524781 HRP524781 IBL524781 ILH524781 IVD524781 JEZ524781 JOV524781 JYR524781 KIN524781 KSJ524781 LCF524781 LMB524781 LVX524781 MFT524781 MPP524781 MZL524781 NJH524781 NTD524781 OCZ524781 OMV524781 OWR524781 PGN524781 PQJ524781 QAF524781 QKB524781 QTX524781 RDT524781 RNP524781 RXL524781 SHH524781 SRD524781 TAZ524781 TKV524781 TUR524781 UEN524781 UOJ524781 UYF524781 VIB524781 VRX524781 WBT524781 WLP524781 WVL524781 D590317 IZ590317 SV590317 ACR590317 AMN590317 AWJ590317 BGF590317 BQB590317 BZX590317 CJT590317 CTP590317 DDL590317 DNH590317 DXD590317 EGZ590317 EQV590317 FAR590317 FKN590317 FUJ590317 GEF590317 GOB590317 GXX590317 HHT590317 HRP590317 IBL590317 ILH590317 IVD590317 JEZ590317 JOV590317 JYR590317 KIN590317 KSJ590317 LCF590317 LMB590317 LVX590317 MFT590317 MPP590317 MZL590317 NJH590317 NTD590317 OCZ590317 OMV590317 OWR590317 PGN590317 PQJ590317 QAF590317 QKB590317 QTX590317 RDT590317 RNP590317 RXL590317 SHH590317 SRD590317 TAZ590317 TKV590317 TUR590317 UEN590317 UOJ590317 UYF590317 VIB590317 VRX590317 WBT590317 WLP590317 WVL590317 D655853 IZ655853 SV655853 ACR655853 AMN655853 AWJ655853 BGF655853 BQB655853 BZX655853 CJT655853 CTP655853 DDL655853 DNH655853 DXD655853 EGZ655853 EQV655853 FAR655853 FKN655853 FUJ655853 GEF655853 GOB655853 GXX655853 HHT655853 HRP655853 IBL655853 ILH655853 IVD655853 JEZ655853 JOV655853 JYR655853 KIN655853 KSJ655853 LCF655853 LMB655853 LVX655853 MFT655853 MPP655853 MZL655853 NJH655853 NTD655853 OCZ655853 OMV655853 OWR655853 PGN655853 PQJ655853 QAF655853 QKB655853 QTX655853 RDT655853 RNP655853 RXL655853 SHH655853 SRD655853 TAZ655853 TKV655853 TUR655853 UEN655853 UOJ655853 UYF655853 VIB655853 VRX655853 WBT655853 WLP655853 WVL655853 D721389 IZ721389 SV721389 ACR721389 AMN721389 AWJ721389 BGF721389 BQB721389 BZX721389 CJT721389 CTP721389 DDL721389 DNH721389 DXD721389 EGZ721389 EQV721389 FAR721389 FKN721389 FUJ721389 GEF721389 GOB721389 GXX721389 HHT721389 HRP721389 IBL721389 ILH721389 IVD721389 JEZ721389 JOV721389 JYR721389 KIN721389 KSJ721389 LCF721389 LMB721389 LVX721389 MFT721389 MPP721389 MZL721389 NJH721389 NTD721389 OCZ721389 OMV721389 OWR721389 PGN721389 PQJ721389 QAF721389 QKB721389 QTX721389 RDT721389 RNP721389 RXL721389 SHH721389 SRD721389 TAZ721389 TKV721389 TUR721389 UEN721389 UOJ721389 UYF721389 VIB721389 VRX721389 WBT721389 WLP721389 WVL721389 D786925 IZ786925 SV786925 ACR786925 AMN786925 AWJ786925 BGF786925 BQB786925 BZX786925 CJT786925 CTP786925 DDL786925 DNH786925 DXD786925 EGZ786925 EQV786925 FAR786925 FKN786925 FUJ786925 GEF786925 GOB786925 GXX786925 HHT786925 HRP786925 IBL786925 ILH786925 IVD786925 JEZ786925 JOV786925 JYR786925 KIN786925 KSJ786925 LCF786925 LMB786925 LVX786925 MFT786925 MPP786925 MZL786925 NJH786925 NTD786925 OCZ786925 OMV786925 OWR786925 PGN786925 PQJ786925 QAF786925 QKB786925 QTX786925 RDT786925 RNP786925 RXL786925 SHH786925 SRD786925 TAZ786925 TKV786925 TUR786925 UEN786925 UOJ786925 UYF786925 VIB786925 VRX786925 WBT786925 WLP786925 WVL786925 D852461 IZ852461 SV852461 ACR852461 AMN852461 AWJ852461 BGF852461 BQB852461 BZX852461 CJT852461 CTP852461 DDL852461 DNH852461 DXD852461 EGZ852461 EQV852461 FAR852461 FKN852461 FUJ852461 GEF852461 GOB852461 GXX852461 HHT852461 HRP852461 IBL852461 ILH852461 IVD852461 JEZ852461 JOV852461 JYR852461 KIN852461 KSJ852461 LCF852461 LMB852461 LVX852461 MFT852461 MPP852461 MZL852461 NJH852461 NTD852461 OCZ852461 OMV852461 OWR852461 PGN852461 PQJ852461 QAF852461 QKB852461 QTX852461 RDT852461 RNP852461 RXL852461 SHH852461 SRD852461 TAZ852461 TKV852461 TUR852461 UEN852461 UOJ852461 UYF852461 VIB852461 VRX852461 WBT852461 WLP852461 WVL852461 D917997 IZ917997 SV917997 ACR917997 AMN917997 AWJ917997 BGF917997 BQB917997 BZX917997 CJT917997 CTP917997 DDL917997 DNH917997 DXD917997 EGZ917997 EQV917997 FAR917997 FKN917997 FUJ917997 GEF917997 GOB917997 GXX917997 HHT917997 HRP917997 IBL917997 ILH917997 IVD917997 JEZ917997 JOV917997 JYR917997 KIN917997 KSJ917997 LCF917997 LMB917997 LVX917997 MFT917997 MPP917997 MZL917997 NJH917997 NTD917997 OCZ917997 OMV917997 OWR917997 PGN917997 PQJ917997 QAF917997 QKB917997 QTX917997 RDT917997 RNP917997 RXL917997 SHH917997 SRD917997 TAZ917997 TKV917997 TUR917997 UEN917997 UOJ917997 UYF917997 VIB917997 VRX917997 WBT917997 WLP917997 WVL917997 D983533 IZ983533 SV983533 ACR983533 AMN983533 AWJ983533 BGF983533 BQB983533 BZX983533 CJT983533 CTP983533 DDL983533 DNH983533 DXD983533 EGZ983533 EQV983533 FAR983533 FKN983533 FUJ983533 GEF983533 GOB983533 GXX983533 HHT983533 HRP983533 IBL983533 ILH983533 IVD983533 JEZ983533 JOV983533 JYR983533 KIN983533 KSJ983533 LCF983533 LMB983533 LVX983533 MFT983533 MPP983533 MZL983533 NJH983533 NTD983533 OCZ983533 OMV983533 OWR983533 PGN983533 PQJ983533 QAF983533 QKB983533 QTX983533 RDT983533 RNP983533 RXL983533 SHH983533 SRD983533 TAZ983533 TKV983533 TUR983533 UEN983533 UOJ983533 UYF983533 VIB983533 VRX983533 WBT983533 WLP983533 WVL983533 D405 IZ405 SV405 ACR405 AMN405 AWJ405 BGF405 BQB405 BZX405 CJT405 CTP405 DDL405 DNH405 DXD405 EGZ405 EQV405 FAR405 FKN405 FUJ405 GEF405 GOB405 GXX405 HHT405 HRP405 IBL405 ILH405 IVD405 JEZ405 JOV405 JYR405 KIN405 KSJ405 LCF405 LMB405 LVX405 MFT405 MPP405 MZL405 NJH405 NTD405 OCZ405 OMV405 OWR405 PGN405 PQJ405 QAF405 QKB405 QTX405 RDT405 RNP405 RXL405 SHH405 SRD405 TAZ405 TKV405 TUR405 UEN405 UOJ405 UYF405 VIB405 VRX405 WBT405 WLP405 WVL405 D65941 IZ65941 SV65941 ACR65941 AMN65941 AWJ65941 BGF65941 BQB65941 BZX65941 CJT65941 CTP65941 DDL65941 DNH65941 DXD65941 EGZ65941 EQV65941 FAR65941 FKN65941 FUJ65941 GEF65941 GOB65941 GXX65941 HHT65941 HRP65941 IBL65941 ILH65941 IVD65941 JEZ65941 JOV65941 JYR65941 KIN65941 KSJ65941 LCF65941 LMB65941 LVX65941 MFT65941 MPP65941 MZL65941 NJH65941 NTD65941 OCZ65941 OMV65941 OWR65941 PGN65941 PQJ65941 QAF65941 QKB65941 QTX65941 RDT65941 RNP65941 RXL65941 SHH65941 SRD65941 TAZ65941 TKV65941 TUR65941 UEN65941 UOJ65941 UYF65941 VIB65941 VRX65941 WBT65941 WLP65941 WVL65941 D131477 IZ131477 SV131477 ACR131477 AMN131477 AWJ131477 BGF131477 BQB131477 BZX131477 CJT131477 CTP131477 DDL131477 DNH131477 DXD131477 EGZ131477 EQV131477 FAR131477 FKN131477 FUJ131477 GEF131477 GOB131477 GXX131477 HHT131477 HRP131477 IBL131477 ILH131477 IVD131477 JEZ131477 JOV131477 JYR131477 KIN131477 KSJ131477 LCF131477 LMB131477 LVX131477 MFT131477 MPP131477 MZL131477 NJH131477 NTD131477 OCZ131477 OMV131477 OWR131477 PGN131477 PQJ131477 QAF131477 QKB131477 QTX131477 RDT131477 RNP131477 RXL131477 SHH131477 SRD131477 TAZ131477 TKV131477 TUR131477 UEN131477 UOJ131477 UYF131477 VIB131477 VRX131477 WBT131477 WLP131477 WVL131477 D197013 IZ197013 SV197013 ACR197013 AMN197013 AWJ197013 BGF197013 BQB197013 BZX197013 CJT197013 CTP197013 DDL197013 DNH197013 DXD197013 EGZ197013 EQV197013 FAR197013 FKN197013 FUJ197013 GEF197013 GOB197013 GXX197013 HHT197013 HRP197013 IBL197013 ILH197013 IVD197013 JEZ197013 JOV197013 JYR197013 KIN197013 KSJ197013 LCF197013 LMB197013 LVX197013 MFT197013 MPP197013 MZL197013 NJH197013 NTD197013 OCZ197013 OMV197013 OWR197013 PGN197013 PQJ197013 QAF197013 QKB197013 QTX197013 RDT197013 RNP197013 RXL197013 SHH197013 SRD197013 TAZ197013 TKV197013 TUR197013 UEN197013 UOJ197013 UYF197013 VIB197013 VRX197013 WBT197013 WLP197013 WVL197013 D262549 IZ262549 SV262549 ACR262549 AMN262549 AWJ262549 BGF262549 BQB262549 BZX262549 CJT262549 CTP262549 DDL262549 DNH262549 DXD262549 EGZ262549 EQV262549 FAR262549 FKN262549 FUJ262549 GEF262549 GOB262549 GXX262549 HHT262549 HRP262549 IBL262549 ILH262549 IVD262549 JEZ262549 JOV262549 JYR262549 KIN262549 KSJ262549 LCF262549 LMB262549 LVX262549 MFT262549 MPP262549 MZL262549 NJH262549 NTD262549 OCZ262549 OMV262549 OWR262549 PGN262549 PQJ262549 QAF262549 QKB262549 QTX262549 RDT262549 RNP262549 RXL262549 SHH262549 SRD262549 TAZ262549 TKV262549 TUR262549 UEN262549 UOJ262549 UYF262549 VIB262549 VRX262549 WBT262549 WLP262549 WVL262549 D328085 IZ328085 SV328085 ACR328085 AMN328085 AWJ328085 BGF328085 BQB328085 BZX328085 CJT328085 CTP328085 DDL328085 DNH328085 DXD328085 EGZ328085 EQV328085 FAR328085 FKN328085 FUJ328085 GEF328085 GOB328085 GXX328085 HHT328085 HRP328085 IBL328085 ILH328085 IVD328085 JEZ328085 JOV328085 JYR328085 KIN328085 KSJ328085 LCF328085 LMB328085 LVX328085 MFT328085 MPP328085 MZL328085 NJH328085 NTD328085 OCZ328085 OMV328085 OWR328085 PGN328085 PQJ328085 QAF328085 QKB328085 QTX328085 RDT328085 RNP328085 RXL328085 SHH328085 SRD328085 TAZ328085 TKV328085 TUR328085 UEN328085 UOJ328085 UYF328085 VIB328085 VRX328085 WBT328085 WLP328085 WVL328085 D393621 IZ393621 SV393621 ACR393621 AMN393621 AWJ393621 BGF393621 BQB393621 BZX393621 CJT393621 CTP393621 DDL393621 DNH393621 DXD393621 EGZ393621 EQV393621 FAR393621 FKN393621 FUJ393621 GEF393621 GOB393621 GXX393621 HHT393621 HRP393621 IBL393621 ILH393621 IVD393621 JEZ393621 JOV393621 JYR393621 KIN393621 KSJ393621 LCF393621 LMB393621 LVX393621 MFT393621 MPP393621 MZL393621 NJH393621 NTD393621 OCZ393621 OMV393621 OWR393621 PGN393621 PQJ393621 QAF393621 QKB393621 QTX393621 RDT393621 RNP393621 RXL393621 SHH393621 SRD393621 TAZ393621 TKV393621 TUR393621 UEN393621 UOJ393621 UYF393621 VIB393621 VRX393621 WBT393621 WLP393621 WVL393621 D459157 IZ459157 SV459157 ACR459157 AMN459157 AWJ459157 BGF459157 BQB459157 BZX459157 CJT459157 CTP459157 DDL459157 DNH459157 DXD459157 EGZ459157 EQV459157 FAR459157 FKN459157 FUJ459157 GEF459157 GOB459157 GXX459157 HHT459157 HRP459157 IBL459157 ILH459157 IVD459157 JEZ459157 JOV459157 JYR459157 KIN459157 KSJ459157 LCF459157 LMB459157 LVX459157 MFT459157 MPP459157 MZL459157 NJH459157 NTD459157 OCZ459157 OMV459157 OWR459157 PGN459157 PQJ459157 QAF459157 QKB459157 QTX459157 RDT459157 RNP459157 RXL459157 SHH459157 SRD459157 TAZ459157 TKV459157 TUR459157 UEN459157 UOJ459157 UYF459157 VIB459157 VRX459157 WBT459157 WLP459157 WVL459157 D524693 IZ524693 SV524693 ACR524693 AMN524693 AWJ524693 BGF524693 BQB524693 BZX524693 CJT524693 CTP524693 DDL524693 DNH524693 DXD524693 EGZ524693 EQV524693 FAR524693 FKN524693 FUJ524693 GEF524693 GOB524693 GXX524693 HHT524693 HRP524693 IBL524693 ILH524693 IVD524693 JEZ524693 JOV524693 JYR524693 KIN524693 KSJ524693 LCF524693 LMB524693 LVX524693 MFT524693 MPP524693 MZL524693 NJH524693 NTD524693 OCZ524693 OMV524693 OWR524693 PGN524693 PQJ524693 QAF524693 QKB524693 QTX524693 RDT524693 RNP524693 RXL524693 SHH524693 SRD524693 TAZ524693 TKV524693 TUR524693 UEN524693 UOJ524693 UYF524693 VIB524693 VRX524693 WBT524693 WLP524693 WVL524693 D590229 IZ590229 SV590229 ACR590229 AMN590229 AWJ590229 BGF590229 BQB590229 BZX590229 CJT590229 CTP590229 DDL590229 DNH590229 DXD590229 EGZ590229 EQV590229 FAR590229 FKN590229 FUJ590229 GEF590229 GOB590229 GXX590229 HHT590229 HRP590229 IBL590229 ILH590229 IVD590229 JEZ590229 JOV590229 JYR590229 KIN590229 KSJ590229 LCF590229 LMB590229 LVX590229 MFT590229 MPP590229 MZL590229 NJH590229 NTD590229 OCZ590229 OMV590229 OWR590229 PGN590229 PQJ590229 QAF590229 QKB590229 QTX590229 RDT590229 RNP590229 RXL590229 SHH590229 SRD590229 TAZ590229 TKV590229 TUR590229 UEN590229 UOJ590229 UYF590229 VIB590229 VRX590229 WBT590229 WLP590229 WVL590229 D655765 IZ655765 SV655765 ACR655765 AMN655765 AWJ655765 BGF655765 BQB655765 BZX655765 CJT655765 CTP655765 DDL655765 DNH655765 DXD655765 EGZ655765 EQV655765 FAR655765 FKN655765 FUJ655765 GEF655765 GOB655765 GXX655765 HHT655765 HRP655765 IBL655765 ILH655765 IVD655765 JEZ655765 JOV655765 JYR655765 KIN655765 KSJ655765 LCF655765 LMB655765 LVX655765 MFT655765 MPP655765 MZL655765 NJH655765 NTD655765 OCZ655765 OMV655765 OWR655765 PGN655765 PQJ655765 QAF655765 QKB655765 QTX655765 RDT655765 RNP655765 RXL655765 SHH655765 SRD655765 TAZ655765 TKV655765 TUR655765 UEN655765 UOJ655765 UYF655765 VIB655765 VRX655765 WBT655765 WLP655765 WVL655765 D721301 IZ721301 SV721301 ACR721301 AMN721301 AWJ721301 BGF721301 BQB721301 BZX721301 CJT721301 CTP721301 DDL721301 DNH721301 DXD721301 EGZ721301 EQV721301 FAR721301 FKN721301 FUJ721301 GEF721301 GOB721301 GXX721301 HHT721301 HRP721301 IBL721301 ILH721301 IVD721301 JEZ721301 JOV721301 JYR721301 KIN721301 KSJ721301 LCF721301 LMB721301 LVX721301 MFT721301 MPP721301 MZL721301 NJH721301 NTD721301 OCZ721301 OMV721301 OWR721301 PGN721301 PQJ721301 QAF721301 QKB721301 QTX721301 RDT721301 RNP721301 RXL721301 SHH721301 SRD721301 TAZ721301 TKV721301 TUR721301 UEN721301 UOJ721301 UYF721301 VIB721301 VRX721301 WBT721301 WLP721301 WVL721301 D786837 IZ786837 SV786837 ACR786837 AMN786837 AWJ786837 BGF786837 BQB786837 BZX786837 CJT786837 CTP786837 DDL786837 DNH786837 DXD786837 EGZ786837 EQV786837 FAR786837 FKN786837 FUJ786837 GEF786837 GOB786837 GXX786837 HHT786837 HRP786837 IBL786837 ILH786837 IVD786837 JEZ786837 JOV786837 JYR786837 KIN786837 KSJ786837 LCF786837 LMB786837 LVX786837 MFT786837 MPP786837 MZL786837 NJH786837 NTD786837 OCZ786837 OMV786837 OWR786837 PGN786837 PQJ786837 QAF786837 QKB786837 QTX786837 RDT786837 RNP786837 RXL786837 SHH786837 SRD786837 TAZ786837 TKV786837 TUR786837 UEN786837 UOJ786837 UYF786837 VIB786837 VRX786837 WBT786837 WLP786837 WVL786837 D852373 IZ852373 SV852373 ACR852373 AMN852373 AWJ852373 BGF852373 BQB852373 BZX852373 CJT852373 CTP852373 DDL852373 DNH852373 DXD852373 EGZ852373 EQV852373 FAR852373 FKN852373 FUJ852373 GEF852373 GOB852373 GXX852373 HHT852373 HRP852373 IBL852373 ILH852373 IVD852373 JEZ852373 JOV852373 JYR852373 KIN852373 KSJ852373 LCF852373 LMB852373 LVX852373 MFT852373 MPP852373 MZL852373 NJH852373 NTD852373 OCZ852373 OMV852373 OWR852373 PGN852373 PQJ852373 QAF852373 QKB852373 QTX852373 RDT852373 RNP852373 RXL852373 SHH852373 SRD852373 TAZ852373 TKV852373 TUR852373 UEN852373 UOJ852373 UYF852373 VIB852373 VRX852373 WBT852373 WLP852373 WVL852373 D917909 IZ917909 SV917909 ACR917909 AMN917909 AWJ917909 BGF917909 BQB917909 BZX917909 CJT917909 CTP917909 DDL917909 DNH917909 DXD917909 EGZ917909 EQV917909 FAR917909 FKN917909 FUJ917909 GEF917909 GOB917909 GXX917909 HHT917909 HRP917909 IBL917909 ILH917909 IVD917909 JEZ917909 JOV917909 JYR917909 KIN917909 KSJ917909 LCF917909 LMB917909 LVX917909 MFT917909 MPP917909 MZL917909 NJH917909 NTD917909 OCZ917909 OMV917909 OWR917909 PGN917909 PQJ917909 QAF917909 QKB917909 QTX917909 RDT917909 RNP917909 RXL917909 SHH917909 SRD917909 TAZ917909 TKV917909 TUR917909 UEN917909 UOJ917909 UYF917909 VIB917909 VRX917909 WBT917909 WLP917909 WVL917909 D983445 IZ983445 SV983445 ACR983445 AMN983445 AWJ983445 BGF983445 BQB983445 BZX983445 CJT983445 CTP983445 DDL983445 DNH983445 DXD983445 EGZ983445 EQV983445 FAR983445 FKN983445 FUJ983445 GEF983445 GOB983445 GXX983445 HHT983445 HRP983445 IBL983445 ILH983445 IVD983445 JEZ983445 JOV983445 JYR983445 KIN983445 KSJ983445 LCF983445 LMB983445 LVX983445 MFT983445 MPP983445 MZL983445 NJH983445 NTD983445 OCZ983445 OMV983445 OWR983445 PGN983445 PQJ983445 QAF983445 QKB983445 QTX983445 RDT983445 RNP983445 RXL983445 SHH983445 SRD983445 TAZ983445 TKV983445 TUR983445 UEN983445 UOJ983445 UYF983445 VIB983445 VRX983445 WBT983445 WLP983445 WVL983445 D322 IZ322 SV322 ACR322 AMN322 AWJ322 BGF322 BQB322 BZX322 CJT322 CTP322 DDL322 DNH322 DXD322 EGZ322 EQV322 FAR322 FKN322 FUJ322 GEF322 GOB322 GXX322 HHT322 HRP322 IBL322 ILH322 IVD322 JEZ322 JOV322 JYR322 KIN322 KSJ322 LCF322 LMB322 LVX322 MFT322 MPP322 MZL322 NJH322 NTD322 OCZ322 OMV322 OWR322 PGN322 PQJ322 QAF322 QKB322 QTX322 RDT322 RNP322 RXL322 SHH322 SRD322 TAZ322 TKV322 TUR322 UEN322 UOJ322 UYF322 VIB322 VRX322 WBT322 WLP322 WVL322 D65858 IZ65858 SV65858 ACR65858 AMN65858 AWJ65858 BGF65858 BQB65858 BZX65858 CJT65858 CTP65858 DDL65858 DNH65858 DXD65858 EGZ65858 EQV65858 FAR65858 FKN65858 FUJ65858 GEF65858 GOB65858 GXX65858 HHT65858 HRP65858 IBL65858 ILH65858 IVD65858 JEZ65858 JOV65858 JYR65858 KIN65858 KSJ65858 LCF65858 LMB65858 LVX65858 MFT65858 MPP65858 MZL65858 NJH65858 NTD65858 OCZ65858 OMV65858 OWR65858 PGN65858 PQJ65858 QAF65858 QKB65858 QTX65858 RDT65858 RNP65858 RXL65858 SHH65858 SRD65858 TAZ65858 TKV65858 TUR65858 UEN65858 UOJ65858 UYF65858 VIB65858 VRX65858 WBT65858 WLP65858 WVL65858 D131394 IZ131394 SV131394 ACR131394 AMN131394 AWJ131394 BGF131394 BQB131394 BZX131394 CJT131394 CTP131394 DDL131394 DNH131394 DXD131394 EGZ131394 EQV131394 FAR131394 FKN131394 FUJ131394 GEF131394 GOB131394 GXX131394 HHT131394 HRP131394 IBL131394 ILH131394 IVD131394 JEZ131394 JOV131394 JYR131394 KIN131394 KSJ131394 LCF131394 LMB131394 LVX131394 MFT131394 MPP131394 MZL131394 NJH131394 NTD131394 OCZ131394 OMV131394 OWR131394 PGN131394 PQJ131394 QAF131394 QKB131394 QTX131394 RDT131394 RNP131394 RXL131394 SHH131394 SRD131394 TAZ131394 TKV131394 TUR131394 UEN131394 UOJ131394 UYF131394 VIB131394 VRX131394 WBT131394 WLP131394 WVL131394 D196930 IZ196930 SV196930 ACR196930 AMN196930 AWJ196930 BGF196930 BQB196930 BZX196930 CJT196930 CTP196930 DDL196930 DNH196930 DXD196930 EGZ196930 EQV196930 FAR196930 FKN196930 FUJ196930 GEF196930 GOB196930 GXX196930 HHT196930 HRP196930 IBL196930 ILH196930 IVD196930 JEZ196930 JOV196930 JYR196930 KIN196930 KSJ196930 LCF196930 LMB196930 LVX196930 MFT196930 MPP196930 MZL196930 NJH196930 NTD196930 OCZ196930 OMV196930 OWR196930 PGN196930 PQJ196930 QAF196930 QKB196930 QTX196930 RDT196930 RNP196930 RXL196930 SHH196930 SRD196930 TAZ196930 TKV196930 TUR196930 UEN196930 UOJ196930 UYF196930 VIB196930 VRX196930 WBT196930 WLP196930 WVL196930 D262466 IZ262466 SV262466 ACR262466 AMN262466 AWJ262466 BGF262466 BQB262466 BZX262466 CJT262466 CTP262466 DDL262466 DNH262466 DXD262466 EGZ262466 EQV262466 FAR262466 FKN262466 FUJ262466 GEF262466 GOB262466 GXX262466 HHT262466 HRP262466 IBL262466 ILH262466 IVD262466 JEZ262466 JOV262466 JYR262466 KIN262466 KSJ262466 LCF262466 LMB262466 LVX262466 MFT262466 MPP262466 MZL262466 NJH262466 NTD262466 OCZ262466 OMV262466 OWR262466 PGN262466 PQJ262466 QAF262466 QKB262466 QTX262466 RDT262466 RNP262466 RXL262466 SHH262466 SRD262466 TAZ262466 TKV262466 TUR262466 UEN262466 UOJ262466 UYF262466 VIB262466 VRX262466 WBT262466 WLP262466 WVL262466 D328002 IZ328002 SV328002 ACR328002 AMN328002 AWJ328002 BGF328002 BQB328002 BZX328002 CJT328002 CTP328002 DDL328002 DNH328002 DXD328002 EGZ328002 EQV328002 FAR328002 FKN328002 FUJ328002 GEF328002 GOB328002 GXX328002 HHT328002 HRP328002 IBL328002 ILH328002 IVD328002 JEZ328002 JOV328002 JYR328002 KIN328002 KSJ328002 LCF328002 LMB328002 LVX328002 MFT328002 MPP328002 MZL328002 NJH328002 NTD328002 OCZ328002 OMV328002 OWR328002 PGN328002 PQJ328002 QAF328002 QKB328002 QTX328002 RDT328002 RNP328002 RXL328002 SHH328002 SRD328002 TAZ328002 TKV328002 TUR328002 UEN328002 UOJ328002 UYF328002 VIB328002 VRX328002 WBT328002 WLP328002 WVL328002 D393538 IZ393538 SV393538 ACR393538 AMN393538 AWJ393538 BGF393538 BQB393538 BZX393538 CJT393538 CTP393538 DDL393538 DNH393538 DXD393538 EGZ393538 EQV393538 FAR393538 FKN393538 FUJ393538 GEF393538 GOB393538 GXX393538 HHT393538 HRP393538 IBL393538 ILH393538 IVD393538 JEZ393538 JOV393538 JYR393538 KIN393538 KSJ393538 LCF393538 LMB393538 LVX393538 MFT393538 MPP393538 MZL393538 NJH393538 NTD393538 OCZ393538 OMV393538 OWR393538 PGN393538 PQJ393538 QAF393538 QKB393538 QTX393538 RDT393538 RNP393538 RXL393538 SHH393538 SRD393538 TAZ393538 TKV393538 TUR393538 UEN393538 UOJ393538 UYF393538 VIB393538 VRX393538 WBT393538 WLP393538 WVL393538 D459074 IZ459074 SV459074 ACR459074 AMN459074 AWJ459074 BGF459074 BQB459074 BZX459074 CJT459074 CTP459074 DDL459074 DNH459074 DXD459074 EGZ459074 EQV459074 FAR459074 FKN459074 FUJ459074 GEF459074 GOB459074 GXX459074 HHT459074 HRP459074 IBL459074 ILH459074 IVD459074 JEZ459074 JOV459074 JYR459074 KIN459074 KSJ459074 LCF459074 LMB459074 LVX459074 MFT459074 MPP459074 MZL459074 NJH459074 NTD459074 OCZ459074 OMV459074 OWR459074 PGN459074 PQJ459074 QAF459074 QKB459074 QTX459074 RDT459074 RNP459074 RXL459074 SHH459074 SRD459074 TAZ459074 TKV459074 TUR459074 UEN459074 UOJ459074 UYF459074 VIB459074 VRX459074 WBT459074 WLP459074 WVL459074 D524610 IZ524610 SV524610 ACR524610 AMN524610 AWJ524610 BGF524610 BQB524610 BZX524610 CJT524610 CTP524610 DDL524610 DNH524610 DXD524610 EGZ524610 EQV524610 FAR524610 FKN524610 FUJ524610 GEF524610 GOB524610 GXX524610 HHT524610 HRP524610 IBL524610 ILH524610 IVD524610 JEZ524610 JOV524610 JYR524610 KIN524610 KSJ524610 LCF524610 LMB524610 LVX524610 MFT524610 MPP524610 MZL524610 NJH524610 NTD524610 OCZ524610 OMV524610 OWR524610 PGN524610 PQJ524610 QAF524610 QKB524610 QTX524610 RDT524610 RNP524610 RXL524610 SHH524610 SRD524610 TAZ524610 TKV524610 TUR524610 UEN524610 UOJ524610 UYF524610 VIB524610 VRX524610 WBT524610 WLP524610 WVL524610 D590146 IZ590146 SV590146 ACR590146 AMN590146 AWJ590146 BGF590146 BQB590146 BZX590146 CJT590146 CTP590146 DDL590146 DNH590146 DXD590146 EGZ590146 EQV590146 FAR590146 FKN590146 FUJ590146 GEF590146 GOB590146 GXX590146 HHT590146 HRP590146 IBL590146 ILH590146 IVD590146 JEZ590146 JOV590146 JYR590146 KIN590146 KSJ590146 LCF590146 LMB590146 LVX590146 MFT590146 MPP590146 MZL590146 NJH590146 NTD590146 OCZ590146 OMV590146 OWR590146 PGN590146 PQJ590146 QAF590146 QKB590146 QTX590146 RDT590146 RNP590146 RXL590146 SHH590146 SRD590146 TAZ590146 TKV590146 TUR590146 UEN590146 UOJ590146 UYF590146 VIB590146 VRX590146 WBT590146 WLP590146 WVL590146 D655682 IZ655682 SV655682 ACR655682 AMN655682 AWJ655682 BGF655682 BQB655682 BZX655682 CJT655682 CTP655682 DDL655682 DNH655682 DXD655682 EGZ655682 EQV655682 FAR655682 FKN655682 FUJ655682 GEF655682 GOB655682 GXX655682 HHT655682 HRP655682 IBL655682 ILH655682 IVD655682 JEZ655682 JOV655682 JYR655682 KIN655682 KSJ655682 LCF655682 LMB655682 LVX655682 MFT655682 MPP655682 MZL655682 NJH655682 NTD655682 OCZ655682 OMV655682 OWR655682 PGN655682 PQJ655682 QAF655682 QKB655682 QTX655682 RDT655682 RNP655682 RXL655682 SHH655682 SRD655682 TAZ655682 TKV655682 TUR655682 UEN655682 UOJ655682 UYF655682 VIB655682 VRX655682 WBT655682 WLP655682 WVL655682 D721218 IZ721218 SV721218 ACR721218 AMN721218 AWJ721218 BGF721218 BQB721218 BZX721218 CJT721218 CTP721218 DDL721218 DNH721218 DXD721218 EGZ721218 EQV721218 FAR721218 FKN721218 FUJ721218 GEF721218 GOB721218 GXX721218 HHT721218 HRP721218 IBL721218 ILH721218 IVD721218 JEZ721218 JOV721218 JYR721218 KIN721218 KSJ721218 LCF721218 LMB721218 LVX721218 MFT721218 MPP721218 MZL721218 NJH721218 NTD721218 OCZ721218 OMV721218 OWR721218 PGN721218 PQJ721218 QAF721218 QKB721218 QTX721218 RDT721218 RNP721218 RXL721218 SHH721218 SRD721218 TAZ721218 TKV721218 TUR721218 UEN721218 UOJ721218 UYF721218 VIB721218 VRX721218 WBT721218 WLP721218 WVL721218 D786754 IZ786754 SV786754 ACR786754 AMN786754 AWJ786754 BGF786754 BQB786754 BZX786754 CJT786754 CTP786754 DDL786754 DNH786754 DXD786754 EGZ786754 EQV786754 FAR786754 FKN786754 FUJ786754 GEF786754 GOB786754 GXX786754 HHT786754 HRP786754 IBL786754 ILH786754 IVD786754 JEZ786754 JOV786754 JYR786754 KIN786754 KSJ786754 LCF786754 LMB786754 LVX786754 MFT786754 MPP786754 MZL786754 NJH786754 NTD786754 OCZ786754 OMV786754 OWR786754 PGN786754 PQJ786754 QAF786754 QKB786754 QTX786754 RDT786754 RNP786754 RXL786754 SHH786754 SRD786754 TAZ786754 TKV786754 TUR786754 UEN786754 UOJ786754 UYF786754 VIB786754 VRX786754 WBT786754 WLP786754 WVL786754 D852290 IZ852290 SV852290 ACR852290 AMN852290 AWJ852290 BGF852290 BQB852290 BZX852290 CJT852290 CTP852290 DDL852290 DNH852290 DXD852290 EGZ852290 EQV852290 FAR852290 FKN852290 FUJ852290 GEF852290 GOB852290 GXX852290 HHT852290 HRP852290 IBL852290 ILH852290 IVD852290 JEZ852290 JOV852290 JYR852290 KIN852290 KSJ852290 LCF852290 LMB852290 LVX852290 MFT852290 MPP852290 MZL852290 NJH852290 NTD852290 OCZ852290 OMV852290 OWR852290 PGN852290 PQJ852290 QAF852290 QKB852290 QTX852290 RDT852290 RNP852290 RXL852290 SHH852290 SRD852290 TAZ852290 TKV852290 TUR852290 UEN852290 UOJ852290 UYF852290 VIB852290 VRX852290 WBT852290 WLP852290 WVL852290 D917826 IZ917826 SV917826 ACR917826 AMN917826 AWJ917826 BGF917826 BQB917826 BZX917826 CJT917826 CTP917826 DDL917826 DNH917826 DXD917826 EGZ917826 EQV917826 FAR917826 FKN917826 FUJ917826 GEF917826 GOB917826 GXX917826 HHT917826 HRP917826 IBL917826 ILH917826 IVD917826 JEZ917826 JOV917826 JYR917826 KIN917826 KSJ917826 LCF917826 LMB917826 LVX917826 MFT917826 MPP917826 MZL917826 NJH917826 NTD917826 OCZ917826 OMV917826 OWR917826 PGN917826 PQJ917826 QAF917826 QKB917826 QTX917826 RDT917826 RNP917826 RXL917826 SHH917826 SRD917826 TAZ917826 TKV917826 TUR917826 UEN917826 UOJ917826 UYF917826 VIB917826 VRX917826 WBT917826 WLP917826 WVL917826 D983362 IZ983362 SV983362 ACR983362 AMN983362 AWJ983362 BGF983362 BQB983362 BZX983362 CJT983362 CTP983362 DDL983362 DNH983362 DXD983362 EGZ983362 EQV983362 FAR983362 FKN983362 FUJ983362 GEF983362 GOB983362 GXX983362 HHT983362 HRP983362 IBL983362 ILH983362 IVD983362 JEZ983362 JOV983362 JYR983362 KIN983362 KSJ983362 LCF983362 LMB983362 LVX983362 MFT983362 MPP983362 MZL983362 NJH983362 NTD983362 OCZ983362 OMV983362 OWR983362 PGN983362 PQJ983362 QAF983362 QKB983362 QTX983362 RDT983362 RNP983362 RXL983362 SHH983362 SRD983362 TAZ983362 TKV983362 TUR983362 UEN983362 UOJ983362 UYF983362 VIB983362 VRX983362 WBT983362 WLP983362 WVL983362 D191 IZ191 SV191 ACR191 AMN191 AWJ191 BGF191 BQB191 BZX191 CJT191 CTP191 DDL191 DNH191 DXD191 EGZ191 EQV191 FAR191 FKN191 FUJ191 GEF191 GOB191 GXX191 HHT191 HRP191 IBL191 ILH191 IVD191 JEZ191 JOV191 JYR191 KIN191 KSJ191 LCF191 LMB191 LVX191 MFT191 MPP191 MZL191 NJH191 NTD191 OCZ191 OMV191 OWR191 PGN191 PQJ191 QAF191 QKB191 QTX191 RDT191 RNP191 RXL191 SHH191 SRD191 TAZ191 TKV191 TUR191 UEN191 UOJ191 UYF191 VIB191 VRX191 WBT191 WLP191 WVL191 D65721 IZ65721 SV65721 ACR65721 AMN65721 AWJ65721 BGF65721 BQB65721 BZX65721 CJT65721 CTP65721 DDL65721 DNH65721 DXD65721 EGZ65721 EQV65721 FAR65721 FKN65721 FUJ65721 GEF65721 GOB65721 GXX65721 HHT65721 HRP65721 IBL65721 ILH65721 IVD65721 JEZ65721 JOV65721 JYR65721 KIN65721 KSJ65721 LCF65721 LMB65721 LVX65721 MFT65721 MPP65721 MZL65721 NJH65721 NTD65721 OCZ65721 OMV65721 OWR65721 PGN65721 PQJ65721 QAF65721 QKB65721 QTX65721 RDT65721 RNP65721 RXL65721 SHH65721 SRD65721 TAZ65721 TKV65721 TUR65721 UEN65721 UOJ65721 UYF65721 VIB65721 VRX65721 WBT65721 WLP65721 WVL65721 D131257 IZ131257 SV131257 ACR131257 AMN131257 AWJ131257 BGF131257 BQB131257 BZX131257 CJT131257 CTP131257 DDL131257 DNH131257 DXD131257 EGZ131257 EQV131257 FAR131257 FKN131257 FUJ131257 GEF131257 GOB131257 GXX131257 HHT131257 HRP131257 IBL131257 ILH131257 IVD131257 JEZ131257 JOV131257 JYR131257 KIN131257 KSJ131257 LCF131257 LMB131257 LVX131257 MFT131257 MPP131257 MZL131257 NJH131257 NTD131257 OCZ131257 OMV131257 OWR131257 PGN131257 PQJ131257 QAF131257 QKB131257 QTX131257 RDT131257 RNP131257 RXL131257 SHH131257 SRD131257 TAZ131257 TKV131257 TUR131257 UEN131257 UOJ131257 UYF131257 VIB131257 VRX131257 WBT131257 WLP131257 WVL131257 D196793 IZ196793 SV196793 ACR196793 AMN196793 AWJ196793 BGF196793 BQB196793 BZX196793 CJT196793 CTP196793 DDL196793 DNH196793 DXD196793 EGZ196793 EQV196793 FAR196793 FKN196793 FUJ196793 GEF196793 GOB196793 GXX196793 HHT196793 HRP196793 IBL196793 ILH196793 IVD196793 JEZ196793 JOV196793 JYR196793 KIN196793 KSJ196793 LCF196793 LMB196793 LVX196793 MFT196793 MPP196793 MZL196793 NJH196793 NTD196793 OCZ196793 OMV196793 OWR196793 PGN196793 PQJ196793 QAF196793 QKB196793 QTX196793 RDT196793 RNP196793 RXL196793 SHH196793 SRD196793 TAZ196793 TKV196793 TUR196793 UEN196793 UOJ196793 UYF196793 VIB196793 VRX196793 WBT196793 WLP196793 WVL196793 D262329 IZ262329 SV262329 ACR262329 AMN262329 AWJ262329 BGF262329 BQB262329 BZX262329 CJT262329 CTP262329 DDL262329 DNH262329 DXD262329 EGZ262329 EQV262329 FAR262329 FKN262329 FUJ262329 GEF262329 GOB262329 GXX262329 HHT262329 HRP262329 IBL262329 ILH262329 IVD262329 JEZ262329 JOV262329 JYR262329 KIN262329 KSJ262329 LCF262329 LMB262329 LVX262329 MFT262329 MPP262329 MZL262329 NJH262329 NTD262329 OCZ262329 OMV262329 OWR262329 PGN262329 PQJ262329 QAF262329 QKB262329 QTX262329 RDT262329 RNP262329 RXL262329 SHH262329 SRD262329 TAZ262329 TKV262329 TUR262329 UEN262329 UOJ262329 UYF262329 VIB262329 VRX262329 WBT262329 WLP262329 WVL262329 D327865 IZ327865 SV327865 ACR327865 AMN327865 AWJ327865 BGF327865 BQB327865 BZX327865 CJT327865 CTP327865 DDL327865 DNH327865 DXD327865 EGZ327865 EQV327865 FAR327865 FKN327865 FUJ327865 GEF327865 GOB327865 GXX327865 HHT327865 HRP327865 IBL327865 ILH327865 IVD327865 JEZ327865 JOV327865 JYR327865 KIN327865 KSJ327865 LCF327865 LMB327865 LVX327865 MFT327865 MPP327865 MZL327865 NJH327865 NTD327865 OCZ327865 OMV327865 OWR327865 PGN327865 PQJ327865 QAF327865 QKB327865 QTX327865 RDT327865 RNP327865 RXL327865 SHH327865 SRD327865 TAZ327865 TKV327865 TUR327865 UEN327865 UOJ327865 UYF327865 VIB327865 VRX327865 WBT327865 WLP327865 WVL327865 D393401 IZ393401 SV393401 ACR393401 AMN393401 AWJ393401 BGF393401 BQB393401 BZX393401 CJT393401 CTP393401 DDL393401 DNH393401 DXD393401 EGZ393401 EQV393401 FAR393401 FKN393401 FUJ393401 GEF393401 GOB393401 GXX393401 HHT393401 HRP393401 IBL393401 ILH393401 IVD393401 JEZ393401 JOV393401 JYR393401 KIN393401 KSJ393401 LCF393401 LMB393401 LVX393401 MFT393401 MPP393401 MZL393401 NJH393401 NTD393401 OCZ393401 OMV393401 OWR393401 PGN393401 PQJ393401 QAF393401 QKB393401 QTX393401 RDT393401 RNP393401 RXL393401 SHH393401 SRD393401 TAZ393401 TKV393401 TUR393401 UEN393401 UOJ393401 UYF393401 VIB393401 VRX393401 WBT393401 WLP393401 WVL393401 D458937 IZ458937 SV458937 ACR458937 AMN458937 AWJ458937 BGF458937 BQB458937 BZX458937 CJT458937 CTP458937 DDL458937 DNH458937 DXD458937 EGZ458937 EQV458937 FAR458937 FKN458937 FUJ458937 GEF458937 GOB458937 GXX458937 HHT458937 HRP458937 IBL458937 ILH458937 IVD458937 JEZ458937 JOV458937 JYR458937 KIN458937 KSJ458937 LCF458937 LMB458937 LVX458937 MFT458937 MPP458937 MZL458937 NJH458937 NTD458937 OCZ458937 OMV458937 OWR458937 PGN458937 PQJ458937 QAF458937 QKB458937 QTX458937 RDT458937 RNP458937 RXL458937 SHH458937 SRD458937 TAZ458937 TKV458937 TUR458937 UEN458937 UOJ458937 UYF458937 VIB458937 VRX458937 WBT458937 WLP458937 WVL458937 D524473 IZ524473 SV524473 ACR524473 AMN524473 AWJ524473 BGF524473 BQB524473 BZX524473 CJT524473 CTP524473 DDL524473 DNH524473 DXD524473 EGZ524473 EQV524473 FAR524473 FKN524473 FUJ524473 GEF524473 GOB524473 GXX524473 HHT524473 HRP524473 IBL524473 ILH524473 IVD524473 JEZ524473 JOV524473 JYR524473 KIN524473 KSJ524473 LCF524473 LMB524473 LVX524473 MFT524473 MPP524473 MZL524473 NJH524473 NTD524473 OCZ524473 OMV524473 OWR524473 PGN524473 PQJ524473 QAF524473 QKB524473 QTX524473 RDT524473 RNP524473 RXL524473 SHH524473 SRD524473 TAZ524473 TKV524473 TUR524473 UEN524473 UOJ524473 UYF524473 VIB524473 VRX524473 WBT524473 WLP524473 WVL524473 D590009 IZ590009 SV590009 ACR590009 AMN590009 AWJ590009 BGF590009 BQB590009 BZX590009 CJT590009 CTP590009 DDL590009 DNH590009 DXD590009 EGZ590009 EQV590009 FAR590009 FKN590009 FUJ590009 GEF590009 GOB590009 GXX590009 HHT590009 HRP590009 IBL590009 ILH590009 IVD590009 JEZ590009 JOV590009 JYR590009 KIN590009 KSJ590009 LCF590009 LMB590009 LVX590009 MFT590009 MPP590009 MZL590009 NJH590009 NTD590009 OCZ590009 OMV590009 OWR590009 PGN590009 PQJ590009 QAF590009 QKB590009 QTX590009 RDT590009 RNP590009 RXL590009 SHH590009 SRD590009 TAZ590009 TKV590009 TUR590009 UEN590009 UOJ590009 UYF590009 VIB590009 VRX590009 WBT590009 WLP590009 WVL590009 D655545 IZ655545 SV655545 ACR655545 AMN655545 AWJ655545 BGF655545 BQB655545 BZX655545 CJT655545 CTP655545 DDL655545 DNH655545 DXD655545 EGZ655545 EQV655545 FAR655545 FKN655545 FUJ655545 GEF655545 GOB655545 GXX655545 HHT655545 HRP655545 IBL655545 ILH655545 IVD655545 JEZ655545 JOV655545 JYR655545 KIN655545 KSJ655545 LCF655545 LMB655545 LVX655545 MFT655545 MPP655545 MZL655545 NJH655545 NTD655545 OCZ655545 OMV655545 OWR655545 PGN655545 PQJ655545 QAF655545 QKB655545 QTX655545 RDT655545 RNP655545 RXL655545 SHH655545 SRD655545 TAZ655545 TKV655545 TUR655545 UEN655545 UOJ655545 UYF655545 VIB655545 VRX655545 WBT655545 WLP655545 WVL655545 D721081 IZ721081 SV721081 ACR721081 AMN721081 AWJ721081 BGF721081 BQB721081 BZX721081 CJT721081 CTP721081 DDL721081 DNH721081 DXD721081 EGZ721081 EQV721081 FAR721081 FKN721081 FUJ721081 GEF721081 GOB721081 GXX721081 HHT721081 HRP721081 IBL721081 ILH721081 IVD721081 JEZ721081 JOV721081 JYR721081 KIN721081 KSJ721081 LCF721081 LMB721081 LVX721081 MFT721081 MPP721081 MZL721081 NJH721081 NTD721081 OCZ721081 OMV721081 OWR721081 PGN721081 PQJ721081 QAF721081 QKB721081 QTX721081 RDT721081 RNP721081 RXL721081 SHH721081 SRD721081 TAZ721081 TKV721081 TUR721081 UEN721081 UOJ721081 UYF721081 VIB721081 VRX721081 WBT721081 WLP721081 WVL721081 D786617 IZ786617 SV786617 ACR786617 AMN786617 AWJ786617 BGF786617 BQB786617 BZX786617 CJT786617 CTP786617 DDL786617 DNH786617 DXD786617 EGZ786617 EQV786617 FAR786617 FKN786617 FUJ786617 GEF786617 GOB786617 GXX786617 HHT786617 HRP786617 IBL786617 ILH786617 IVD786617 JEZ786617 JOV786617 JYR786617 KIN786617 KSJ786617 LCF786617 LMB786617 LVX786617 MFT786617 MPP786617 MZL786617 NJH786617 NTD786617 OCZ786617 OMV786617 OWR786617 PGN786617 PQJ786617 QAF786617 QKB786617 QTX786617 RDT786617 RNP786617 RXL786617 SHH786617 SRD786617 TAZ786617 TKV786617 TUR786617 UEN786617 UOJ786617 UYF786617 VIB786617 VRX786617 WBT786617 WLP786617 WVL786617 D852153 IZ852153 SV852153 ACR852153 AMN852153 AWJ852153 BGF852153 BQB852153 BZX852153 CJT852153 CTP852153 DDL852153 DNH852153 DXD852153 EGZ852153 EQV852153 FAR852153 FKN852153 FUJ852153 GEF852153 GOB852153 GXX852153 HHT852153 HRP852153 IBL852153 ILH852153 IVD852153 JEZ852153 JOV852153 JYR852153 KIN852153 KSJ852153 LCF852153 LMB852153 LVX852153 MFT852153 MPP852153 MZL852153 NJH852153 NTD852153 OCZ852153 OMV852153 OWR852153 PGN852153 PQJ852153 QAF852153 QKB852153 QTX852153 RDT852153 RNP852153 RXL852153 SHH852153 SRD852153 TAZ852153 TKV852153 TUR852153 UEN852153 UOJ852153 UYF852153 VIB852153 VRX852153 WBT852153 WLP852153 WVL852153 D917689 IZ917689 SV917689 ACR917689 AMN917689 AWJ917689 BGF917689 BQB917689 BZX917689 CJT917689 CTP917689 DDL917689 DNH917689 DXD917689 EGZ917689 EQV917689 FAR917689 FKN917689 FUJ917689 GEF917689 GOB917689 GXX917689 HHT917689 HRP917689 IBL917689 ILH917689 IVD917689 JEZ917689 JOV917689 JYR917689 KIN917689 KSJ917689 LCF917689 LMB917689 LVX917689 MFT917689 MPP917689 MZL917689 NJH917689 NTD917689 OCZ917689 OMV917689 OWR917689 PGN917689 PQJ917689 QAF917689 QKB917689 QTX917689 RDT917689 RNP917689 RXL917689 SHH917689 SRD917689 TAZ917689 TKV917689 TUR917689 UEN917689 UOJ917689 UYF917689 VIB917689 VRX917689 WBT917689 WLP917689 WVL917689 D983225 IZ983225 SV983225 ACR983225 AMN983225 AWJ983225 BGF983225 BQB983225 BZX983225 CJT983225 CTP983225 DDL983225 DNH983225 DXD983225 EGZ983225 EQV983225 FAR983225 FKN983225 FUJ983225 GEF983225 GOB983225 GXX983225 HHT983225 HRP983225 IBL983225 ILH983225 IVD983225 JEZ983225 JOV983225 JYR983225 KIN983225 KSJ983225 LCF983225 LMB983225 LVX983225 MFT983225 MPP983225 MZL983225 NJH983225 NTD983225 OCZ983225 OMV983225 OWR983225 PGN983225 PQJ983225 QAF983225 QKB983225 QTX983225 RDT983225 RNP983225 RXL983225 SHH983225 SRD983225 TAZ983225 TKV983225 TUR983225 UEN983225 UOJ983225 UYF983225 VIB983225 VRX983225 WBT983225 WLP983225 WVL983225 D103 IZ103 SV103 ACR103 AMN103 AWJ103 BGF103 BQB103 BZX103 CJT103 CTP103 DDL103 DNH103 DXD103 EGZ103 EQV103 FAR103 FKN103 FUJ103 GEF103 GOB103 GXX103 HHT103 HRP103 IBL103 ILH103 IVD103 JEZ103 JOV103 JYR103 KIN103 KSJ103 LCF103 LMB103 LVX103 MFT103 MPP103 MZL103 NJH103 NTD103 OCZ103 OMV103 OWR103 PGN103 PQJ103 QAF103 QKB103 QTX103 RDT103 RNP103 RXL103 SHH103 SRD103 TAZ103 TKV103 TUR103 UEN103 UOJ103 UYF103 VIB103 VRX103 WBT103 WLP103 WVL103 D65633 IZ65633 SV65633 ACR65633 AMN65633 AWJ65633 BGF65633 BQB65633 BZX65633 CJT65633 CTP65633 DDL65633 DNH65633 DXD65633 EGZ65633 EQV65633 FAR65633 FKN65633 FUJ65633 GEF65633 GOB65633 GXX65633 HHT65633 HRP65633 IBL65633 ILH65633 IVD65633 JEZ65633 JOV65633 JYR65633 KIN65633 KSJ65633 LCF65633 LMB65633 LVX65633 MFT65633 MPP65633 MZL65633 NJH65633 NTD65633 OCZ65633 OMV65633 OWR65633 PGN65633 PQJ65633 QAF65633 QKB65633 QTX65633 RDT65633 RNP65633 RXL65633 SHH65633 SRD65633 TAZ65633 TKV65633 TUR65633 UEN65633 UOJ65633 UYF65633 VIB65633 VRX65633 WBT65633 WLP65633 WVL65633 D131169 IZ131169 SV131169 ACR131169 AMN131169 AWJ131169 BGF131169 BQB131169 BZX131169 CJT131169 CTP131169 DDL131169 DNH131169 DXD131169 EGZ131169 EQV131169 FAR131169 FKN131169 FUJ131169 GEF131169 GOB131169 GXX131169 HHT131169 HRP131169 IBL131169 ILH131169 IVD131169 JEZ131169 JOV131169 JYR131169 KIN131169 KSJ131169 LCF131169 LMB131169 LVX131169 MFT131169 MPP131169 MZL131169 NJH131169 NTD131169 OCZ131169 OMV131169 OWR131169 PGN131169 PQJ131169 QAF131169 QKB131169 QTX131169 RDT131169 RNP131169 RXL131169 SHH131169 SRD131169 TAZ131169 TKV131169 TUR131169 UEN131169 UOJ131169 UYF131169 VIB131169 VRX131169 WBT131169 WLP131169 WVL131169 D196705 IZ196705 SV196705 ACR196705 AMN196705 AWJ196705 BGF196705 BQB196705 BZX196705 CJT196705 CTP196705 DDL196705 DNH196705 DXD196705 EGZ196705 EQV196705 FAR196705 FKN196705 FUJ196705 GEF196705 GOB196705 GXX196705 HHT196705 HRP196705 IBL196705 ILH196705 IVD196705 JEZ196705 JOV196705 JYR196705 KIN196705 KSJ196705 LCF196705 LMB196705 LVX196705 MFT196705 MPP196705 MZL196705 NJH196705 NTD196705 OCZ196705 OMV196705 OWR196705 PGN196705 PQJ196705 QAF196705 QKB196705 QTX196705 RDT196705 RNP196705 RXL196705 SHH196705 SRD196705 TAZ196705 TKV196705 TUR196705 UEN196705 UOJ196705 UYF196705 VIB196705 VRX196705 WBT196705 WLP196705 WVL196705 D262241 IZ262241 SV262241 ACR262241 AMN262241 AWJ262241 BGF262241 BQB262241 BZX262241 CJT262241 CTP262241 DDL262241 DNH262241 DXD262241 EGZ262241 EQV262241 FAR262241 FKN262241 FUJ262241 GEF262241 GOB262241 GXX262241 HHT262241 HRP262241 IBL262241 ILH262241 IVD262241 JEZ262241 JOV262241 JYR262241 KIN262241 KSJ262241 LCF262241 LMB262241 LVX262241 MFT262241 MPP262241 MZL262241 NJH262241 NTD262241 OCZ262241 OMV262241 OWR262241 PGN262241 PQJ262241 QAF262241 QKB262241 QTX262241 RDT262241 RNP262241 RXL262241 SHH262241 SRD262241 TAZ262241 TKV262241 TUR262241 UEN262241 UOJ262241 UYF262241 VIB262241 VRX262241 WBT262241 WLP262241 WVL262241 D327777 IZ327777 SV327777 ACR327777 AMN327777 AWJ327777 BGF327777 BQB327777 BZX327777 CJT327777 CTP327777 DDL327777 DNH327777 DXD327777 EGZ327777 EQV327777 FAR327777 FKN327777 FUJ327777 GEF327777 GOB327777 GXX327777 HHT327777 HRP327777 IBL327777 ILH327777 IVD327777 JEZ327777 JOV327777 JYR327777 KIN327777 KSJ327777 LCF327777 LMB327777 LVX327777 MFT327777 MPP327777 MZL327777 NJH327777 NTD327777 OCZ327777 OMV327777 OWR327777 PGN327777 PQJ327777 QAF327777 QKB327777 QTX327777 RDT327777 RNP327777 RXL327777 SHH327777 SRD327777 TAZ327777 TKV327777 TUR327777 UEN327777 UOJ327777 UYF327777 VIB327777 VRX327777 WBT327777 WLP327777 WVL327777 D393313 IZ393313 SV393313 ACR393313 AMN393313 AWJ393313 BGF393313 BQB393313 BZX393313 CJT393313 CTP393313 DDL393313 DNH393313 DXD393313 EGZ393313 EQV393313 FAR393313 FKN393313 FUJ393313 GEF393313 GOB393313 GXX393313 HHT393313 HRP393313 IBL393313 ILH393313 IVD393313 JEZ393313 JOV393313 JYR393313 KIN393313 KSJ393313 LCF393313 LMB393313 LVX393313 MFT393313 MPP393313 MZL393313 NJH393313 NTD393313 OCZ393313 OMV393313 OWR393313 PGN393313 PQJ393313 QAF393313 QKB393313 QTX393313 RDT393313 RNP393313 RXL393313 SHH393313 SRD393313 TAZ393313 TKV393313 TUR393313 UEN393313 UOJ393313 UYF393313 VIB393313 VRX393313 WBT393313 WLP393313 WVL393313 D458849 IZ458849 SV458849 ACR458849 AMN458849 AWJ458849 BGF458849 BQB458849 BZX458849 CJT458849 CTP458849 DDL458849 DNH458849 DXD458849 EGZ458849 EQV458849 FAR458849 FKN458849 FUJ458849 GEF458849 GOB458849 GXX458849 HHT458849 HRP458849 IBL458849 ILH458849 IVD458849 JEZ458849 JOV458849 JYR458849 KIN458849 KSJ458849 LCF458849 LMB458849 LVX458849 MFT458849 MPP458849 MZL458849 NJH458849 NTD458849 OCZ458849 OMV458849 OWR458849 PGN458849 PQJ458849 QAF458849 QKB458849 QTX458849 RDT458849 RNP458849 RXL458849 SHH458849 SRD458849 TAZ458849 TKV458849 TUR458849 UEN458849 UOJ458849 UYF458849 VIB458849 VRX458849 WBT458849 WLP458849 WVL458849 D524385 IZ524385 SV524385 ACR524385 AMN524385 AWJ524385 BGF524385 BQB524385 BZX524385 CJT524385 CTP524385 DDL524385 DNH524385 DXD524385 EGZ524385 EQV524385 FAR524385 FKN524385 FUJ524385 GEF524385 GOB524385 GXX524385 HHT524385 HRP524385 IBL524385 ILH524385 IVD524385 JEZ524385 JOV524385 JYR524385 KIN524385 KSJ524385 LCF524385 LMB524385 LVX524385 MFT524385 MPP524385 MZL524385 NJH524385 NTD524385 OCZ524385 OMV524385 OWR524385 PGN524385 PQJ524385 QAF524385 QKB524385 QTX524385 RDT524385 RNP524385 RXL524385 SHH524385 SRD524385 TAZ524385 TKV524385 TUR524385 UEN524385 UOJ524385 UYF524385 VIB524385 VRX524385 WBT524385 WLP524385 WVL524385 D589921 IZ589921 SV589921 ACR589921 AMN589921 AWJ589921 BGF589921 BQB589921 BZX589921 CJT589921 CTP589921 DDL589921 DNH589921 DXD589921 EGZ589921 EQV589921 FAR589921 FKN589921 FUJ589921 GEF589921 GOB589921 GXX589921 HHT589921 HRP589921 IBL589921 ILH589921 IVD589921 JEZ589921 JOV589921 JYR589921 KIN589921 KSJ589921 LCF589921 LMB589921 LVX589921 MFT589921 MPP589921 MZL589921 NJH589921 NTD589921 OCZ589921 OMV589921 OWR589921 PGN589921 PQJ589921 QAF589921 QKB589921 QTX589921 RDT589921 RNP589921 RXL589921 SHH589921 SRD589921 TAZ589921 TKV589921 TUR589921 UEN589921 UOJ589921 UYF589921 VIB589921 VRX589921 WBT589921 WLP589921 WVL589921 D655457 IZ655457 SV655457 ACR655457 AMN655457 AWJ655457 BGF655457 BQB655457 BZX655457 CJT655457 CTP655457 DDL655457 DNH655457 DXD655457 EGZ655457 EQV655457 FAR655457 FKN655457 FUJ655457 GEF655457 GOB655457 GXX655457 HHT655457 HRP655457 IBL655457 ILH655457 IVD655457 JEZ655457 JOV655457 JYR655457 KIN655457 KSJ655457 LCF655457 LMB655457 LVX655457 MFT655457 MPP655457 MZL655457 NJH655457 NTD655457 OCZ655457 OMV655457 OWR655457 PGN655457 PQJ655457 QAF655457 QKB655457 QTX655457 RDT655457 RNP655457 RXL655457 SHH655457 SRD655457 TAZ655457 TKV655457 TUR655457 UEN655457 UOJ655457 UYF655457 VIB655457 VRX655457 WBT655457 WLP655457 WVL655457 D720993 IZ720993 SV720993 ACR720993 AMN720993 AWJ720993 BGF720993 BQB720993 BZX720993 CJT720993 CTP720993 DDL720993 DNH720993 DXD720993 EGZ720993 EQV720993 FAR720993 FKN720993 FUJ720993 GEF720993 GOB720993 GXX720993 HHT720993 HRP720993 IBL720993 ILH720993 IVD720993 JEZ720993 JOV720993 JYR720993 KIN720993 KSJ720993 LCF720993 LMB720993 LVX720993 MFT720993 MPP720993 MZL720993 NJH720993 NTD720993 OCZ720993 OMV720993 OWR720993 PGN720993 PQJ720993 QAF720993 QKB720993 QTX720993 RDT720993 RNP720993 RXL720993 SHH720993 SRD720993 TAZ720993 TKV720993 TUR720993 UEN720993 UOJ720993 UYF720993 VIB720993 VRX720993 WBT720993 WLP720993 WVL720993 D786529 IZ786529 SV786529 ACR786529 AMN786529 AWJ786529 BGF786529 BQB786529 BZX786529 CJT786529 CTP786529 DDL786529 DNH786529 DXD786529 EGZ786529 EQV786529 FAR786529 FKN786529 FUJ786529 GEF786529 GOB786529 GXX786529 HHT786529 HRP786529 IBL786529 ILH786529 IVD786529 JEZ786529 JOV786529 JYR786529 KIN786529 KSJ786529 LCF786529 LMB786529 LVX786529 MFT786529 MPP786529 MZL786529 NJH786529 NTD786529 OCZ786529 OMV786529 OWR786529 PGN786529 PQJ786529 QAF786529 QKB786529 QTX786529 RDT786529 RNP786529 RXL786529 SHH786529 SRD786529 TAZ786529 TKV786529 TUR786529 UEN786529 UOJ786529 UYF786529 VIB786529 VRX786529 WBT786529 WLP786529 WVL786529 D852065 IZ852065 SV852065 ACR852065 AMN852065 AWJ852065 BGF852065 BQB852065 BZX852065 CJT852065 CTP852065 DDL852065 DNH852065 DXD852065 EGZ852065 EQV852065 FAR852065 FKN852065 FUJ852065 GEF852065 GOB852065 GXX852065 HHT852065 HRP852065 IBL852065 ILH852065 IVD852065 JEZ852065 JOV852065 JYR852065 KIN852065 KSJ852065 LCF852065 LMB852065 LVX852065 MFT852065 MPP852065 MZL852065 NJH852065 NTD852065 OCZ852065 OMV852065 OWR852065 PGN852065 PQJ852065 QAF852065 QKB852065 QTX852065 RDT852065 RNP852065 RXL852065 SHH852065 SRD852065 TAZ852065 TKV852065 TUR852065 UEN852065 UOJ852065 UYF852065 VIB852065 VRX852065 WBT852065 WLP852065 WVL852065 D917601 IZ917601 SV917601 ACR917601 AMN917601 AWJ917601 BGF917601 BQB917601 BZX917601 CJT917601 CTP917601 DDL917601 DNH917601 DXD917601 EGZ917601 EQV917601 FAR917601 FKN917601 FUJ917601 GEF917601 GOB917601 GXX917601 HHT917601 HRP917601 IBL917601 ILH917601 IVD917601 JEZ917601 JOV917601 JYR917601 KIN917601 KSJ917601 LCF917601 LMB917601 LVX917601 MFT917601 MPP917601 MZL917601 NJH917601 NTD917601 OCZ917601 OMV917601 OWR917601 PGN917601 PQJ917601 QAF917601 QKB917601 QTX917601 RDT917601 RNP917601 RXL917601 SHH917601 SRD917601 TAZ917601 TKV917601 TUR917601 UEN917601 UOJ917601 UYF917601 VIB917601 VRX917601 WBT917601 WLP917601 WVL917601 D983137 IZ983137 SV983137 ACR983137 AMN983137 AWJ983137 BGF983137 BQB983137 BZX983137 CJT983137 CTP983137 DDL983137 DNH983137 DXD983137 EGZ983137 EQV983137 FAR983137 FKN983137 FUJ983137 GEF983137 GOB983137 GXX983137 HHT983137 HRP983137 IBL983137 ILH983137 IVD983137 JEZ983137 JOV983137 JYR983137 KIN983137 KSJ983137 LCF983137 LMB983137 LVX983137 MFT983137 MPP983137 MZL983137 NJH983137 NTD983137 OCZ983137 OMV983137 OWR983137 PGN983137 PQJ983137 QAF983137 QKB983137 QTX983137 RDT983137 RNP983137 RXL983137 SHH983137 SRD983137 TAZ983137 TKV983137 TUR983137 UEN983137 UOJ983137 UYF983137 VIB983137 VRX983137 WBT983137 WLP983137 WVL983137 WVK983056:WVL983056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0 IZ65550 SV65550 ACR65550 AMN65550 AWJ65550 BGF65550 BQB65550 BZX65550 CJT65550 CTP65550 DDL65550 DNH65550 DXD65550 EGZ65550 EQV65550 FAR65550 FKN65550 FUJ65550 GEF65550 GOB65550 GXX65550 HHT65550 HRP65550 IBL65550 ILH65550 IVD65550 JEZ65550 JOV65550 JYR65550 KIN65550 KSJ65550 LCF65550 LMB65550 LVX65550 MFT65550 MPP65550 MZL65550 NJH65550 NTD65550 OCZ65550 OMV65550 OWR65550 PGN65550 PQJ65550 QAF65550 QKB65550 QTX65550 RDT65550 RNP65550 RXL65550 SHH65550 SRD65550 TAZ65550 TKV65550 TUR65550 UEN65550 UOJ65550 UYF65550 VIB65550 VRX65550 WBT65550 WLP65550 WVL65550 D131086 IZ131086 SV131086 ACR131086 AMN131086 AWJ131086 BGF131086 BQB131086 BZX131086 CJT131086 CTP131086 DDL131086 DNH131086 DXD131086 EGZ131086 EQV131086 FAR131086 FKN131086 FUJ131086 GEF131086 GOB131086 GXX131086 HHT131086 HRP131086 IBL131086 ILH131086 IVD131086 JEZ131086 JOV131086 JYR131086 KIN131086 KSJ131086 LCF131086 LMB131086 LVX131086 MFT131086 MPP131086 MZL131086 NJH131086 NTD131086 OCZ131086 OMV131086 OWR131086 PGN131086 PQJ131086 QAF131086 QKB131086 QTX131086 RDT131086 RNP131086 RXL131086 SHH131086 SRD131086 TAZ131086 TKV131086 TUR131086 UEN131086 UOJ131086 UYF131086 VIB131086 VRX131086 WBT131086 WLP131086 WVL131086 D196622 IZ196622 SV196622 ACR196622 AMN196622 AWJ196622 BGF196622 BQB196622 BZX196622 CJT196622 CTP196622 DDL196622 DNH196622 DXD196622 EGZ196622 EQV196622 FAR196622 FKN196622 FUJ196622 GEF196622 GOB196622 GXX196622 HHT196622 HRP196622 IBL196622 ILH196622 IVD196622 JEZ196622 JOV196622 JYR196622 KIN196622 KSJ196622 LCF196622 LMB196622 LVX196622 MFT196622 MPP196622 MZL196622 NJH196622 NTD196622 OCZ196622 OMV196622 OWR196622 PGN196622 PQJ196622 QAF196622 QKB196622 QTX196622 RDT196622 RNP196622 RXL196622 SHH196622 SRD196622 TAZ196622 TKV196622 TUR196622 UEN196622 UOJ196622 UYF196622 VIB196622 VRX196622 WBT196622 WLP196622 WVL196622 D262158 IZ262158 SV262158 ACR262158 AMN262158 AWJ262158 BGF262158 BQB262158 BZX262158 CJT262158 CTP262158 DDL262158 DNH262158 DXD262158 EGZ262158 EQV262158 FAR262158 FKN262158 FUJ262158 GEF262158 GOB262158 GXX262158 HHT262158 HRP262158 IBL262158 ILH262158 IVD262158 JEZ262158 JOV262158 JYR262158 KIN262158 KSJ262158 LCF262158 LMB262158 LVX262158 MFT262158 MPP262158 MZL262158 NJH262158 NTD262158 OCZ262158 OMV262158 OWR262158 PGN262158 PQJ262158 QAF262158 QKB262158 QTX262158 RDT262158 RNP262158 RXL262158 SHH262158 SRD262158 TAZ262158 TKV262158 TUR262158 UEN262158 UOJ262158 UYF262158 VIB262158 VRX262158 WBT262158 WLP262158 WVL262158 D327694 IZ327694 SV327694 ACR327694 AMN327694 AWJ327694 BGF327694 BQB327694 BZX327694 CJT327694 CTP327694 DDL327694 DNH327694 DXD327694 EGZ327694 EQV327694 FAR327694 FKN327694 FUJ327694 GEF327694 GOB327694 GXX327694 HHT327694 HRP327694 IBL327694 ILH327694 IVD327694 JEZ327694 JOV327694 JYR327694 KIN327694 KSJ327694 LCF327694 LMB327694 LVX327694 MFT327694 MPP327694 MZL327694 NJH327694 NTD327694 OCZ327694 OMV327694 OWR327694 PGN327694 PQJ327694 QAF327694 QKB327694 QTX327694 RDT327694 RNP327694 RXL327694 SHH327694 SRD327694 TAZ327694 TKV327694 TUR327694 UEN327694 UOJ327694 UYF327694 VIB327694 VRX327694 WBT327694 WLP327694 WVL327694 D393230 IZ393230 SV393230 ACR393230 AMN393230 AWJ393230 BGF393230 BQB393230 BZX393230 CJT393230 CTP393230 DDL393230 DNH393230 DXD393230 EGZ393230 EQV393230 FAR393230 FKN393230 FUJ393230 GEF393230 GOB393230 GXX393230 HHT393230 HRP393230 IBL393230 ILH393230 IVD393230 JEZ393230 JOV393230 JYR393230 KIN393230 KSJ393230 LCF393230 LMB393230 LVX393230 MFT393230 MPP393230 MZL393230 NJH393230 NTD393230 OCZ393230 OMV393230 OWR393230 PGN393230 PQJ393230 QAF393230 QKB393230 QTX393230 RDT393230 RNP393230 RXL393230 SHH393230 SRD393230 TAZ393230 TKV393230 TUR393230 UEN393230 UOJ393230 UYF393230 VIB393230 VRX393230 WBT393230 WLP393230 WVL393230 D458766 IZ458766 SV458766 ACR458766 AMN458766 AWJ458766 BGF458766 BQB458766 BZX458766 CJT458766 CTP458766 DDL458766 DNH458766 DXD458766 EGZ458766 EQV458766 FAR458766 FKN458766 FUJ458766 GEF458766 GOB458766 GXX458766 HHT458766 HRP458766 IBL458766 ILH458766 IVD458766 JEZ458766 JOV458766 JYR458766 KIN458766 KSJ458766 LCF458766 LMB458766 LVX458766 MFT458766 MPP458766 MZL458766 NJH458766 NTD458766 OCZ458766 OMV458766 OWR458766 PGN458766 PQJ458766 QAF458766 QKB458766 QTX458766 RDT458766 RNP458766 RXL458766 SHH458766 SRD458766 TAZ458766 TKV458766 TUR458766 UEN458766 UOJ458766 UYF458766 VIB458766 VRX458766 WBT458766 WLP458766 WVL458766 D524302 IZ524302 SV524302 ACR524302 AMN524302 AWJ524302 BGF524302 BQB524302 BZX524302 CJT524302 CTP524302 DDL524302 DNH524302 DXD524302 EGZ524302 EQV524302 FAR524302 FKN524302 FUJ524302 GEF524302 GOB524302 GXX524302 HHT524302 HRP524302 IBL524302 ILH524302 IVD524302 JEZ524302 JOV524302 JYR524302 KIN524302 KSJ524302 LCF524302 LMB524302 LVX524302 MFT524302 MPP524302 MZL524302 NJH524302 NTD524302 OCZ524302 OMV524302 OWR524302 PGN524302 PQJ524302 QAF524302 QKB524302 QTX524302 RDT524302 RNP524302 RXL524302 SHH524302 SRD524302 TAZ524302 TKV524302 TUR524302 UEN524302 UOJ524302 UYF524302 VIB524302 VRX524302 WBT524302 WLP524302 WVL524302 D589838 IZ589838 SV589838 ACR589838 AMN589838 AWJ589838 BGF589838 BQB589838 BZX589838 CJT589838 CTP589838 DDL589838 DNH589838 DXD589838 EGZ589838 EQV589838 FAR589838 FKN589838 FUJ589838 GEF589838 GOB589838 GXX589838 HHT589838 HRP589838 IBL589838 ILH589838 IVD589838 JEZ589838 JOV589838 JYR589838 KIN589838 KSJ589838 LCF589838 LMB589838 LVX589838 MFT589838 MPP589838 MZL589838 NJH589838 NTD589838 OCZ589838 OMV589838 OWR589838 PGN589838 PQJ589838 QAF589838 QKB589838 QTX589838 RDT589838 RNP589838 RXL589838 SHH589838 SRD589838 TAZ589838 TKV589838 TUR589838 UEN589838 UOJ589838 UYF589838 VIB589838 VRX589838 WBT589838 WLP589838 WVL589838 D655374 IZ655374 SV655374 ACR655374 AMN655374 AWJ655374 BGF655374 BQB655374 BZX655374 CJT655374 CTP655374 DDL655374 DNH655374 DXD655374 EGZ655374 EQV655374 FAR655374 FKN655374 FUJ655374 GEF655374 GOB655374 GXX655374 HHT655374 HRP655374 IBL655374 ILH655374 IVD655374 JEZ655374 JOV655374 JYR655374 KIN655374 KSJ655374 LCF655374 LMB655374 LVX655374 MFT655374 MPP655374 MZL655374 NJH655374 NTD655374 OCZ655374 OMV655374 OWR655374 PGN655374 PQJ655374 QAF655374 QKB655374 QTX655374 RDT655374 RNP655374 RXL655374 SHH655374 SRD655374 TAZ655374 TKV655374 TUR655374 UEN655374 UOJ655374 UYF655374 VIB655374 VRX655374 WBT655374 WLP655374 WVL655374 D720910 IZ720910 SV720910 ACR720910 AMN720910 AWJ720910 BGF720910 BQB720910 BZX720910 CJT720910 CTP720910 DDL720910 DNH720910 DXD720910 EGZ720910 EQV720910 FAR720910 FKN720910 FUJ720910 GEF720910 GOB720910 GXX720910 HHT720910 HRP720910 IBL720910 ILH720910 IVD720910 JEZ720910 JOV720910 JYR720910 KIN720910 KSJ720910 LCF720910 LMB720910 LVX720910 MFT720910 MPP720910 MZL720910 NJH720910 NTD720910 OCZ720910 OMV720910 OWR720910 PGN720910 PQJ720910 QAF720910 QKB720910 QTX720910 RDT720910 RNP720910 RXL720910 SHH720910 SRD720910 TAZ720910 TKV720910 TUR720910 UEN720910 UOJ720910 UYF720910 VIB720910 VRX720910 WBT720910 WLP720910 WVL720910 D786446 IZ786446 SV786446 ACR786446 AMN786446 AWJ786446 BGF786446 BQB786446 BZX786446 CJT786446 CTP786446 DDL786446 DNH786446 DXD786446 EGZ786446 EQV786446 FAR786446 FKN786446 FUJ786446 GEF786446 GOB786446 GXX786446 HHT786446 HRP786446 IBL786446 ILH786446 IVD786446 JEZ786446 JOV786446 JYR786446 KIN786446 KSJ786446 LCF786446 LMB786446 LVX786446 MFT786446 MPP786446 MZL786446 NJH786446 NTD786446 OCZ786446 OMV786446 OWR786446 PGN786446 PQJ786446 QAF786446 QKB786446 QTX786446 RDT786446 RNP786446 RXL786446 SHH786446 SRD786446 TAZ786446 TKV786446 TUR786446 UEN786446 UOJ786446 UYF786446 VIB786446 VRX786446 WBT786446 WLP786446 WVL786446 D851982 IZ851982 SV851982 ACR851982 AMN851982 AWJ851982 BGF851982 BQB851982 BZX851982 CJT851982 CTP851982 DDL851982 DNH851982 DXD851982 EGZ851982 EQV851982 FAR851982 FKN851982 FUJ851982 GEF851982 GOB851982 GXX851982 HHT851982 HRP851982 IBL851982 ILH851982 IVD851982 JEZ851982 JOV851982 JYR851982 KIN851982 KSJ851982 LCF851982 LMB851982 LVX851982 MFT851982 MPP851982 MZL851982 NJH851982 NTD851982 OCZ851982 OMV851982 OWR851982 PGN851982 PQJ851982 QAF851982 QKB851982 QTX851982 RDT851982 RNP851982 RXL851982 SHH851982 SRD851982 TAZ851982 TKV851982 TUR851982 UEN851982 UOJ851982 UYF851982 VIB851982 VRX851982 WBT851982 WLP851982 WVL851982 D917518 IZ917518 SV917518 ACR917518 AMN917518 AWJ917518 BGF917518 BQB917518 BZX917518 CJT917518 CTP917518 DDL917518 DNH917518 DXD917518 EGZ917518 EQV917518 FAR917518 FKN917518 FUJ917518 GEF917518 GOB917518 GXX917518 HHT917518 HRP917518 IBL917518 ILH917518 IVD917518 JEZ917518 JOV917518 JYR917518 KIN917518 KSJ917518 LCF917518 LMB917518 LVX917518 MFT917518 MPP917518 MZL917518 NJH917518 NTD917518 OCZ917518 OMV917518 OWR917518 PGN917518 PQJ917518 QAF917518 QKB917518 QTX917518 RDT917518 RNP917518 RXL917518 SHH917518 SRD917518 TAZ917518 TKV917518 TUR917518 UEN917518 UOJ917518 UYF917518 VIB917518 VRX917518 WBT917518 WLP917518 WVL917518 D983054 IZ983054 SV983054 ACR983054 AMN983054 AWJ983054 BGF983054 BQB983054 BZX983054 CJT983054 CTP983054 DDL983054 DNH983054 DXD983054 EGZ983054 EQV983054 FAR983054 FKN983054 FUJ983054 GEF983054 GOB983054 GXX983054 HHT983054 HRP983054 IBL983054 ILH983054 IVD983054 JEZ983054 JOV983054 JYR983054 KIN983054 KSJ983054 LCF983054 LMB983054 LVX983054 MFT983054 MPP983054 MZL983054 NJH983054 NTD983054 OCZ983054 OMV983054 OWR983054 PGN983054 PQJ983054 QAF983054 QKB983054 QTX983054 RDT983054 RNP983054 RXL983054 SHH983054 SRD983054 TAZ983054 TKV983054 TUR983054 UEN983054 UOJ983054 UYF983054 VIB983054 VRX983054 WBT983054 WLP983054 WVL983054 C9:D9 IY9:IZ9 SU9:SV9 ACQ9:ACR9 AMM9:AMN9 AWI9:AWJ9 BGE9:BGF9 BQA9:BQB9 BZW9:BZX9 CJS9:CJT9 CTO9:CTP9 DDK9:DDL9 DNG9:DNH9 DXC9:DXD9 EGY9:EGZ9 EQU9:EQV9 FAQ9:FAR9 FKM9:FKN9 FUI9:FUJ9 GEE9:GEF9 GOA9:GOB9 GXW9:GXX9 HHS9:HHT9 HRO9:HRP9 IBK9:IBL9 ILG9:ILH9 IVC9:IVD9 JEY9:JEZ9 JOU9:JOV9 JYQ9:JYR9 KIM9:KIN9 KSI9:KSJ9 LCE9:LCF9 LMA9:LMB9 LVW9:LVX9 MFS9:MFT9 MPO9:MPP9 MZK9:MZL9 NJG9:NJH9 NTC9:NTD9 OCY9:OCZ9 OMU9:OMV9 OWQ9:OWR9 PGM9:PGN9 PQI9:PQJ9 QAE9:QAF9 QKA9:QKB9 QTW9:QTX9 RDS9:RDT9 RNO9:RNP9 RXK9:RXL9 SHG9:SHH9 SRC9:SRD9 TAY9:TAZ9 TKU9:TKV9 TUQ9:TUR9 UEM9:UEN9 UOI9:UOJ9 UYE9:UYF9 VIA9:VIB9 VRW9:VRX9 WBS9:WBT9 WLO9:WLP9 WVK9:WVL9 C65552:D65552 IY65552:IZ65552 SU65552:SV65552 ACQ65552:ACR65552 AMM65552:AMN65552 AWI65552:AWJ65552 BGE65552:BGF65552 BQA65552:BQB65552 BZW65552:BZX65552 CJS65552:CJT65552 CTO65552:CTP65552 DDK65552:DDL65552 DNG65552:DNH65552 DXC65552:DXD65552 EGY65552:EGZ65552 EQU65552:EQV65552 FAQ65552:FAR65552 FKM65552:FKN65552 FUI65552:FUJ65552 GEE65552:GEF65552 GOA65552:GOB65552 GXW65552:GXX65552 HHS65552:HHT65552 HRO65552:HRP65552 IBK65552:IBL65552 ILG65552:ILH65552 IVC65552:IVD65552 JEY65552:JEZ65552 JOU65552:JOV65552 JYQ65552:JYR65552 KIM65552:KIN65552 KSI65552:KSJ65552 LCE65552:LCF65552 LMA65552:LMB65552 LVW65552:LVX65552 MFS65552:MFT65552 MPO65552:MPP65552 MZK65552:MZL65552 NJG65552:NJH65552 NTC65552:NTD65552 OCY65552:OCZ65552 OMU65552:OMV65552 OWQ65552:OWR65552 PGM65552:PGN65552 PQI65552:PQJ65552 QAE65552:QAF65552 QKA65552:QKB65552 QTW65552:QTX65552 RDS65552:RDT65552 RNO65552:RNP65552 RXK65552:RXL65552 SHG65552:SHH65552 SRC65552:SRD65552 TAY65552:TAZ65552 TKU65552:TKV65552 TUQ65552:TUR65552 UEM65552:UEN65552 UOI65552:UOJ65552 UYE65552:UYF65552 VIA65552:VIB65552 VRW65552:VRX65552 WBS65552:WBT65552 WLO65552:WLP65552 WVK65552:WVL65552 C131088:D131088 IY131088:IZ131088 SU131088:SV131088 ACQ131088:ACR131088 AMM131088:AMN131088 AWI131088:AWJ131088 BGE131088:BGF131088 BQA131088:BQB131088 BZW131088:BZX131088 CJS131088:CJT131088 CTO131088:CTP131088 DDK131088:DDL131088 DNG131088:DNH131088 DXC131088:DXD131088 EGY131088:EGZ131088 EQU131088:EQV131088 FAQ131088:FAR131088 FKM131088:FKN131088 FUI131088:FUJ131088 GEE131088:GEF131088 GOA131088:GOB131088 GXW131088:GXX131088 HHS131088:HHT131088 HRO131088:HRP131088 IBK131088:IBL131088 ILG131088:ILH131088 IVC131088:IVD131088 JEY131088:JEZ131088 JOU131088:JOV131088 JYQ131088:JYR131088 KIM131088:KIN131088 KSI131088:KSJ131088 LCE131088:LCF131088 LMA131088:LMB131088 LVW131088:LVX131088 MFS131088:MFT131088 MPO131088:MPP131088 MZK131088:MZL131088 NJG131088:NJH131088 NTC131088:NTD131088 OCY131088:OCZ131088 OMU131088:OMV131088 OWQ131088:OWR131088 PGM131088:PGN131088 PQI131088:PQJ131088 QAE131088:QAF131088 QKA131088:QKB131088 QTW131088:QTX131088 RDS131088:RDT131088 RNO131088:RNP131088 RXK131088:RXL131088 SHG131088:SHH131088 SRC131088:SRD131088 TAY131088:TAZ131088 TKU131088:TKV131088 TUQ131088:TUR131088 UEM131088:UEN131088 UOI131088:UOJ131088 UYE131088:UYF131088 VIA131088:VIB131088 VRW131088:VRX131088 WBS131088:WBT131088 WLO131088:WLP131088 WVK131088:WVL131088 C196624:D196624 IY196624:IZ196624 SU196624:SV196624 ACQ196624:ACR196624 AMM196624:AMN196624 AWI196624:AWJ196624 BGE196624:BGF196624 BQA196624:BQB196624 BZW196624:BZX196624 CJS196624:CJT196624 CTO196624:CTP196624 DDK196624:DDL196624 DNG196624:DNH196624 DXC196624:DXD196624 EGY196624:EGZ196624 EQU196624:EQV196624 FAQ196624:FAR196624 FKM196624:FKN196624 FUI196624:FUJ196624 GEE196624:GEF196624 GOA196624:GOB196624 GXW196624:GXX196624 HHS196624:HHT196624 HRO196624:HRP196624 IBK196624:IBL196624 ILG196624:ILH196624 IVC196624:IVD196624 JEY196624:JEZ196624 JOU196624:JOV196624 JYQ196624:JYR196624 KIM196624:KIN196624 KSI196624:KSJ196624 LCE196624:LCF196624 LMA196624:LMB196624 LVW196624:LVX196624 MFS196624:MFT196624 MPO196624:MPP196624 MZK196624:MZL196624 NJG196624:NJH196624 NTC196624:NTD196624 OCY196624:OCZ196624 OMU196624:OMV196624 OWQ196624:OWR196624 PGM196624:PGN196624 PQI196624:PQJ196624 QAE196624:QAF196624 QKA196624:QKB196624 QTW196624:QTX196624 RDS196624:RDT196624 RNO196624:RNP196624 RXK196624:RXL196624 SHG196624:SHH196624 SRC196624:SRD196624 TAY196624:TAZ196624 TKU196624:TKV196624 TUQ196624:TUR196624 UEM196624:UEN196624 UOI196624:UOJ196624 UYE196624:UYF196624 VIA196624:VIB196624 VRW196624:VRX196624 WBS196624:WBT196624 WLO196624:WLP196624 WVK196624:WVL196624 C262160:D262160 IY262160:IZ262160 SU262160:SV262160 ACQ262160:ACR262160 AMM262160:AMN262160 AWI262160:AWJ262160 BGE262160:BGF262160 BQA262160:BQB262160 BZW262160:BZX262160 CJS262160:CJT262160 CTO262160:CTP262160 DDK262160:DDL262160 DNG262160:DNH262160 DXC262160:DXD262160 EGY262160:EGZ262160 EQU262160:EQV262160 FAQ262160:FAR262160 FKM262160:FKN262160 FUI262160:FUJ262160 GEE262160:GEF262160 GOA262160:GOB262160 GXW262160:GXX262160 HHS262160:HHT262160 HRO262160:HRP262160 IBK262160:IBL262160 ILG262160:ILH262160 IVC262160:IVD262160 JEY262160:JEZ262160 JOU262160:JOV262160 JYQ262160:JYR262160 KIM262160:KIN262160 KSI262160:KSJ262160 LCE262160:LCF262160 LMA262160:LMB262160 LVW262160:LVX262160 MFS262160:MFT262160 MPO262160:MPP262160 MZK262160:MZL262160 NJG262160:NJH262160 NTC262160:NTD262160 OCY262160:OCZ262160 OMU262160:OMV262160 OWQ262160:OWR262160 PGM262160:PGN262160 PQI262160:PQJ262160 QAE262160:QAF262160 QKA262160:QKB262160 QTW262160:QTX262160 RDS262160:RDT262160 RNO262160:RNP262160 RXK262160:RXL262160 SHG262160:SHH262160 SRC262160:SRD262160 TAY262160:TAZ262160 TKU262160:TKV262160 TUQ262160:TUR262160 UEM262160:UEN262160 UOI262160:UOJ262160 UYE262160:UYF262160 VIA262160:VIB262160 VRW262160:VRX262160 WBS262160:WBT262160 WLO262160:WLP262160 WVK262160:WVL262160 C327696:D327696 IY327696:IZ327696 SU327696:SV327696 ACQ327696:ACR327696 AMM327696:AMN327696 AWI327696:AWJ327696 BGE327696:BGF327696 BQA327696:BQB327696 BZW327696:BZX327696 CJS327696:CJT327696 CTO327696:CTP327696 DDK327696:DDL327696 DNG327696:DNH327696 DXC327696:DXD327696 EGY327696:EGZ327696 EQU327696:EQV327696 FAQ327696:FAR327696 FKM327696:FKN327696 FUI327696:FUJ327696 GEE327696:GEF327696 GOA327696:GOB327696 GXW327696:GXX327696 HHS327696:HHT327696 HRO327696:HRP327696 IBK327696:IBL327696 ILG327696:ILH327696 IVC327696:IVD327696 JEY327696:JEZ327696 JOU327696:JOV327696 JYQ327696:JYR327696 KIM327696:KIN327696 KSI327696:KSJ327696 LCE327696:LCF327696 LMA327696:LMB327696 LVW327696:LVX327696 MFS327696:MFT327696 MPO327696:MPP327696 MZK327696:MZL327696 NJG327696:NJH327696 NTC327696:NTD327696 OCY327696:OCZ327696 OMU327696:OMV327696 OWQ327696:OWR327696 PGM327696:PGN327696 PQI327696:PQJ327696 QAE327696:QAF327696 QKA327696:QKB327696 QTW327696:QTX327696 RDS327696:RDT327696 RNO327696:RNP327696 RXK327696:RXL327696 SHG327696:SHH327696 SRC327696:SRD327696 TAY327696:TAZ327696 TKU327696:TKV327696 TUQ327696:TUR327696 UEM327696:UEN327696 UOI327696:UOJ327696 UYE327696:UYF327696 VIA327696:VIB327696 VRW327696:VRX327696 WBS327696:WBT327696 WLO327696:WLP327696 WVK327696:WVL327696 C393232:D393232 IY393232:IZ393232 SU393232:SV393232 ACQ393232:ACR393232 AMM393232:AMN393232 AWI393232:AWJ393232 BGE393232:BGF393232 BQA393232:BQB393232 BZW393232:BZX393232 CJS393232:CJT393232 CTO393232:CTP393232 DDK393232:DDL393232 DNG393232:DNH393232 DXC393232:DXD393232 EGY393232:EGZ393232 EQU393232:EQV393232 FAQ393232:FAR393232 FKM393232:FKN393232 FUI393232:FUJ393232 GEE393232:GEF393232 GOA393232:GOB393232 GXW393232:GXX393232 HHS393232:HHT393232 HRO393232:HRP393232 IBK393232:IBL393232 ILG393232:ILH393232 IVC393232:IVD393232 JEY393232:JEZ393232 JOU393232:JOV393232 JYQ393232:JYR393232 KIM393232:KIN393232 KSI393232:KSJ393232 LCE393232:LCF393232 LMA393232:LMB393232 LVW393232:LVX393232 MFS393232:MFT393232 MPO393232:MPP393232 MZK393232:MZL393232 NJG393232:NJH393232 NTC393232:NTD393232 OCY393232:OCZ393232 OMU393232:OMV393232 OWQ393232:OWR393232 PGM393232:PGN393232 PQI393232:PQJ393232 QAE393232:QAF393232 QKA393232:QKB393232 QTW393232:QTX393232 RDS393232:RDT393232 RNO393232:RNP393232 RXK393232:RXL393232 SHG393232:SHH393232 SRC393232:SRD393232 TAY393232:TAZ393232 TKU393232:TKV393232 TUQ393232:TUR393232 UEM393232:UEN393232 UOI393232:UOJ393232 UYE393232:UYF393232 VIA393232:VIB393232 VRW393232:VRX393232 WBS393232:WBT393232 WLO393232:WLP393232 WVK393232:WVL393232 C458768:D458768 IY458768:IZ458768 SU458768:SV458768 ACQ458768:ACR458768 AMM458768:AMN458768 AWI458768:AWJ458768 BGE458768:BGF458768 BQA458768:BQB458768 BZW458768:BZX458768 CJS458768:CJT458768 CTO458768:CTP458768 DDK458768:DDL458768 DNG458768:DNH458768 DXC458768:DXD458768 EGY458768:EGZ458768 EQU458768:EQV458768 FAQ458768:FAR458768 FKM458768:FKN458768 FUI458768:FUJ458768 GEE458768:GEF458768 GOA458768:GOB458768 GXW458768:GXX458768 HHS458768:HHT458768 HRO458768:HRP458768 IBK458768:IBL458768 ILG458768:ILH458768 IVC458768:IVD458768 JEY458768:JEZ458768 JOU458768:JOV458768 JYQ458768:JYR458768 KIM458768:KIN458768 KSI458768:KSJ458768 LCE458768:LCF458768 LMA458768:LMB458768 LVW458768:LVX458768 MFS458768:MFT458768 MPO458768:MPP458768 MZK458768:MZL458768 NJG458768:NJH458768 NTC458768:NTD458768 OCY458768:OCZ458768 OMU458768:OMV458768 OWQ458768:OWR458768 PGM458768:PGN458768 PQI458768:PQJ458768 QAE458768:QAF458768 QKA458768:QKB458768 QTW458768:QTX458768 RDS458768:RDT458768 RNO458768:RNP458768 RXK458768:RXL458768 SHG458768:SHH458768 SRC458768:SRD458768 TAY458768:TAZ458768 TKU458768:TKV458768 TUQ458768:TUR458768 UEM458768:UEN458768 UOI458768:UOJ458768 UYE458768:UYF458768 VIA458768:VIB458768 VRW458768:VRX458768 WBS458768:WBT458768 WLO458768:WLP458768 WVK458768:WVL458768 C524304:D524304 IY524304:IZ524304 SU524304:SV524304 ACQ524304:ACR524304 AMM524304:AMN524304 AWI524304:AWJ524304 BGE524304:BGF524304 BQA524304:BQB524304 BZW524304:BZX524304 CJS524304:CJT524304 CTO524304:CTP524304 DDK524304:DDL524304 DNG524304:DNH524304 DXC524304:DXD524304 EGY524304:EGZ524304 EQU524304:EQV524304 FAQ524304:FAR524304 FKM524304:FKN524304 FUI524304:FUJ524304 GEE524304:GEF524304 GOA524304:GOB524304 GXW524304:GXX524304 HHS524304:HHT524304 HRO524304:HRP524304 IBK524304:IBL524304 ILG524304:ILH524304 IVC524304:IVD524304 JEY524304:JEZ524304 JOU524304:JOV524304 JYQ524304:JYR524304 KIM524304:KIN524304 KSI524304:KSJ524304 LCE524304:LCF524304 LMA524304:LMB524304 LVW524304:LVX524304 MFS524304:MFT524304 MPO524304:MPP524304 MZK524304:MZL524304 NJG524304:NJH524304 NTC524304:NTD524304 OCY524304:OCZ524304 OMU524304:OMV524304 OWQ524304:OWR524304 PGM524304:PGN524304 PQI524304:PQJ524304 QAE524304:QAF524304 QKA524304:QKB524304 QTW524304:QTX524304 RDS524304:RDT524304 RNO524304:RNP524304 RXK524304:RXL524304 SHG524304:SHH524304 SRC524304:SRD524304 TAY524304:TAZ524304 TKU524304:TKV524304 TUQ524304:TUR524304 UEM524304:UEN524304 UOI524304:UOJ524304 UYE524304:UYF524304 VIA524304:VIB524304 VRW524304:VRX524304 WBS524304:WBT524304 WLO524304:WLP524304 WVK524304:WVL524304 C589840:D589840 IY589840:IZ589840 SU589840:SV589840 ACQ589840:ACR589840 AMM589840:AMN589840 AWI589840:AWJ589840 BGE589840:BGF589840 BQA589840:BQB589840 BZW589840:BZX589840 CJS589840:CJT589840 CTO589840:CTP589840 DDK589840:DDL589840 DNG589840:DNH589840 DXC589840:DXD589840 EGY589840:EGZ589840 EQU589840:EQV589840 FAQ589840:FAR589840 FKM589840:FKN589840 FUI589840:FUJ589840 GEE589840:GEF589840 GOA589840:GOB589840 GXW589840:GXX589840 HHS589840:HHT589840 HRO589840:HRP589840 IBK589840:IBL589840 ILG589840:ILH589840 IVC589840:IVD589840 JEY589840:JEZ589840 JOU589840:JOV589840 JYQ589840:JYR589840 KIM589840:KIN589840 KSI589840:KSJ589840 LCE589840:LCF589840 LMA589840:LMB589840 LVW589840:LVX589840 MFS589840:MFT589840 MPO589840:MPP589840 MZK589840:MZL589840 NJG589840:NJH589840 NTC589840:NTD589840 OCY589840:OCZ589840 OMU589840:OMV589840 OWQ589840:OWR589840 PGM589840:PGN589840 PQI589840:PQJ589840 QAE589840:QAF589840 QKA589840:QKB589840 QTW589840:QTX589840 RDS589840:RDT589840 RNO589840:RNP589840 RXK589840:RXL589840 SHG589840:SHH589840 SRC589840:SRD589840 TAY589840:TAZ589840 TKU589840:TKV589840 TUQ589840:TUR589840 UEM589840:UEN589840 UOI589840:UOJ589840 UYE589840:UYF589840 VIA589840:VIB589840 VRW589840:VRX589840 WBS589840:WBT589840 WLO589840:WLP589840 WVK589840:WVL589840 C655376:D655376 IY655376:IZ655376 SU655376:SV655376 ACQ655376:ACR655376 AMM655376:AMN655376 AWI655376:AWJ655376 BGE655376:BGF655376 BQA655376:BQB655376 BZW655376:BZX655376 CJS655376:CJT655376 CTO655376:CTP655376 DDK655376:DDL655376 DNG655376:DNH655376 DXC655376:DXD655376 EGY655376:EGZ655376 EQU655376:EQV655376 FAQ655376:FAR655376 FKM655376:FKN655376 FUI655376:FUJ655376 GEE655376:GEF655376 GOA655376:GOB655376 GXW655376:GXX655376 HHS655376:HHT655376 HRO655376:HRP655376 IBK655376:IBL655376 ILG655376:ILH655376 IVC655376:IVD655376 JEY655376:JEZ655376 JOU655376:JOV655376 JYQ655376:JYR655376 KIM655376:KIN655376 KSI655376:KSJ655376 LCE655376:LCF655376 LMA655376:LMB655376 LVW655376:LVX655376 MFS655376:MFT655376 MPO655376:MPP655376 MZK655376:MZL655376 NJG655376:NJH655376 NTC655376:NTD655376 OCY655376:OCZ655376 OMU655376:OMV655376 OWQ655376:OWR655376 PGM655376:PGN655376 PQI655376:PQJ655376 QAE655376:QAF655376 QKA655376:QKB655376 QTW655376:QTX655376 RDS655376:RDT655376 RNO655376:RNP655376 RXK655376:RXL655376 SHG655376:SHH655376 SRC655376:SRD655376 TAY655376:TAZ655376 TKU655376:TKV655376 TUQ655376:TUR655376 UEM655376:UEN655376 UOI655376:UOJ655376 UYE655376:UYF655376 VIA655376:VIB655376 VRW655376:VRX655376 WBS655376:WBT655376 WLO655376:WLP655376 WVK655376:WVL655376 C720912:D720912 IY720912:IZ720912 SU720912:SV720912 ACQ720912:ACR720912 AMM720912:AMN720912 AWI720912:AWJ720912 BGE720912:BGF720912 BQA720912:BQB720912 BZW720912:BZX720912 CJS720912:CJT720912 CTO720912:CTP720912 DDK720912:DDL720912 DNG720912:DNH720912 DXC720912:DXD720912 EGY720912:EGZ720912 EQU720912:EQV720912 FAQ720912:FAR720912 FKM720912:FKN720912 FUI720912:FUJ720912 GEE720912:GEF720912 GOA720912:GOB720912 GXW720912:GXX720912 HHS720912:HHT720912 HRO720912:HRP720912 IBK720912:IBL720912 ILG720912:ILH720912 IVC720912:IVD720912 JEY720912:JEZ720912 JOU720912:JOV720912 JYQ720912:JYR720912 KIM720912:KIN720912 KSI720912:KSJ720912 LCE720912:LCF720912 LMA720912:LMB720912 LVW720912:LVX720912 MFS720912:MFT720912 MPO720912:MPP720912 MZK720912:MZL720912 NJG720912:NJH720912 NTC720912:NTD720912 OCY720912:OCZ720912 OMU720912:OMV720912 OWQ720912:OWR720912 PGM720912:PGN720912 PQI720912:PQJ720912 QAE720912:QAF720912 QKA720912:QKB720912 QTW720912:QTX720912 RDS720912:RDT720912 RNO720912:RNP720912 RXK720912:RXL720912 SHG720912:SHH720912 SRC720912:SRD720912 TAY720912:TAZ720912 TKU720912:TKV720912 TUQ720912:TUR720912 UEM720912:UEN720912 UOI720912:UOJ720912 UYE720912:UYF720912 VIA720912:VIB720912 VRW720912:VRX720912 WBS720912:WBT720912 WLO720912:WLP720912 WVK720912:WVL720912 C786448:D786448 IY786448:IZ786448 SU786448:SV786448 ACQ786448:ACR786448 AMM786448:AMN786448 AWI786448:AWJ786448 BGE786448:BGF786448 BQA786448:BQB786448 BZW786448:BZX786448 CJS786448:CJT786448 CTO786448:CTP786448 DDK786448:DDL786448 DNG786448:DNH786448 DXC786448:DXD786448 EGY786448:EGZ786448 EQU786448:EQV786448 FAQ786448:FAR786448 FKM786448:FKN786448 FUI786448:FUJ786448 GEE786448:GEF786448 GOA786448:GOB786448 GXW786448:GXX786448 HHS786448:HHT786448 HRO786448:HRP786448 IBK786448:IBL786448 ILG786448:ILH786448 IVC786448:IVD786448 JEY786448:JEZ786448 JOU786448:JOV786448 JYQ786448:JYR786448 KIM786448:KIN786448 KSI786448:KSJ786448 LCE786448:LCF786448 LMA786448:LMB786448 LVW786448:LVX786448 MFS786448:MFT786448 MPO786448:MPP786448 MZK786448:MZL786448 NJG786448:NJH786448 NTC786448:NTD786448 OCY786448:OCZ786448 OMU786448:OMV786448 OWQ786448:OWR786448 PGM786448:PGN786448 PQI786448:PQJ786448 QAE786448:QAF786448 QKA786448:QKB786448 QTW786448:QTX786448 RDS786448:RDT786448 RNO786448:RNP786448 RXK786448:RXL786448 SHG786448:SHH786448 SRC786448:SRD786448 TAY786448:TAZ786448 TKU786448:TKV786448 TUQ786448:TUR786448 UEM786448:UEN786448 UOI786448:UOJ786448 UYE786448:UYF786448 VIA786448:VIB786448 VRW786448:VRX786448 WBS786448:WBT786448 WLO786448:WLP786448 WVK786448:WVL786448 C851984:D851984 IY851984:IZ851984 SU851984:SV851984 ACQ851984:ACR851984 AMM851984:AMN851984 AWI851984:AWJ851984 BGE851984:BGF851984 BQA851984:BQB851984 BZW851984:BZX851984 CJS851984:CJT851984 CTO851984:CTP851984 DDK851984:DDL851984 DNG851984:DNH851984 DXC851984:DXD851984 EGY851984:EGZ851984 EQU851984:EQV851984 FAQ851984:FAR851984 FKM851984:FKN851984 FUI851984:FUJ851984 GEE851984:GEF851984 GOA851984:GOB851984 GXW851984:GXX851984 HHS851984:HHT851984 HRO851984:HRP851984 IBK851984:IBL851984 ILG851984:ILH851984 IVC851984:IVD851984 JEY851984:JEZ851984 JOU851984:JOV851984 JYQ851984:JYR851984 KIM851984:KIN851984 KSI851984:KSJ851984 LCE851984:LCF851984 LMA851984:LMB851984 LVW851984:LVX851984 MFS851984:MFT851984 MPO851984:MPP851984 MZK851984:MZL851984 NJG851984:NJH851984 NTC851984:NTD851984 OCY851984:OCZ851984 OMU851984:OMV851984 OWQ851984:OWR851984 PGM851984:PGN851984 PQI851984:PQJ851984 QAE851984:QAF851984 QKA851984:QKB851984 QTW851984:QTX851984 RDS851984:RDT851984 RNO851984:RNP851984 RXK851984:RXL851984 SHG851984:SHH851984 SRC851984:SRD851984 TAY851984:TAZ851984 TKU851984:TKV851984 TUQ851984:TUR851984 UEM851984:UEN851984 UOI851984:UOJ851984 UYE851984:UYF851984 VIA851984:VIB851984 VRW851984:VRX851984 WBS851984:WBT851984 WLO851984:WLP851984 WVK851984:WVL851984 C917520:D917520 IY917520:IZ917520 SU917520:SV917520 ACQ917520:ACR917520 AMM917520:AMN917520 AWI917520:AWJ917520 BGE917520:BGF917520 BQA917520:BQB917520 BZW917520:BZX917520 CJS917520:CJT917520 CTO917520:CTP917520 DDK917520:DDL917520 DNG917520:DNH917520 DXC917520:DXD917520 EGY917520:EGZ917520 EQU917520:EQV917520 FAQ917520:FAR917520 FKM917520:FKN917520 FUI917520:FUJ917520 GEE917520:GEF917520 GOA917520:GOB917520 GXW917520:GXX917520 HHS917520:HHT917520 HRO917520:HRP917520 IBK917520:IBL917520 ILG917520:ILH917520 IVC917520:IVD917520 JEY917520:JEZ917520 JOU917520:JOV917520 JYQ917520:JYR917520 KIM917520:KIN917520 KSI917520:KSJ917520 LCE917520:LCF917520 LMA917520:LMB917520 LVW917520:LVX917520 MFS917520:MFT917520 MPO917520:MPP917520 MZK917520:MZL917520 NJG917520:NJH917520 NTC917520:NTD917520 OCY917520:OCZ917520 OMU917520:OMV917520 OWQ917520:OWR917520 PGM917520:PGN917520 PQI917520:PQJ917520 QAE917520:QAF917520 QKA917520:QKB917520 QTW917520:QTX917520 RDS917520:RDT917520 RNO917520:RNP917520 RXK917520:RXL917520 SHG917520:SHH917520 SRC917520:SRD917520 TAY917520:TAZ917520 TKU917520:TKV917520 TUQ917520:TUR917520 UEM917520:UEN917520 UOI917520:UOJ917520 UYE917520:UYF917520 VIA917520:VIB917520 VRW917520:VRX917520 WBS917520:WBT917520 WLO917520:WLP917520 WVK917520:WVL917520 C983056:D983056 IY983056:IZ983056 SU983056:SV983056 ACQ983056:ACR983056 AMM983056:AMN983056 AWI983056:AWJ983056 BGE983056:BGF983056 BQA983056:BQB983056 BZW983056:BZX983056 CJS983056:CJT983056 CTO983056:CTP983056 DDK983056:DDL983056 DNG983056:DNH983056 DXC983056:DXD983056 EGY983056:EGZ983056 EQU983056:EQV983056 FAQ983056:FAR983056 FKM983056:FKN983056 FUI983056:FUJ983056 GEE983056:GEF983056 GOA983056:GOB983056 GXW983056:GXX983056 HHS983056:HHT983056 HRO983056:HRP983056 IBK983056:IBL983056 ILG983056:ILH983056 IVC983056:IVD983056 JEY983056:JEZ983056 JOU983056:JOV983056 JYQ983056:JYR983056 KIM983056:KIN983056 KSI983056:KSJ983056 LCE983056:LCF983056 LMA983056:LMB983056 LVW983056:LVX983056 MFS983056:MFT983056 MPO983056:MPP983056 MZK983056:MZL983056 NJG983056:NJH983056 NTC983056:NTD983056 OCY983056:OCZ983056 OMU983056:OMV983056 OWQ983056:OWR983056 PGM983056:PGN983056 PQI983056:PQJ983056 QAE983056:QAF983056 QKA983056:QKB983056 QTW983056:QTX983056 RDS983056:RDT983056 RNO983056:RNP983056 RXK983056:RXL983056 SHG983056:SHH983056 SRC983056:SRD983056 TAY983056:TAZ983056 TKU983056:TKV983056 TUQ983056:TUR983056 UEM983056:UEN983056 UOI983056:UOJ983056 UYE983056:UYF983056 VIA983056:VIB983056 VRW983056:VRX983056 WBS983056:WBT983056 WLO983056:WLP983056 D7:D8" xr:uid="{6D24FBC1-8935-4EC8-A437-474D43E20C83}">
      <formula1>"Core1,Core2,Core3"</formula1>
    </dataValidation>
  </dataValidations>
  <printOptions horizontalCentered="1" verticalCentered="1"/>
  <pageMargins left="0.51181102362204722" right="0.51181102362204722" top="0.51181102362204722" bottom="0.51181102362204722" header="0" footer="0"/>
  <pageSetup paperSize="9" scale="95" orientation="portrait" r:id="rId1"/>
  <headerFooter alignWithMargins="0">
    <oddFooter>Page &amp;P of &amp;N</oddFooter>
  </headerFooter>
  <rowBreaks count="2" manualBreakCount="2">
    <brk id="47" max="21" man="1"/>
    <brk id="94" max="21"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0E3AC-300F-47AA-8406-FAA5D4611B55}">
  <sheetPr>
    <tabColor indexed="50"/>
  </sheetPr>
  <dimension ref="A1:AA322"/>
  <sheetViews>
    <sheetView showZeros="0" view="pageBreakPreview" zoomScale="130" zoomScaleNormal="100" zoomScaleSheetLayoutView="130" workbookViewId="0">
      <selection activeCell="H289" sqref="H289"/>
    </sheetView>
  </sheetViews>
  <sheetFormatPr defaultColWidth="4.33203125" defaultRowHeight="18" customHeight="1"/>
  <cols>
    <col min="1" max="9" width="4.33203125" style="30"/>
    <col min="10" max="10" width="4.33203125" style="30" customWidth="1"/>
    <col min="11" max="12" width="4.33203125" style="30"/>
    <col min="13" max="15" width="4.33203125" style="30" customWidth="1"/>
    <col min="16" max="16" width="4.33203125" style="30"/>
    <col min="17" max="17" width="4.5546875" style="30" bestFit="1" customWidth="1"/>
    <col min="18" max="18" width="4.33203125" style="30"/>
    <col min="19" max="19" width="4.5546875" style="30" bestFit="1" customWidth="1"/>
    <col min="20" max="16384" width="4.33203125" style="30"/>
  </cols>
  <sheetData>
    <row r="1" spans="1:24"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Title!H2</f>
        <v>ADEQUACY CHECK</v>
      </c>
      <c r="I2" s="730"/>
      <c r="J2" s="730"/>
      <c r="K2" s="730"/>
      <c r="L2" s="730"/>
      <c r="M2" s="730"/>
      <c r="N2" s="731"/>
      <c r="O2" s="702" t="str">
        <f>Title!O2</f>
        <v>Date</v>
      </c>
      <c r="P2" s="703"/>
      <c r="Q2" s="704"/>
      <c r="R2" s="732">
        <f>Title!R2</f>
        <v>46106</v>
      </c>
      <c r="S2" s="706"/>
      <c r="T2" s="706"/>
      <c r="U2" s="706"/>
      <c r="V2" s="707"/>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14"/>
      <c r="X4" s="14"/>
    </row>
    <row r="5" spans="1:24" ht="18" customHeight="1">
      <c r="A5" s="708" t="str">
        <f>Title!A5</f>
        <v>Prep. By</v>
      </c>
      <c r="B5" s="709"/>
      <c r="C5" s="25" t="str">
        <f>Title!C5</f>
        <v>AP</v>
      </c>
      <c r="D5" s="708" t="str">
        <f>Title!D5</f>
        <v>Checked By</v>
      </c>
      <c r="E5" s="710"/>
      <c r="F5" s="709"/>
      <c r="G5" s="25" t="str">
        <f>Title!G5</f>
        <v>RB</v>
      </c>
      <c r="H5" s="711" t="s">
        <v>604</v>
      </c>
      <c r="I5" s="712"/>
      <c r="J5" s="712"/>
      <c r="K5" s="712"/>
      <c r="L5" s="712"/>
      <c r="M5" s="712"/>
      <c r="N5" s="713"/>
      <c r="O5" s="714" t="str">
        <f>Title!O5</f>
        <v>Contractor</v>
      </c>
      <c r="P5" s="715"/>
      <c r="Q5" s="716"/>
      <c r="R5" s="705" t="str">
        <f>Title!R5</f>
        <v>HITACHI</v>
      </c>
      <c r="S5" s="706"/>
      <c r="T5" s="706"/>
      <c r="U5" s="706"/>
      <c r="V5" s="707"/>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940" t="s">
        <v>120</v>
      </c>
      <c r="C7" s="941"/>
      <c r="D7" s="944" t="s">
        <v>121</v>
      </c>
      <c r="E7" s="945"/>
      <c r="F7" s="468"/>
      <c r="H7" s="639" t="s">
        <v>518</v>
      </c>
      <c r="I7" s="639"/>
      <c r="J7" s="639"/>
      <c r="K7" s="639"/>
      <c r="L7" s="639"/>
      <c r="M7" s="639"/>
      <c r="P7" s="198"/>
      <c r="S7" s="199" t="s">
        <v>398</v>
      </c>
      <c r="T7" s="940" t="s">
        <v>519</v>
      </c>
      <c r="U7" s="941"/>
      <c r="V7" s="197"/>
    </row>
    <row r="8" spans="1:24" ht="18" customHeight="1">
      <c r="A8" s="469"/>
      <c r="F8" s="468"/>
      <c r="T8" s="940" t="s">
        <v>520</v>
      </c>
      <c r="U8" s="941"/>
      <c r="V8" s="197"/>
    </row>
    <row r="9" spans="1:24" ht="18" customHeight="1">
      <c r="A9" s="196"/>
      <c r="H9" s="662" t="s">
        <v>401</v>
      </c>
      <c r="I9" s="662"/>
      <c r="J9" s="701" t="s">
        <v>402</v>
      </c>
      <c r="K9" s="701"/>
      <c r="L9" s="701" t="s">
        <v>403</v>
      </c>
      <c r="M9" s="701"/>
      <c r="T9" s="940" t="s">
        <v>205</v>
      </c>
      <c r="U9" s="941"/>
      <c r="V9" s="197"/>
    </row>
    <row r="10" spans="1:24" ht="18" customHeight="1">
      <c r="A10" s="196"/>
      <c r="B10" s="47" t="s">
        <v>404</v>
      </c>
      <c r="H10" s="942">
        <v>2500</v>
      </c>
      <c r="I10" s="943"/>
      <c r="J10" s="940" t="s">
        <v>7</v>
      </c>
      <c r="K10" s="941"/>
      <c r="L10" s="940" t="s">
        <v>7</v>
      </c>
      <c r="M10" s="941"/>
      <c r="N10" s="203" t="s">
        <v>353</v>
      </c>
      <c r="O10" s="515">
        <v>1</v>
      </c>
      <c r="P10" s="27" t="s">
        <v>9</v>
      </c>
      <c r="R10" s="267"/>
      <c r="S10" s="267"/>
      <c r="V10" s="197"/>
    </row>
    <row r="11" spans="1:24" ht="18" customHeight="1">
      <c r="A11" s="196"/>
      <c r="B11" s="47" t="s">
        <v>405</v>
      </c>
      <c r="H11" s="940" t="s">
        <v>406</v>
      </c>
      <c r="I11" s="941"/>
      <c r="V11" s="197"/>
    </row>
    <row r="12" spans="1:24" ht="18" customHeight="1">
      <c r="A12" s="196"/>
      <c r="B12" s="47" t="s">
        <v>407</v>
      </c>
      <c r="G12" s="120" t="s">
        <v>508</v>
      </c>
      <c r="H12" s="940">
        <v>10</v>
      </c>
      <c r="I12" s="941"/>
      <c r="J12" s="204" t="s">
        <v>344</v>
      </c>
      <c r="V12" s="197"/>
    </row>
    <row r="13" spans="1:24" ht="18" customHeight="1">
      <c r="A13" s="196"/>
      <c r="B13" s="47" t="s">
        <v>409</v>
      </c>
      <c r="G13" s="120" t="s">
        <v>509</v>
      </c>
      <c r="H13" s="940">
        <v>325</v>
      </c>
      <c r="I13" s="941"/>
      <c r="J13" s="14" t="s">
        <v>316</v>
      </c>
      <c r="T13" s="307"/>
      <c r="U13" s="18"/>
      <c r="V13" s="197"/>
      <c r="W13" s="30" t="e">
        <f>#REF!</f>
        <v>#REF!</v>
      </c>
    </row>
    <row r="14" spans="1:24" ht="18" customHeight="1">
      <c r="A14" s="196"/>
      <c r="B14" s="14" t="s">
        <v>412</v>
      </c>
      <c r="G14" s="120" t="s">
        <v>413</v>
      </c>
      <c r="H14" s="940">
        <v>50</v>
      </c>
      <c r="I14" s="941"/>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REC670</v>
      </c>
      <c r="E18" s="239"/>
      <c r="F18" s="239"/>
      <c r="G18" s="239"/>
      <c r="H18" s="145"/>
      <c r="I18" s="272" t="s">
        <v>138</v>
      </c>
      <c r="J18" s="946">
        <f>'CT-VT Burdens'!Q48</f>
        <v>0.02</v>
      </c>
      <c r="K18" s="947"/>
      <c r="L18" s="3" t="s">
        <v>168</v>
      </c>
      <c r="N18" s="209" t="s">
        <v>521</v>
      </c>
      <c r="V18" s="197"/>
    </row>
    <row r="19" spans="1:25" ht="18" customHeight="1">
      <c r="A19" s="196"/>
      <c r="B19" s="96" t="s">
        <v>416</v>
      </c>
      <c r="C19" s="14"/>
      <c r="D19" s="47" t="str">
        <f>T8</f>
        <v>REF615</v>
      </c>
      <c r="H19" s="28"/>
      <c r="I19" s="101" t="s">
        <v>138</v>
      </c>
      <c r="J19" s="946">
        <f>'CT-VT Burdens'!Q55</f>
        <v>0.02</v>
      </c>
      <c r="K19" s="947"/>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t="str">
        <f>T9</f>
        <v>FMS</v>
      </c>
      <c r="H20" s="28"/>
      <c r="I20" s="101" t="s">
        <v>138</v>
      </c>
      <c r="J20" s="948">
        <f>'CT-VT Burdens'!Q92</f>
        <v>5.8000000000000003E-2</v>
      </c>
      <c r="K20" s="949"/>
      <c r="L20" s="3" t="s">
        <v>168</v>
      </c>
      <c r="N20" s="27"/>
      <c r="O20" s="27" t="s">
        <v>138</v>
      </c>
      <c r="P20" s="27">
        <f>O10</f>
        <v>1</v>
      </c>
      <c r="Q20" s="27" t="s">
        <v>326</v>
      </c>
      <c r="R20" s="27">
        <f>O10</f>
        <v>1</v>
      </c>
      <c r="S20" s="27" t="s">
        <v>326</v>
      </c>
      <c r="T20" s="27">
        <f>H12</f>
        <v>10</v>
      </c>
      <c r="V20" s="197"/>
    </row>
    <row r="21" spans="1:25" ht="18" customHeight="1">
      <c r="A21" s="196"/>
      <c r="B21" s="465" t="s">
        <v>423</v>
      </c>
      <c r="C21" s="271"/>
      <c r="D21" s="271"/>
      <c r="E21" s="271"/>
      <c r="F21" s="219"/>
      <c r="G21" s="219"/>
      <c r="H21" s="202"/>
      <c r="I21" s="220" t="s">
        <v>138</v>
      </c>
      <c r="J21" s="950">
        <f>'CT-VT Burdens'!S22</f>
        <v>1.44186744</v>
      </c>
      <c r="K21" s="951"/>
      <c r="L21" s="309" t="s">
        <v>168</v>
      </c>
      <c r="O21" s="27" t="s">
        <v>138</v>
      </c>
      <c r="P21" s="637">
        <f>P20*R20*T20</f>
        <v>10</v>
      </c>
      <c r="Q21" s="639"/>
      <c r="R21" s="27" t="s">
        <v>168</v>
      </c>
      <c r="V21" s="197"/>
    </row>
    <row r="22" spans="1:25" ht="18" customHeight="1">
      <c r="A22" s="196"/>
      <c r="B22" s="1" t="s">
        <v>424</v>
      </c>
      <c r="C22" s="2"/>
      <c r="D22" s="2"/>
      <c r="E22" s="2"/>
      <c r="F22" s="208"/>
      <c r="G22" s="208"/>
      <c r="H22" s="236" t="s">
        <v>523</v>
      </c>
      <c r="I22" s="195" t="s">
        <v>138</v>
      </c>
      <c r="J22" s="648">
        <f>SUM(J18:J21)</f>
        <v>1.5398674400000001</v>
      </c>
      <c r="K22" s="649"/>
      <c r="L22" s="3" t="s">
        <v>168</v>
      </c>
      <c r="V22" s="197"/>
    </row>
    <row r="23" spans="1:25" ht="18" customHeight="1">
      <c r="A23" s="196"/>
      <c r="B23" s="47"/>
      <c r="C23" s="47"/>
      <c r="D23" s="47"/>
      <c r="E23" s="47"/>
      <c r="H23" s="27"/>
      <c r="I23" s="28"/>
      <c r="J23" s="211"/>
      <c r="L23" s="47"/>
      <c r="S23" s="27"/>
      <c r="V23" s="197"/>
    </row>
    <row r="24" spans="1:25" ht="18" customHeight="1">
      <c r="A24" s="196"/>
      <c r="B24" s="117" t="s">
        <v>524</v>
      </c>
      <c r="Q24" s="223"/>
      <c r="R24" s="204"/>
      <c r="V24" s="197"/>
    </row>
    <row r="25" spans="1:25" ht="18" customHeight="1">
      <c r="A25" s="196"/>
      <c r="B25" s="955" t="s">
        <v>428</v>
      </c>
      <c r="C25" s="956"/>
      <c r="D25" s="956"/>
      <c r="E25" s="638">
        <v>1.5</v>
      </c>
      <c r="F25" s="638" t="s">
        <v>326</v>
      </c>
      <c r="G25" s="701" t="s">
        <v>492</v>
      </c>
      <c r="H25" s="701" t="s">
        <v>493</v>
      </c>
      <c r="I25" s="957"/>
      <c r="J25" s="638" t="s">
        <v>326</v>
      </c>
      <c r="K25" s="638" t="s">
        <v>430</v>
      </c>
      <c r="L25" s="638" t="s">
        <v>451</v>
      </c>
      <c r="M25" s="958" t="s">
        <v>358</v>
      </c>
      <c r="N25" s="638" t="s">
        <v>458</v>
      </c>
      <c r="O25" s="638" t="s">
        <v>358</v>
      </c>
      <c r="P25" s="953" t="s">
        <v>459</v>
      </c>
      <c r="Q25" s="953"/>
      <c r="R25" s="953"/>
      <c r="S25" s="952" t="s">
        <v>361</v>
      </c>
      <c r="T25" s="954" t="s">
        <v>433</v>
      </c>
      <c r="V25" s="197"/>
    </row>
    <row r="26" spans="1:25" ht="18" customHeight="1">
      <c r="A26" s="196"/>
      <c r="B26" s="956"/>
      <c r="C26" s="956"/>
      <c r="D26" s="956"/>
      <c r="E26" s="638"/>
      <c r="F26" s="638"/>
      <c r="G26" s="638"/>
      <c r="H26" s="639" t="s">
        <v>494</v>
      </c>
      <c r="I26" s="887"/>
      <c r="J26" s="638"/>
      <c r="K26" s="638"/>
      <c r="L26" s="638"/>
      <c r="M26" s="958"/>
      <c r="N26" s="638"/>
      <c r="O26" s="638"/>
      <c r="P26" s="28" t="s">
        <v>449</v>
      </c>
      <c r="Q26" s="28" t="s">
        <v>326</v>
      </c>
      <c r="R26" s="28" t="s">
        <v>449</v>
      </c>
      <c r="S26" s="952"/>
      <c r="T26" s="954"/>
      <c r="V26" s="112"/>
    </row>
    <row r="27" spans="1:25" ht="18" customHeight="1">
      <c r="A27" s="196"/>
      <c r="C27" s="28"/>
      <c r="D27" s="28"/>
      <c r="E27" s="28"/>
      <c r="F27" s="28"/>
      <c r="G27" s="28"/>
      <c r="H27" s="638"/>
      <c r="I27" s="920"/>
      <c r="J27" s="28"/>
      <c r="K27" s="28"/>
      <c r="L27" s="28"/>
      <c r="M27" s="28"/>
      <c r="N27" s="47"/>
      <c r="O27" s="28"/>
      <c r="V27" s="197"/>
    </row>
    <row r="28" spans="1:25" ht="18" customHeight="1">
      <c r="A28" s="196"/>
      <c r="C28" s="30" t="s">
        <v>525</v>
      </c>
      <c r="R28" s="27" t="s">
        <v>138</v>
      </c>
      <c r="S28" s="639">
        <v>6</v>
      </c>
      <c r="T28" s="639"/>
      <c r="V28" s="197"/>
    </row>
    <row r="29" spans="1:25" ht="18" customHeight="1">
      <c r="A29" s="180"/>
      <c r="B29" s="5"/>
      <c r="C29" s="308" t="s">
        <v>526</v>
      </c>
      <c r="D29" s="14"/>
      <c r="E29" s="14"/>
      <c r="F29" s="14"/>
      <c r="G29" s="14"/>
      <c r="H29" s="291"/>
      <c r="I29" s="120"/>
      <c r="J29" s="291"/>
      <c r="K29" s="291"/>
      <c r="L29" s="14"/>
      <c r="M29" s="14"/>
      <c r="N29" s="14"/>
      <c r="O29" s="14"/>
      <c r="P29" s="14"/>
      <c r="Q29" s="256" t="s">
        <v>492</v>
      </c>
      <c r="R29" s="102" t="s">
        <v>138</v>
      </c>
      <c r="S29" s="638">
        <f>S28*S30</f>
        <v>15000</v>
      </c>
      <c r="T29" s="638"/>
      <c r="U29" s="47" t="s">
        <v>9</v>
      </c>
      <c r="V29" s="197"/>
    </row>
    <row r="30" spans="1:25" ht="18" customHeight="1">
      <c r="A30" s="180"/>
      <c r="B30" s="5"/>
      <c r="C30" s="47" t="s">
        <v>527</v>
      </c>
      <c r="D30" s="14"/>
      <c r="E30" s="14"/>
      <c r="F30" s="18"/>
      <c r="G30" s="18"/>
      <c r="H30" s="291"/>
      <c r="I30" s="120"/>
      <c r="J30" s="291"/>
      <c r="K30" s="291"/>
      <c r="L30" s="14"/>
      <c r="M30" s="14"/>
      <c r="N30" s="14"/>
      <c r="O30" s="14"/>
      <c r="P30" s="14"/>
      <c r="Q30" s="256" t="s">
        <v>494</v>
      </c>
      <c r="R30" s="102" t="s">
        <v>138</v>
      </c>
      <c r="S30" s="638">
        <f>H10</f>
        <v>2500</v>
      </c>
      <c r="T30" s="638"/>
      <c r="U30" s="14" t="s">
        <v>9</v>
      </c>
      <c r="V30" s="197"/>
    </row>
    <row r="31" spans="1:25" ht="18" customHeight="1">
      <c r="A31" s="180"/>
      <c r="B31" s="5"/>
      <c r="C31" s="47" t="s">
        <v>528</v>
      </c>
      <c r="D31" s="14"/>
      <c r="E31" s="14"/>
      <c r="F31" s="18"/>
      <c r="G31" s="18"/>
      <c r="H31" s="291"/>
      <c r="I31" s="120"/>
      <c r="J31" s="291"/>
      <c r="K31" s="291"/>
      <c r="L31" s="14"/>
      <c r="M31" s="14"/>
      <c r="N31" s="14"/>
      <c r="O31" s="14"/>
      <c r="P31" s="14"/>
      <c r="Q31" s="256" t="s">
        <v>493</v>
      </c>
      <c r="R31" s="102" t="s">
        <v>138</v>
      </c>
      <c r="S31" s="638">
        <f>O10</f>
        <v>1</v>
      </c>
      <c r="T31" s="638"/>
      <c r="U31" s="30" t="s">
        <v>9</v>
      </c>
      <c r="V31" s="197"/>
    </row>
    <row r="32" spans="1:25" ht="18" customHeight="1">
      <c r="A32" s="180"/>
      <c r="B32" s="5"/>
      <c r="C32" s="47" t="s">
        <v>529</v>
      </c>
      <c r="D32" s="14"/>
      <c r="E32" s="14"/>
      <c r="F32" s="18"/>
      <c r="G32" s="18"/>
      <c r="H32" s="291"/>
      <c r="I32" s="120"/>
      <c r="J32" s="291"/>
      <c r="K32" s="291"/>
      <c r="L32" s="14"/>
      <c r="M32" s="14"/>
      <c r="N32" s="14"/>
      <c r="O32" s="14"/>
      <c r="P32" s="14"/>
      <c r="Q32" s="256" t="s">
        <v>157</v>
      </c>
      <c r="R32" s="102" t="s">
        <v>138</v>
      </c>
      <c r="S32" s="959">
        <f>O10</f>
        <v>1</v>
      </c>
      <c r="T32" s="959"/>
      <c r="U32" s="30" t="s">
        <v>9</v>
      </c>
      <c r="V32" s="197"/>
      <c r="W32" s="291"/>
      <c r="X32" s="291"/>
      <c r="Y32" s="291"/>
    </row>
    <row r="33" spans="1:25" ht="18" customHeight="1">
      <c r="A33" s="180"/>
      <c r="B33" s="5"/>
      <c r="C33" s="308" t="s">
        <v>530</v>
      </c>
      <c r="D33" s="14"/>
      <c r="E33" s="14"/>
      <c r="F33" s="18"/>
      <c r="G33" s="18"/>
      <c r="H33" s="291"/>
      <c r="I33" s="120"/>
      <c r="J33" s="291"/>
      <c r="K33" s="291"/>
      <c r="L33" s="14"/>
      <c r="M33" s="14"/>
      <c r="N33" s="14"/>
      <c r="O33" s="14"/>
      <c r="P33" s="14"/>
      <c r="Q33" s="256" t="s">
        <v>431</v>
      </c>
      <c r="R33" s="102" t="s">
        <v>138</v>
      </c>
      <c r="S33" s="641">
        <f>H12</f>
        <v>10</v>
      </c>
      <c r="T33" s="638"/>
      <c r="U33" s="30" t="s">
        <v>531</v>
      </c>
      <c r="V33" s="197"/>
      <c r="X33" s="291"/>
      <c r="Y33" s="291"/>
    </row>
    <row r="34" spans="1:25" ht="18" customHeight="1">
      <c r="A34" s="180"/>
      <c r="B34" s="5"/>
      <c r="C34" s="308" t="s">
        <v>532</v>
      </c>
      <c r="D34" s="14"/>
      <c r="E34" s="14"/>
      <c r="F34" s="14"/>
      <c r="G34" s="14"/>
      <c r="H34" s="291"/>
      <c r="I34" s="120"/>
      <c r="J34" s="291"/>
      <c r="K34" s="291"/>
      <c r="L34" s="14"/>
      <c r="M34" s="14"/>
      <c r="N34" s="14"/>
      <c r="O34" s="14"/>
      <c r="P34" s="14"/>
      <c r="Q34" s="256" t="s">
        <v>533</v>
      </c>
      <c r="R34" s="102" t="s">
        <v>138</v>
      </c>
      <c r="S34" s="641">
        <f>J22</f>
        <v>1.5398674400000001</v>
      </c>
      <c r="T34" s="638"/>
      <c r="U34" s="30" t="s">
        <v>531</v>
      </c>
      <c r="V34" s="197"/>
      <c r="X34" s="291"/>
      <c r="Y34" s="291"/>
    </row>
    <row r="35" spans="1:25" ht="18" customHeight="1">
      <c r="A35" s="180"/>
      <c r="B35" s="5"/>
      <c r="C35" s="308" t="s">
        <v>534</v>
      </c>
      <c r="D35" s="14"/>
      <c r="E35" s="14"/>
      <c r="F35" s="14"/>
      <c r="G35" s="14"/>
      <c r="H35" s="291"/>
      <c r="I35" s="120"/>
      <c r="J35" s="291"/>
      <c r="K35" s="291"/>
      <c r="L35" s="14"/>
      <c r="M35" s="14"/>
      <c r="N35" s="14"/>
      <c r="O35" s="14"/>
      <c r="P35" s="14"/>
      <c r="Q35" s="256" t="s">
        <v>535</v>
      </c>
      <c r="R35" s="102" t="s">
        <v>138</v>
      </c>
      <c r="S35" s="641">
        <f>J18</f>
        <v>0.02</v>
      </c>
      <c r="T35" s="638"/>
      <c r="U35" s="308" t="s">
        <v>168</v>
      </c>
      <c r="V35" s="197"/>
    </row>
    <row r="36" spans="1:25" ht="18" customHeight="1">
      <c r="A36" s="311"/>
      <c r="B36" s="291"/>
      <c r="C36" s="47"/>
      <c r="D36" s="14"/>
      <c r="E36" s="14"/>
      <c r="F36" s="14"/>
      <c r="G36" s="14"/>
      <c r="H36" s="291"/>
      <c r="I36" s="120"/>
      <c r="J36" s="291"/>
      <c r="K36" s="291"/>
      <c r="L36" s="14"/>
      <c r="M36" s="14"/>
      <c r="N36" s="291"/>
      <c r="O36" s="291"/>
      <c r="P36" s="14"/>
      <c r="Q36" s="120"/>
      <c r="R36" s="14"/>
      <c r="S36" s="291"/>
      <c r="T36" s="291"/>
      <c r="U36" s="291"/>
      <c r="V36" s="312"/>
      <c r="W36" s="291"/>
      <c r="X36" s="291"/>
      <c r="Y36" s="291"/>
    </row>
    <row r="37" spans="1:25" ht="18" customHeight="1">
      <c r="A37" s="196"/>
      <c r="B37" s="639" t="s">
        <v>428</v>
      </c>
      <c r="C37" s="639"/>
      <c r="D37" s="638">
        <v>1.5</v>
      </c>
      <c r="E37" s="639" t="s">
        <v>326</v>
      </c>
      <c r="F37" s="638">
        <f>S29</f>
        <v>15000</v>
      </c>
      <c r="G37" s="638"/>
      <c r="H37" s="639" t="s">
        <v>326</v>
      </c>
      <c r="I37" s="701">
        <f>S31</f>
        <v>1</v>
      </c>
      <c r="J37" s="701"/>
      <c r="K37" s="639" t="s">
        <v>326</v>
      </c>
      <c r="L37" s="639" t="s">
        <v>430</v>
      </c>
      <c r="M37" s="1164">
        <f>S33</f>
        <v>10</v>
      </c>
      <c r="N37" s="639" t="s">
        <v>358</v>
      </c>
      <c r="O37" s="637">
        <f>S34</f>
        <v>1.5398674400000001</v>
      </c>
      <c r="P37" s="639" t="s">
        <v>358</v>
      </c>
      <c r="Q37" s="793">
        <f>S35</f>
        <v>0.02</v>
      </c>
      <c r="R37" s="701"/>
      <c r="S37" s="701"/>
      <c r="T37" s="639" t="s">
        <v>361</v>
      </c>
      <c r="V37" s="197"/>
    </row>
    <row r="38" spans="1:25" ht="18" customHeight="1">
      <c r="A38" s="196"/>
      <c r="B38" s="639"/>
      <c r="C38" s="639"/>
      <c r="D38" s="638"/>
      <c r="E38" s="639"/>
      <c r="F38" s="638"/>
      <c r="G38" s="638"/>
      <c r="H38" s="639"/>
      <c r="I38" s="639">
        <f>S30</f>
        <v>2500</v>
      </c>
      <c r="J38" s="639"/>
      <c r="K38" s="639"/>
      <c r="L38" s="639"/>
      <c r="M38" s="1164"/>
      <c r="N38" s="639"/>
      <c r="O38" s="639"/>
      <c r="P38" s="639"/>
      <c r="Q38" s="517">
        <f>S32</f>
        <v>1</v>
      </c>
      <c r="R38" s="27" t="s">
        <v>326</v>
      </c>
      <c r="S38" s="517">
        <f>S32</f>
        <v>1</v>
      </c>
      <c r="T38" s="639"/>
      <c r="V38" s="197"/>
    </row>
    <row r="39" spans="1:25" ht="18" customHeight="1">
      <c r="A39" s="196"/>
      <c r="C39" s="120"/>
      <c r="D39" s="28"/>
      <c r="E39" s="28"/>
      <c r="F39" s="28"/>
      <c r="G39" s="28"/>
      <c r="H39" s="14"/>
      <c r="I39" s="14"/>
      <c r="J39" s="28"/>
      <c r="K39" s="28"/>
      <c r="L39" s="28"/>
      <c r="M39" s="28"/>
      <c r="N39" s="47"/>
      <c r="O39" s="516"/>
      <c r="V39" s="197"/>
    </row>
    <row r="40" spans="1:25" ht="18" customHeight="1">
      <c r="A40" s="196"/>
      <c r="C40" s="27" t="s">
        <v>138</v>
      </c>
      <c r="D40" s="960">
        <f>ROUNDUP(D37*F37*(I37/I38)*(M37+O37+(Q37/(Q38*S38))),2)</f>
        <v>104.04</v>
      </c>
      <c r="E40" s="960"/>
      <c r="F40" s="298" t="s">
        <v>316</v>
      </c>
      <c r="G40" s="27"/>
      <c r="V40" s="197"/>
    </row>
    <row r="41" spans="1:25" ht="18" customHeight="1">
      <c r="A41" s="196"/>
      <c r="C41" s="27"/>
      <c r="D41" s="489"/>
      <c r="E41" s="489"/>
      <c r="F41" s="298"/>
      <c r="G41" s="27"/>
      <c r="V41" s="197"/>
    </row>
    <row r="42" spans="1:25" ht="18" customHeight="1">
      <c r="A42" s="196"/>
      <c r="C42" s="27"/>
      <c r="D42" s="489"/>
      <c r="E42" s="489"/>
      <c r="F42" s="298"/>
      <c r="G42" s="27"/>
      <c r="V42" s="197"/>
    </row>
    <row r="43" spans="1:25" ht="18" customHeight="1">
      <c r="A43" s="196"/>
      <c r="V43" s="197"/>
    </row>
    <row r="44" spans="1:25" ht="18" customHeight="1">
      <c r="A44" s="196"/>
      <c r="V44" s="197"/>
    </row>
    <row r="45" spans="1:25" ht="18" customHeight="1">
      <c r="A45" s="196"/>
      <c r="V45" s="197"/>
    </row>
    <row r="46" spans="1:25" ht="18" customHeight="1">
      <c r="A46" s="196"/>
      <c r="V46" s="197"/>
    </row>
    <row r="47" spans="1:25" ht="18" customHeight="1">
      <c r="A47" s="196"/>
      <c r="V47" s="197"/>
    </row>
    <row r="48" spans="1:25" ht="18"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5" ht="18" customHeight="1">
      <c r="A49" s="238"/>
      <c r="B49" s="547" t="s">
        <v>536</v>
      </c>
      <c r="C49" s="239"/>
      <c r="D49" s="239"/>
      <c r="E49" s="239"/>
      <c r="F49" s="239"/>
      <c r="G49" s="239"/>
      <c r="H49" s="239"/>
      <c r="I49" s="239"/>
      <c r="J49" s="239"/>
      <c r="K49" s="239"/>
      <c r="L49" s="239"/>
      <c r="M49" s="239"/>
      <c r="N49" s="239"/>
      <c r="O49" s="239"/>
      <c r="P49" s="239"/>
      <c r="Q49" s="239"/>
      <c r="R49" s="239"/>
      <c r="S49" s="239"/>
      <c r="T49" s="239"/>
      <c r="U49" s="239"/>
      <c r="V49" s="240"/>
    </row>
    <row r="50" spans="1:25" ht="18" customHeight="1">
      <c r="A50" s="196"/>
      <c r="V50" s="197"/>
    </row>
    <row r="51" spans="1:25" ht="18" customHeight="1">
      <c r="A51" s="196"/>
      <c r="B51" s="955" t="s">
        <v>428</v>
      </c>
      <c r="C51" s="956"/>
      <c r="D51" s="956"/>
      <c r="E51" s="638">
        <v>20</v>
      </c>
      <c r="F51" s="638" t="s">
        <v>326</v>
      </c>
      <c r="G51" s="701" t="s">
        <v>492</v>
      </c>
      <c r="H51" s="701" t="s">
        <v>493</v>
      </c>
      <c r="I51" s="957"/>
      <c r="J51" s="638" t="s">
        <v>326</v>
      </c>
      <c r="K51" s="638" t="s">
        <v>430</v>
      </c>
      <c r="L51" s="638" t="s">
        <v>451</v>
      </c>
      <c r="M51" s="958" t="s">
        <v>358</v>
      </c>
      <c r="N51" s="638" t="s">
        <v>458</v>
      </c>
      <c r="O51" s="638" t="s">
        <v>358</v>
      </c>
      <c r="P51" s="953" t="s">
        <v>459</v>
      </c>
      <c r="Q51" s="953"/>
      <c r="R51" s="953"/>
      <c r="S51" s="952" t="s">
        <v>361</v>
      </c>
      <c r="T51" s="954" t="s">
        <v>433</v>
      </c>
      <c r="V51" s="197"/>
    </row>
    <row r="52" spans="1:25" ht="18" customHeight="1">
      <c r="A52" s="196"/>
      <c r="B52" s="956"/>
      <c r="C52" s="956"/>
      <c r="D52" s="956"/>
      <c r="E52" s="638"/>
      <c r="F52" s="638"/>
      <c r="G52" s="638"/>
      <c r="H52" s="639" t="s">
        <v>494</v>
      </c>
      <c r="I52" s="887"/>
      <c r="J52" s="638"/>
      <c r="K52" s="638"/>
      <c r="L52" s="638"/>
      <c r="M52" s="958"/>
      <c r="N52" s="638"/>
      <c r="O52" s="638"/>
      <c r="P52" s="28" t="s">
        <v>449</v>
      </c>
      <c r="Q52" s="28" t="s">
        <v>326</v>
      </c>
      <c r="R52" s="28" t="s">
        <v>449</v>
      </c>
      <c r="S52" s="952"/>
      <c r="T52" s="954"/>
      <c r="V52" s="112"/>
    </row>
    <row r="53" spans="1:25" ht="18" customHeight="1">
      <c r="A53" s="196"/>
      <c r="C53" s="28"/>
      <c r="D53" s="28"/>
      <c r="E53" s="28"/>
      <c r="F53" s="28"/>
      <c r="G53" s="28"/>
      <c r="H53" s="638"/>
      <c r="I53" s="920"/>
      <c r="J53" s="28"/>
      <c r="K53" s="28"/>
      <c r="L53" s="28"/>
      <c r="M53" s="28"/>
      <c r="N53" s="47"/>
      <c r="O53" s="28"/>
      <c r="V53" s="197"/>
    </row>
    <row r="54" spans="1:25" ht="18" customHeight="1">
      <c r="A54" s="196"/>
      <c r="C54" s="30" t="s">
        <v>537</v>
      </c>
      <c r="R54" s="27" t="s">
        <v>138</v>
      </c>
      <c r="S54" s="639">
        <v>1.2</v>
      </c>
      <c r="T54" s="639"/>
      <c r="V54" s="197"/>
    </row>
    <row r="55" spans="1:25" ht="18" customHeight="1">
      <c r="A55" s="180"/>
      <c r="B55" s="5"/>
      <c r="C55" s="308" t="s">
        <v>526</v>
      </c>
      <c r="D55" s="14"/>
      <c r="E55" s="14"/>
      <c r="F55" s="14"/>
      <c r="G55" s="14"/>
      <c r="H55" s="291"/>
      <c r="I55" s="120"/>
      <c r="J55" s="291"/>
      <c r="K55" s="291"/>
      <c r="L55" s="14"/>
      <c r="M55" s="14"/>
      <c r="N55" s="14"/>
      <c r="O55" s="14"/>
      <c r="P55" s="14"/>
      <c r="Q55" s="256" t="s">
        <v>492</v>
      </c>
      <c r="R55" s="102" t="s">
        <v>138</v>
      </c>
      <c r="S55" s="638">
        <f>S54*S56</f>
        <v>3000</v>
      </c>
      <c r="T55" s="638"/>
      <c r="U55" s="47" t="s">
        <v>9</v>
      </c>
      <c r="V55" s="197"/>
    </row>
    <row r="56" spans="1:25" ht="18" customHeight="1">
      <c r="A56" s="180"/>
      <c r="B56" s="5"/>
      <c r="C56" s="47" t="s">
        <v>527</v>
      </c>
      <c r="D56" s="14"/>
      <c r="E56" s="14"/>
      <c r="F56" s="18"/>
      <c r="G56" s="18"/>
      <c r="H56" s="291"/>
      <c r="I56" s="120"/>
      <c r="J56" s="291"/>
      <c r="K56" s="291"/>
      <c r="L56" s="14"/>
      <c r="M56" s="14"/>
      <c r="N56" s="14"/>
      <c r="O56" s="14"/>
      <c r="P56" s="14"/>
      <c r="Q56" s="256" t="s">
        <v>494</v>
      </c>
      <c r="R56" s="102" t="s">
        <v>138</v>
      </c>
      <c r="S56" s="638">
        <f>H10</f>
        <v>2500</v>
      </c>
      <c r="T56" s="638"/>
      <c r="U56" s="14" t="s">
        <v>9</v>
      </c>
      <c r="V56" s="197"/>
    </row>
    <row r="57" spans="1:25" ht="18" customHeight="1">
      <c r="A57" s="180"/>
      <c r="B57" s="5"/>
      <c r="C57" s="47" t="s">
        <v>528</v>
      </c>
      <c r="D57" s="14"/>
      <c r="E57" s="14"/>
      <c r="F57" s="18"/>
      <c r="G57" s="18"/>
      <c r="H57" s="291"/>
      <c r="I57" s="120"/>
      <c r="J57" s="291"/>
      <c r="K57" s="291"/>
      <c r="L57" s="14"/>
      <c r="M57" s="14"/>
      <c r="N57" s="14"/>
      <c r="O57" s="14"/>
      <c r="P57" s="14"/>
      <c r="Q57" s="256" t="s">
        <v>493</v>
      </c>
      <c r="R57" s="102" t="s">
        <v>138</v>
      </c>
      <c r="S57" s="638">
        <f>O10</f>
        <v>1</v>
      </c>
      <c r="T57" s="638"/>
      <c r="U57" s="30" t="s">
        <v>9</v>
      </c>
      <c r="V57" s="197"/>
    </row>
    <row r="58" spans="1:25" ht="18" customHeight="1">
      <c r="A58" s="180"/>
      <c r="B58" s="5"/>
      <c r="C58" s="47" t="s">
        <v>529</v>
      </c>
      <c r="D58" s="14"/>
      <c r="E58" s="14"/>
      <c r="F58" s="18"/>
      <c r="G58" s="18"/>
      <c r="H58" s="291"/>
      <c r="I58" s="120"/>
      <c r="J58" s="291"/>
      <c r="K58" s="291"/>
      <c r="L58" s="14"/>
      <c r="M58" s="14"/>
      <c r="N58" s="14"/>
      <c r="O58" s="14"/>
      <c r="P58" s="14"/>
      <c r="Q58" s="256" t="s">
        <v>157</v>
      </c>
      <c r="R58" s="102" t="s">
        <v>138</v>
      </c>
      <c r="S58" s="959">
        <f>S32</f>
        <v>1</v>
      </c>
      <c r="T58" s="959"/>
      <c r="U58" s="30" t="s">
        <v>9</v>
      </c>
      <c r="V58" s="197"/>
      <c r="W58" s="291"/>
      <c r="X58" s="291"/>
      <c r="Y58" s="291"/>
    </row>
    <row r="59" spans="1:25" ht="18" customHeight="1">
      <c r="A59" s="180"/>
      <c r="B59" s="5"/>
      <c r="C59" s="308" t="s">
        <v>530</v>
      </c>
      <c r="D59" s="14"/>
      <c r="E59" s="14"/>
      <c r="F59" s="18"/>
      <c r="G59" s="18"/>
      <c r="H59" s="291"/>
      <c r="I59" s="120"/>
      <c r="J59" s="291"/>
      <c r="K59" s="291"/>
      <c r="L59" s="14"/>
      <c r="M59" s="14"/>
      <c r="N59" s="14"/>
      <c r="O59" s="14"/>
      <c r="P59" s="14"/>
      <c r="Q59" s="256" t="s">
        <v>431</v>
      </c>
      <c r="R59" s="102" t="s">
        <v>138</v>
      </c>
      <c r="S59" s="641">
        <f>H12</f>
        <v>10</v>
      </c>
      <c r="T59" s="638"/>
      <c r="U59" s="30" t="s">
        <v>531</v>
      </c>
      <c r="V59" s="197"/>
      <c r="X59" s="291"/>
      <c r="Y59" s="291"/>
    </row>
    <row r="60" spans="1:25" ht="18" customHeight="1">
      <c r="A60" s="180"/>
      <c r="B60" s="5"/>
      <c r="C60" s="308" t="s">
        <v>532</v>
      </c>
      <c r="D60" s="14"/>
      <c r="E60" s="14"/>
      <c r="F60" s="14"/>
      <c r="G60" s="14"/>
      <c r="H60" s="291"/>
      <c r="I60" s="120"/>
      <c r="J60" s="291"/>
      <c r="K60" s="291"/>
      <c r="L60" s="14"/>
      <c r="M60" s="14"/>
      <c r="N60" s="14"/>
      <c r="O60" s="14"/>
      <c r="P60" s="14"/>
      <c r="Q60" s="256" t="s">
        <v>533</v>
      </c>
      <c r="R60" s="102" t="s">
        <v>138</v>
      </c>
      <c r="S60" s="641">
        <f>J22</f>
        <v>1.5398674400000001</v>
      </c>
      <c r="T60" s="638"/>
      <c r="U60" s="30" t="s">
        <v>531</v>
      </c>
      <c r="V60" s="197"/>
      <c r="X60" s="291"/>
      <c r="Y60" s="291"/>
    </row>
    <row r="61" spans="1:25" ht="18" customHeight="1">
      <c r="A61" s="180"/>
      <c r="B61" s="5"/>
      <c r="C61" s="308" t="s">
        <v>534</v>
      </c>
      <c r="D61" s="14"/>
      <c r="E61" s="14"/>
      <c r="F61" s="14"/>
      <c r="G61" s="14"/>
      <c r="H61" s="291"/>
      <c r="I61" s="120"/>
      <c r="J61" s="291"/>
      <c r="K61" s="291"/>
      <c r="L61" s="14"/>
      <c r="M61" s="14"/>
      <c r="N61" s="14"/>
      <c r="O61" s="14"/>
      <c r="P61" s="14"/>
      <c r="Q61" s="256" t="s">
        <v>535</v>
      </c>
      <c r="R61" s="102" t="s">
        <v>138</v>
      </c>
      <c r="S61" s="637">
        <f>J18</f>
        <v>0.02</v>
      </c>
      <c r="T61" s="638"/>
      <c r="U61" s="308" t="s">
        <v>168</v>
      </c>
      <c r="V61" s="197"/>
    </row>
    <row r="62" spans="1:25" ht="18" customHeight="1">
      <c r="A62" s="311"/>
      <c r="B62" s="291"/>
      <c r="C62" s="47"/>
      <c r="D62" s="14"/>
      <c r="E62" s="14"/>
      <c r="F62" s="14"/>
      <c r="G62" s="14"/>
      <c r="H62" s="291"/>
      <c r="I62" s="120"/>
      <c r="J62" s="291"/>
      <c r="K62" s="291"/>
      <c r="L62" s="14"/>
      <c r="M62" s="14"/>
      <c r="N62" s="291"/>
      <c r="O62" s="291"/>
      <c r="P62" s="14"/>
      <c r="Q62" s="120"/>
      <c r="R62" s="14"/>
      <c r="S62" s="291"/>
      <c r="T62" s="291"/>
      <c r="U62" s="291"/>
      <c r="V62" s="312"/>
      <c r="W62" s="291"/>
      <c r="X62" s="291"/>
      <c r="Y62" s="291"/>
    </row>
    <row r="63" spans="1:25" ht="18" customHeight="1">
      <c r="A63" s="196"/>
      <c r="B63" s="639" t="s">
        <v>428</v>
      </c>
      <c r="C63" s="639"/>
      <c r="D63" s="638">
        <f>E51</f>
        <v>20</v>
      </c>
      <c r="E63" s="639" t="s">
        <v>326</v>
      </c>
      <c r="F63" s="638">
        <f>S55</f>
        <v>3000</v>
      </c>
      <c r="G63" s="638"/>
      <c r="H63" s="639" t="s">
        <v>326</v>
      </c>
      <c r="I63" s="701">
        <f>S57</f>
        <v>1</v>
      </c>
      <c r="J63" s="701"/>
      <c r="K63" s="639" t="s">
        <v>326</v>
      </c>
      <c r="L63" s="639" t="s">
        <v>430</v>
      </c>
      <c r="M63" s="1164">
        <f>S59</f>
        <v>10</v>
      </c>
      <c r="N63" s="639" t="s">
        <v>358</v>
      </c>
      <c r="O63" s="637">
        <f>S60</f>
        <v>1.5398674400000001</v>
      </c>
      <c r="P63" s="639" t="s">
        <v>358</v>
      </c>
      <c r="Q63" s="793">
        <f>S61</f>
        <v>0.02</v>
      </c>
      <c r="R63" s="701"/>
      <c r="S63" s="701"/>
      <c r="T63" s="639" t="s">
        <v>361</v>
      </c>
      <c r="V63" s="197"/>
    </row>
    <row r="64" spans="1:25" ht="18" customHeight="1">
      <c r="A64" s="196"/>
      <c r="B64" s="639"/>
      <c r="C64" s="639"/>
      <c r="D64" s="638"/>
      <c r="E64" s="639"/>
      <c r="F64" s="638"/>
      <c r="G64" s="638"/>
      <c r="H64" s="639"/>
      <c r="I64" s="639">
        <f>S56</f>
        <v>2500</v>
      </c>
      <c r="J64" s="639"/>
      <c r="K64" s="639"/>
      <c r="L64" s="639"/>
      <c r="M64" s="1164"/>
      <c r="N64" s="639"/>
      <c r="O64" s="639"/>
      <c r="P64" s="639"/>
      <c r="Q64" s="517">
        <f>S58</f>
        <v>1</v>
      </c>
      <c r="R64" s="27" t="s">
        <v>326</v>
      </c>
      <c r="S64" s="517">
        <f>S58</f>
        <v>1</v>
      </c>
      <c r="T64" s="639"/>
      <c r="V64" s="197"/>
    </row>
    <row r="65" spans="1:27" ht="18" customHeight="1">
      <c r="A65" s="196"/>
      <c r="C65" s="120"/>
      <c r="D65" s="28"/>
      <c r="E65" s="28"/>
      <c r="F65" s="28"/>
      <c r="G65" s="28"/>
      <c r="H65" s="14"/>
      <c r="I65" s="14"/>
      <c r="J65" s="28"/>
      <c r="K65" s="28"/>
      <c r="L65" s="28"/>
      <c r="M65" s="28"/>
      <c r="N65" s="47"/>
      <c r="O65" s="516"/>
      <c r="V65" s="197"/>
    </row>
    <row r="66" spans="1:27" ht="18" customHeight="1">
      <c r="A66" s="196"/>
      <c r="C66" s="27" t="s">
        <v>138</v>
      </c>
      <c r="D66" s="960">
        <f>ROUNDUP(D63*F63*(I63/I64)*(M63+O63+(Q63/(Q64*S64))),2)</f>
        <v>277.44</v>
      </c>
      <c r="E66" s="960"/>
      <c r="F66" s="298" t="s">
        <v>316</v>
      </c>
      <c r="G66" s="27"/>
      <c r="V66" s="197"/>
    </row>
    <row r="67" spans="1:27" ht="18" customHeight="1">
      <c r="A67" s="196"/>
      <c r="V67" s="197"/>
    </row>
    <row r="68" spans="1:27" ht="18" customHeight="1">
      <c r="A68" s="196"/>
      <c r="D68" s="30" t="s">
        <v>538</v>
      </c>
      <c r="L68" s="30" t="s">
        <v>539</v>
      </c>
      <c r="M68" s="519" t="s">
        <v>540</v>
      </c>
      <c r="N68" s="30" t="str">
        <f>CONCATENATE(Y68,X68,D40,Z68,D66,AA68)</f>
        <v>max(104.04,277.44)</v>
      </c>
      <c r="V68" s="197"/>
      <c r="X68" s="30" t="s">
        <v>430</v>
      </c>
      <c r="Y68" s="30" t="s">
        <v>541</v>
      </c>
      <c r="Z68" s="30" t="s">
        <v>542</v>
      </c>
      <c r="AA68" s="30" t="s">
        <v>361</v>
      </c>
    </row>
    <row r="69" spans="1:27" ht="18" customHeight="1">
      <c r="A69" s="196"/>
      <c r="D69" s="14"/>
      <c r="E69"/>
      <c r="F69"/>
      <c r="G69" s="27"/>
      <c r="H69" s="14"/>
      <c r="I69"/>
      <c r="J69"/>
      <c r="K69"/>
      <c r="L69" s="30" t="s">
        <v>539</v>
      </c>
      <c r="M69" s="519" t="s">
        <v>540</v>
      </c>
      <c r="N69" s="637">
        <f>MAX(D66,D40)</f>
        <v>277.44</v>
      </c>
      <c r="O69" s="637"/>
      <c r="V69" s="197"/>
    </row>
    <row r="70" spans="1:27" ht="18" customHeight="1">
      <c r="A70" s="196"/>
      <c r="D70"/>
      <c r="E70" s="939"/>
      <c r="F70" s="639"/>
      <c r="G70" s="27"/>
      <c r="H70" s="637"/>
      <c r="I70" s="639"/>
      <c r="J70"/>
      <c r="K70"/>
      <c r="L70" s="308">
        <f>H13</f>
        <v>325</v>
      </c>
      <c r="M70" s="519" t="s">
        <v>540</v>
      </c>
      <c r="N70" s="637">
        <f>N69</f>
        <v>277.44</v>
      </c>
      <c r="O70" s="637"/>
      <c r="V70" s="197"/>
    </row>
    <row r="71" spans="1:27" ht="18" customHeight="1">
      <c r="A71" s="196"/>
      <c r="D71"/>
      <c r="E71" s="518"/>
      <c r="F71" s="27"/>
      <c r="G71" s="27"/>
      <c r="H71" s="223"/>
      <c r="I71" s="27"/>
      <c r="J71"/>
      <c r="K71"/>
      <c r="L71" s="308"/>
      <c r="M71" s="519"/>
      <c r="N71" s="489"/>
      <c r="V71" s="197"/>
    </row>
    <row r="72" spans="1:27" ht="18" customHeight="1">
      <c r="A72" s="196"/>
      <c r="D72"/>
      <c r="E72"/>
      <c r="F72" s="256" t="s">
        <v>489</v>
      </c>
      <c r="G72"/>
      <c r="H72" s="18" t="str">
        <f>IF(L70&gt;N70,"Suitably Dimensioned","Under Dimensioned")</f>
        <v>Suitably Dimensioned</v>
      </c>
      <c r="I72"/>
      <c r="J72"/>
      <c r="K72"/>
      <c r="L72"/>
      <c r="V72" s="197"/>
    </row>
    <row r="73" spans="1:27" ht="18" customHeight="1">
      <c r="A73" s="196"/>
      <c r="V73" s="197"/>
    </row>
    <row r="74" spans="1:27" ht="18" customHeight="1">
      <c r="A74" s="196"/>
      <c r="V74" s="197"/>
    </row>
    <row r="75" spans="1:27" ht="18" customHeight="1">
      <c r="A75" s="196"/>
      <c r="V75" s="197"/>
    </row>
    <row r="76" spans="1:27" ht="18" customHeight="1">
      <c r="A76" s="196"/>
      <c r="V76" s="197"/>
    </row>
    <row r="77" spans="1:27" ht="18" customHeight="1">
      <c r="A77" s="196"/>
      <c r="V77" s="197"/>
    </row>
    <row r="78" spans="1:27" ht="18" customHeight="1">
      <c r="A78" s="196"/>
      <c r="V78" s="197"/>
    </row>
    <row r="79" spans="1:27" ht="18" customHeight="1">
      <c r="A79" s="196"/>
      <c r="V79" s="197"/>
    </row>
    <row r="80" spans="1:27" ht="18" customHeight="1">
      <c r="A80" s="196"/>
      <c r="V80" s="197"/>
    </row>
    <row r="81" spans="1:22" ht="18" customHeight="1">
      <c r="A81" s="196"/>
      <c r="D81"/>
      <c r="E81"/>
      <c r="F81" s="256"/>
      <c r="G81"/>
      <c r="H81" s="18"/>
      <c r="I81"/>
      <c r="J81"/>
      <c r="K81"/>
      <c r="L81"/>
      <c r="V81" s="197"/>
    </row>
    <row r="82" spans="1:22" ht="18" customHeight="1">
      <c r="A82" s="196"/>
      <c r="V82" s="197"/>
    </row>
    <row r="83" spans="1:22" ht="18" customHeight="1">
      <c r="A83" s="196"/>
      <c r="V83" s="197"/>
    </row>
    <row r="84" spans="1:22" ht="18" customHeight="1">
      <c r="A84" s="196"/>
      <c r="V84" s="197"/>
    </row>
    <row r="85" spans="1:22" ht="18" customHeight="1">
      <c r="A85" s="196"/>
      <c r="D85"/>
      <c r="E85"/>
      <c r="F85" s="256"/>
      <c r="G85"/>
      <c r="H85" s="18"/>
      <c r="I85"/>
      <c r="J85"/>
      <c r="K85"/>
      <c r="L85"/>
      <c r="V85" s="197"/>
    </row>
    <row r="86" spans="1:22" ht="18" customHeight="1">
      <c r="A86" s="196"/>
      <c r="V86" s="197"/>
    </row>
    <row r="87" spans="1:22" ht="18" customHeight="1">
      <c r="A87" s="196"/>
      <c r="V87" s="197"/>
    </row>
    <row r="88" spans="1:22" ht="18" customHeight="1">
      <c r="A88" s="196"/>
      <c r="D88"/>
      <c r="E88"/>
      <c r="F88" s="256"/>
      <c r="G88"/>
      <c r="H88" s="18"/>
      <c r="I88"/>
      <c r="J88"/>
      <c r="K88"/>
      <c r="L88"/>
      <c r="V88" s="197"/>
    </row>
    <row r="89" spans="1:22" ht="18" customHeight="1">
      <c r="A89" s="196"/>
      <c r="D89"/>
      <c r="E89"/>
      <c r="F89" s="256"/>
      <c r="G89"/>
      <c r="H89" s="18"/>
      <c r="I89"/>
      <c r="J89"/>
      <c r="K89"/>
      <c r="L89"/>
      <c r="V89" s="197"/>
    </row>
    <row r="90" spans="1:22" ht="18" customHeight="1">
      <c r="A90" s="196"/>
      <c r="V90" s="197"/>
    </row>
    <row r="91" spans="1:22" ht="18" hidden="1" customHeight="1">
      <c r="A91" s="196"/>
      <c r="V91" s="197"/>
    </row>
    <row r="92" spans="1:22" ht="18" hidden="1" customHeight="1">
      <c r="A92" s="196"/>
      <c r="V92" s="197"/>
    </row>
    <row r="93" spans="1:22" ht="18" hidden="1" customHeight="1">
      <c r="A93" s="196"/>
      <c r="V93" s="197"/>
    </row>
    <row r="94" spans="1:22" ht="18" hidden="1" customHeight="1">
      <c r="A94" s="196"/>
      <c r="V94" s="197"/>
    </row>
    <row r="95" spans="1:22" ht="18" hidden="1" customHeight="1">
      <c r="A95" s="196"/>
      <c r="V95" s="197"/>
    </row>
    <row r="96" spans="1:22" ht="18" hidden="1" customHeight="1">
      <c r="A96" s="196"/>
      <c r="V96" s="197"/>
    </row>
    <row r="97" spans="1:23" ht="18" hidden="1" customHeight="1">
      <c r="A97" s="196"/>
      <c r="V97" s="197"/>
    </row>
    <row r="98" spans="1:23" ht="18" hidden="1" customHeight="1">
      <c r="A98" s="196"/>
      <c r="V98" s="197"/>
    </row>
    <row r="99" spans="1:23" ht="18" hidden="1" customHeight="1">
      <c r="A99" s="196"/>
      <c r="V99" s="197"/>
    </row>
    <row r="100" spans="1:23" ht="18" hidden="1" customHeight="1">
      <c r="A100" s="196"/>
      <c r="V100" s="197"/>
    </row>
    <row r="101" spans="1:23" ht="18" hidden="1" customHeight="1">
      <c r="A101" s="196"/>
      <c r="V101" s="197"/>
    </row>
    <row r="102" spans="1:23" ht="18" hidden="1" customHeight="1">
      <c r="A102" s="196"/>
      <c r="V102" s="197"/>
    </row>
    <row r="103" spans="1:23" s="14" customFormat="1" ht="18" hidden="1" customHeight="1">
      <c r="A103" s="206"/>
      <c r="B103" s="207"/>
      <c r="C103" s="207"/>
      <c r="D103" s="207"/>
      <c r="E103" s="207"/>
      <c r="F103" s="207"/>
      <c r="G103" s="207"/>
      <c r="H103" s="207"/>
      <c r="I103" s="207"/>
      <c r="J103" s="207"/>
      <c r="K103" s="207"/>
      <c r="L103" s="207"/>
      <c r="M103" s="207"/>
      <c r="N103" s="207"/>
      <c r="O103" s="207"/>
      <c r="P103" s="207"/>
      <c r="Q103" s="236"/>
      <c r="R103" s="194"/>
      <c r="S103" s="237"/>
      <c r="T103" s="207"/>
      <c r="U103" s="207"/>
      <c r="V103" s="140" t="s">
        <v>563</v>
      </c>
    </row>
    <row r="104" spans="1:23" ht="18" hidden="1" customHeight="1">
      <c r="A104" s="238"/>
      <c r="B104" s="239"/>
      <c r="C104" s="239"/>
      <c r="D104" s="239"/>
      <c r="E104" s="239"/>
      <c r="F104" s="239"/>
      <c r="G104" s="239"/>
      <c r="H104" s="239"/>
      <c r="I104" s="239"/>
      <c r="J104" s="239"/>
      <c r="K104" s="239"/>
      <c r="L104" s="239"/>
      <c r="M104" s="239"/>
      <c r="N104" s="239"/>
      <c r="O104" s="239"/>
      <c r="P104" s="239"/>
      <c r="Q104" s="239"/>
      <c r="R104" s="239"/>
      <c r="S104" s="239"/>
      <c r="T104" s="239"/>
      <c r="U104" s="239"/>
      <c r="V104" s="240"/>
    </row>
    <row r="105" spans="1:23" ht="18" hidden="1" customHeight="1">
      <c r="A105" s="196"/>
      <c r="B105" s="650" t="str">
        <f>B7</f>
        <v>T1</v>
      </c>
      <c r="C105" s="651"/>
      <c r="D105" s="660" t="str">
        <f>D7</f>
        <v>Core3</v>
      </c>
      <c r="E105" s="623"/>
      <c r="F105" s="468"/>
      <c r="H105" s="639" t="str">
        <f>H7</f>
        <v>(OC+BCPU+FMS)</v>
      </c>
      <c r="I105" s="639"/>
      <c r="J105" s="639"/>
      <c r="K105" s="639"/>
      <c r="L105" s="639"/>
      <c r="M105" s="639"/>
      <c r="P105" s="198"/>
      <c r="S105" s="199" t="s">
        <v>398</v>
      </c>
      <c r="T105" s="658" t="str">
        <f>T7</f>
        <v>REC670</v>
      </c>
      <c r="U105" s="659"/>
      <c r="V105" s="197"/>
    </row>
    <row r="106" spans="1:23" ht="18" hidden="1" customHeight="1">
      <c r="A106" s="469"/>
      <c r="F106" s="468"/>
      <c r="T106" s="658" t="str">
        <f>T8</f>
        <v>REF615</v>
      </c>
      <c r="U106" s="659"/>
      <c r="V106" s="197"/>
    </row>
    <row r="107" spans="1:23" ht="18" hidden="1" customHeight="1">
      <c r="A107" s="196"/>
      <c r="H107" s="661" t="s">
        <v>401</v>
      </c>
      <c r="I107" s="661"/>
      <c r="J107" s="662" t="s">
        <v>402</v>
      </c>
      <c r="K107" s="662"/>
      <c r="L107" s="701" t="s">
        <v>403</v>
      </c>
      <c r="M107" s="701"/>
      <c r="T107" s="658" t="str">
        <f>T9</f>
        <v>FMS</v>
      </c>
      <c r="U107" s="659"/>
      <c r="V107" s="197"/>
    </row>
    <row r="108" spans="1:23" ht="18" hidden="1" customHeight="1">
      <c r="A108" s="196"/>
      <c r="B108" s="47" t="s">
        <v>404</v>
      </c>
      <c r="H108" s="650">
        <f>H10</f>
        <v>2500</v>
      </c>
      <c r="I108" s="651"/>
      <c r="J108" s="652" t="str">
        <f>J10</f>
        <v>-</v>
      </c>
      <c r="K108" s="653"/>
      <c r="L108" s="650" t="str">
        <f>L10</f>
        <v>-</v>
      </c>
      <c r="M108" s="651"/>
      <c r="N108" s="203" t="s">
        <v>353</v>
      </c>
      <c r="O108" s="268">
        <f>O10</f>
        <v>1</v>
      </c>
      <c r="P108" s="27" t="s">
        <v>9</v>
      </c>
      <c r="R108" s="267"/>
      <c r="S108" s="267"/>
      <c r="V108" s="197"/>
    </row>
    <row r="109" spans="1:23" ht="18" hidden="1" customHeight="1">
      <c r="A109" s="196"/>
      <c r="B109" s="47" t="s">
        <v>405</v>
      </c>
      <c r="J109" s="650" t="str">
        <f>H11</f>
        <v>PX</v>
      </c>
      <c r="K109" s="651"/>
      <c r="V109" s="197"/>
    </row>
    <row r="110" spans="1:23" ht="18" hidden="1" customHeight="1">
      <c r="A110" s="196"/>
      <c r="B110" s="47" t="s">
        <v>407</v>
      </c>
      <c r="I110" s="120" t="s">
        <v>508</v>
      </c>
      <c r="J110" s="940">
        <v>12</v>
      </c>
      <c r="K110" s="941"/>
      <c r="L110" s="204" t="s">
        <v>344</v>
      </c>
      <c r="V110" s="197"/>
    </row>
    <row r="111" spans="1:23" ht="18" hidden="1" customHeight="1">
      <c r="A111" s="196"/>
      <c r="B111" s="47" t="s">
        <v>409</v>
      </c>
      <c r="I111" s="120" t="s">
        <v>509</v>
      </c>
      <c r="J111" s="940">
        <v>1200</v>
      </c>
      <c r="K111" s="941"/>
      <c r="L111" s="14" t="s">
        <v>316</v>
      </c>
      <c r="T111" s="307"/>
      <c r="U111" s="18"/>
      <c r="V111" s="197"/>
      <c r="W111" s="30" t="e">
        <f>G159</f>
        <v>#VALUE!</v>
      </c>
    </row>
    <row r="112" spans="1:23" ht="18" hidden="1" customHeight="1">
      <c r="A112" s="196"/>
      <c r="B112" s="14" t="s">
        <v>412</v>
      </c>
      <c r="I112" s="120" t="s">
        <v>413</v>
      </c>
      <c r="J112" s="940">
        <v>50</v>
      </c>
      <c r="K112" s="941"/>
      <c r="L112" s="14" t="s">
        <v>414</v>
      </c>
      <c r="V112" s="197"/>
    </row>
    <row r="113" spans="1:22" ht="18" hidden="1" customHeight="1">
      <c r="A113" s="196"/>
      <c r="V113" s="197"/>
    </row>
    <row r="114" spans="1:22" ht="18" hidden="1" customHeight="1">
      <c r="A114" s="205" t="s">
        <v>415</v>
      </c>
      <c r="V114" s="197"/>
    </row>
    <row r="115" spans="1:22" ht="18" hidden="1" customHeight="1">
      <c r="A115" s="196"/>
      <c r="V115" s="197"/>
    </row>
    <row r="116" spans="1:22" ht="18" hidden="1" customHeight="1">
      <c r="A116" s="196"/>
      <c r="B116" s="141" t="s">
        <v>416</v>
      </c>
      <c r="C116" s="285"/>
      <c r="D116" s="146" t="str">
        <f>T105</f>
        <v>REC670</v>
      </c>
      <c r="E116" s="239"/>
      <c r="F116" s="239"/>
      <c r="G116" s="239"/>
      <c r="H116" s="145"/>
      <c r="I116" s="272" t="s">
        <v>138</v>
      </c>
      <c r="J116" s="648">
        <f>J18</f>
        <v>0.02</v>
      </c>
      <c r="K116" s="649"/>
      <c r="L116" s="3" t="s">
        <v>168</v>
      </c>
      <c r="N116" s="209" t="s">
        <v>521</v>
      </c>
      <c r="V116" s="197"/>
    </row>
    <row r="117" spans="1:22" ht="18" hidden="1" customHeight="1">
      <c r="A117" s="196"/>
      <c r="B117" s="96" t="s">
        <v>416</v>
      </c>
      <c r="C117" s="14"/>
      <c r="D117" s="47" t="str">
        <f>T106</f>
        <v>REF615</v>
      </c>
      <c r="H117" s="28"/>
      <c r="I117" s="101" t="s">
        <v>138</v>
      </c>
      <c r="J117" s="648">
        <f>J19</f>
        <v>0.02</v>
      </c>
      <c r="K117" s="649"/>
      <c r="L117" s="3" t="s">
        <v>168</v>
      </c>
      <c r="N117" s="120" t="s">
        <v>502</v>
      </c>
      <c r="O117" s="27" t="s">
        <v>138</v>
      </c>
      <c r="P117" s="27" t="s">
        <v>522</v>
      </c>
      <c r="Q117" s="27" t="s">
        <v>326</v>
      </c>
      <c r="R117" s="27" t="s">
        <v>522</v>
      </c>
      <c r="S117" s="27" t="s">
        <v>326</v>
      </c>
      <c r="T117" s="27" t="s">
        <v>431</v>
      </c>
      <c r="V117" s="197"/>
    </row>
    <row r="118" spans="1:22" ht="18" hidden="1" customHeight="1">
      <c r="A118" s="196"/>
      <c r="B118" s="96" t="s">
        <v>416</v>
      </c>
      <c r="C118" s="14"/>
      <c r="D118" s="47" t="str">
        <f>T107</f>
        <v>FMS</v>
      </c>
      <c r="H118" s="28"/>
      <c r="I118" s="101" t="s">
        <v>138</v>
      </c>
      <c r="J118" s="648">
        <f>J20</f>
        <v>5.8000000000000003E-2</v>
      </c>
      <c r="K118" s="649"/>
      <c r="L118" s="3" t="s">
        <v>168</v>
      </c>
      <c r="N118" s="27"/>
      <c r="O118" s="27" t="s">
        <v>138</v>
      </c>
      <c r="P118" s="27">
        <f>O108</f>
        <v>1</v>
      </c>
      <c r="Q118" s="27" t="s">
        <v>326</v>
      </c>
      <c r="R118" s="27">
        <f>O108</f>
        <v>1</v>
      </c>
      <c r="S118" s="27" t="s">
        <v>326</v>
      </c>
      <c r="T118" s="27">
        <f>J110</f>
        <v>12</v>
      </c>
      <c r="V118" s="197"/>
    </row>
    <row r="119" spans="1:22" ht="18" hidden="1" customHeight="1">
      <c r="A119" s="196"/>
      <c r="B119" s="465" t="s">
        <v>423</v>
      </c>
      <c r="C119" s="271"/>
      <c r="D119" s="271"/>
      <c r="E119" s="271"/>
      <c r="F119" s="219"/>
      <c r="G119" s="219"/>
      <c r="H119" s="202"/>
      <c r="I119" s="220" t="s">
        <v>138</v>
      </c>
      <c r="J119" s="646">
        <f>J21</f>
        <v>1.44186744</v>
      </c>
      <c r="K119" s="647"/>
      <c r="L119" s="309" t="s">
        <v>168</v>
      </c>
      <c r="O119" s="27" t="s">
        <v>138</v>
      </c>
      <c r="P119" s="637">
        <f>P118*R118*T118</f>
        <v>12</v>
      </c>
      <c r="Q119" s="639"/>
      <c r="R119" s="27" t="s">
        <v>168</v>
      </c>
      <c r="V119" s="197"/>
    </row>
    <row r="120" spans="1:22" ht="18" hidden="1" customHeight="1">
      <c r="A120" s="196"/>
      <c r="B120" s="1" t="s">
        <v>424</v>
      </c>
      <c r="C120" s="2"/>
      <c r="D120" s="2"/>
      <c r="E120" s="2"/>
      <c r="F120" s="208"/>
      <c r="G120" s="208"/>
      <c r="H120" s="236" t="s">
        <v>523</v>
      </c>
      <c r="I120" s="195" t="s">
        <v>138</v>
      </c>
      <c r="J120" s="648">
        <f>SUM(J116:J119)</f>
        <v>1.5398674400000001</v>
      </c>
      <c r="K120" s="649"/>
      <c r="L120" s="3" t="s">
        <v>168</v>
      </c>
      <c r="V120" s="197"/>
    </row>
    <row r="121" spans="1:22" ht="18" hidden="1" customHeight="1">
      <c r="A121" s="196"/>
      <c r="B121" s="47"/>
      <c r="C121" s="47"/>
      <c r="D121" s="47"/>
      <c r="E121" s="47"/>
      <c r="H121" s="27"/>
      <c r="I121" s="28"/>
      <c r="J121" s="211"/>
      <c r="L121" s="47"/>
      <c r="S121" s="27"/>
      <c r="V121" s="197"/>
    </row>
    <row r="122" spans="1:22" ht="18" hidden="1" customHeight="1">
      <c r="A122" s="964" t="s">
        <v>547</v>
      </c>
      <c r="B122" s="965"/>
      <c r="C122" s="965"/>
      <c r="D122" s="965"/>
      <c r="E122" s="965"/>
      <c r="F122" s="965"/>
      <c r="G122" s="965"/>
      <c r="H122" s="965"/>
      <c r="I122" s="965"/>
      <c r="J122" s="965"/>
      <c r="K122" s="965"/>
      <c r="L122" s="965"/>
      <c r="M122" s="965"/>
      <c r="N122" s="965"/>
      <c r="O122" s="965"/>
      <c r="P122" s="965"/>
      <c r="Q122" s="965"/>
      <c r="R122" s="965"/>
      <c r="S122" s="965"/>
      <c r="T122" s="965"/>
      <c r="U122" s="965"/>
      <c r="V122" s="966"/>
    </row>
    <row r="123" spans="1:22" ht="18" hidden="1" customHeight="1">
      <c r="A123" s="967"/>
      <c r="B123" s="965"/>
      <c r="C123" s="965"/>
      <c r="D123" s="965"/>
      <c r="E123" s="965"/>
      <c r="F123" s="965"/>
      <c r="G123" s="965"/>
      <c r="H123" s="965"/>
      <c r="I123" s="965"/>
      <c r="J123" s="965"/>
      <c r="K123" s="965"/>
      <c r="L123" s="965"/>
      <c r="M123" s="965"/>
      <c r="N123" s="965"/>
      <c r="O123" s="965"/>
      <c r="P123" s="965"/>
      <c r="Q123" s="965"/>
      <c r="R123" s="965"/>
      <c r="S123" s="965"/>
      <c r="T123" s="965"/>
      <c r="U123" s="965"/>
      <c r="V123" s="966"/>
    </row>
    <row r="124" spans="1:22" ht="18" hidden="1" customHeight="1">
      <c r="A124" s="196"/>
      <c r="Q124" s="223"/>
      <c r="R124" s="204"/>
      <c r="V124" s="197"/>
    </row>
    <row r="125" spans="1:22" ht="18" hidden="1" customHeight="1">
      <c r="A125" s="196"/>
      <c r="C125" s="14" t="s">
        <v>484</v>
      </c>
      <c r="D125" s="28" t="s">
        <v>138</v>
      </c>
      <c r="E125" s="28" t="s">
        <v>548</v>
      </c>
      <c r="F125" s="120" t="s">
        <v>504</v>
      </c>
      <c r="G125" s="28" t="s">
        <v>358</v>
      </c>
      <c r="H125" s="120" t="s">
        <v>502</v>
      </c>
      <c r="I125" s="28" t="s">
        <v>549</v>
      </c>
      <c r="J125" s="28" t="s">
        <v>506</v>
      </c>
      <c r="K125" s="28" t="s">
        <v>550</v>
      </c>
      <c r="L125" s="28" t="s">
        <v>522</v>
      </c>
      <c r="M125" s="28" t="s">
        <v>326</v>
      </c>
      <c r="N125" s="28">
        <v>1.3</v>
      </c>
      <c r="O125" s="47" t="s">
        <v>361</v>
      </c>
      <c r="V125" s="197"/>
    </row>
    <row r="126" spans="1:22" ht="18" hidden="1" customHeight="1">
      <c r="A126" s="196" t="s">
        <v>551</v>
      </c>
      <c r="C126" s="14"/>
      <c r="D126" s="28"/>
      <c r="E126" s="14"/>
      <c r="F126" s="14"/>
      <c r="G126" s="14"/>
      <c r="H126" s="14"/>
      <c r="I126" s="14"/>
      <c r="J126" s="14"/>
      <c r="K126" s="14"/>
      <c r="L126" s="14"/>
      <c r="M126" s="14"/>
      <c r="N126" s="14"/>
      <c r="O126" s="14"/>
      <c r="V126" s="197"/>
    </row>
    <row r="127" spans="1:22" ht="18" hidden="1" customHeight="1">
      <c r="A127" s="196"/>
      <c r="C127" s="120" t="s">
        <v>504</v>
      </c>
      <c r="D127" s="28" t="s">
        <v>138</v>
      </c>
      <c r="E127" s="28" t="s">
        <v>548</v>
      </c>
      <c r="F127" s="28">
        <v>1.3</v>
      </c>
      <c r="G127" s="28" t="s">
        <v>326</v>
      </c>
      <c r="H127" s="638" t="s">
        <v>484</v>
      </c>
      <c r="I127" s="920"/>
      <c r="J127" s="28" t="s">
        <v>326</v>
      </c>
      <c r="K127" s="28" t="s">
        <v>522</v>
      </c>
      <c r="L127" s="28" t="s">
        <v>552</v>
      </c>
      <c r="M127" s="28" t="s">
        <v>506</v>
      </c>
      <c r="N127" s="47" t="s">
        <v>553</v>
      </c>
      <c r="O127" s="120" t="s">
        <v>502</v>
      </c>
      <c r="V127" s="197"/>
    </row>
    <row r="128" spans="1:22" ht="18" hidden="1" customHeight="1">
      <c r="A128" s="196"/>
      <c r="V128" s="197"/>
    </row>
    <row r="129" spans="1:25" ht="18" hidden="1" customHeight="1">
      <c r="A129" s="180"/>
      <c r="B129" s="5"/>
      <c r="C129" s="47" t="s">
        <v>554</v>
      </c>
      <c r="D129" s="14"/>
      <c r="E129" s="14"/>
      <c r="F129" s="14"/>
      <c r="G129" s="14"/>
      <c r="H129" s="291"/>
      <c r="I129" s="120"/>
      <c r="J129" s="291"/>
      <c r="K129" s="291"/>
      <c r="L129" s="14"/>
      <c r="M129" s="14"/>
      <c r="N129" s="14"/>
      <c r="O129" s="14"/>
      <c r="P129" s="14"/>
      <c r="Q129" s="120" t="s">
        <v>555</v>
      </c>
      <c r="R129" s="102" t="s">
        <v>138</v>
      </c>
      <c r="S129" s="638">
        <f>S29</f>
        <v>15000</v>
      </c>
      <c r="T129" s="638"/>
      <c r="U129" s="47" t="s">
        <v>9</v>
      </c>
      <c r="V129" s="197"/>
    </row>
    <row r="130" spans="1:25" ht="18" hidden="1" customHeight="1">
      <c r="A130" s="180"/>
      <c r="B130" s="5"/>
      <c r="C130" s="47" t="s">
        <v>556</v>
      </c>
      <c r="D130" s="14"/>
      <c r="E130" s="14"/>
      <c r="F130" s="18"/>
      <c r="G130" s="18"/>
      <c r="H130" s="291"/>
      <c r="I130" s="120"/>
      <c r="J130" s="291"/>
      <c r="K130" s="291"/>
      <c r="L130" s="14"/>
      <c r="M130" s="14"/>
      <c r="N130" s="14"/>
      <c r="O130" s="14"/>
      <c r="P130" s="14"/>
      <c r="Q130" s="120" t="s">
        <v>434</v>
      </c>
      <c r="R130" s="102" t="s">
        <v>138</v>
      </c>
      <c r="S130" s="638" t="str">
        <f>J108</f>
        <v>-</v>
      </c>
      <c r="T130" s="638"/>
      <c r="U130" s="14" t="s">
        <v>9</v>
      </c>
      <c r="V130" s="197"/>
    </row>
    <row r="131" spans="1:25" ht="18" hidden="1" customHeight="1">
      <c r="A131" s="180"/>
      <c r="B131" s="5"/>
      <c r="C131" s="47" t="s">
        <v>557</v>
      </c>
      <c r="D131" s="14"/>
      <c r="E131" s="14"/>
      <c r="F131" s="18"/>
      <c r="G131" s="18"/>
      <c r="H131" s="291"/>
      <c r="I131" s="120"/>
      <c r="J131" s="291"/>
      <c r="K131" s="291"/>
      <c r="L131" s="14"/>
      <c r="M131" s="14"/>
      <c r="N131" s="14"/>
      <c r="O131" s="14"/>
      <c r="P131" s="14"/>
      <c r="Q131" s="120" t="s">
        <v>484</v>
      </c>
      <c r="R131" s="102" t="s">
        <v>138</v>
      </c>
      <c r="S131" s="638">
        <f>J111</f>
        <v>1200</v>
      </c>
      <c r="T131" s="638"/>
      <c r="U131" s="14" t="s">
        <v>316</v>
      </c>
      <c r="V131" s="197"/>
    </row>
    <row r="132" spans="1:25" ht="18" hidden="1" customHeight="1">
      <c r="A132" s="180"/>
      <c r="B132" s="5"/>
      <c r="C132" s="47" t="s">
        <v>558</v>
      </c>
      <c r="D132" s="14"/>
      <c r="E132" s="14"/>
      <c r="F132" s="18"/>
      <c r="G132" s="18"/>
      <c r="H132" s="291"/>
      <c r="I132" s="120"/>
      <c r="J132" s="291"/>
      <c r="K132" s="291"/>
      <c r="L132" s="14"/>
      <c r="M132" s="14"/>
      <c r="N132" s="14"/>
      <c r="O132" s="14"/>
      <c r="P132" s="14"/>
      <c r="Q132" s="120" t="s">
        <v>502</v>
      </c>
      <c r="R132" s="102" t="s">
        <v>138</v>
      </c>
      <c r="S132" s="641">
        <f>P119</f>
        <v>12</v>
      </c>
      <c r="T132" s="638"/>
      <c r="U132" s="14" t="s">
        <v>168</v>
      </c>
      <c r="V132" s="197"/>
      <c r="W132" s="291"/>
      <c r="X132" s="291"/>
      <c r="Y132" s="291"/>
    </row>
    <row r="133" spans="1:25" ht="18" hidden="1" customHeight="1">
      <c r="A133" s="180"/>
      <c r="B133" s="5"/>
      <c r="C133" s="47" t="s">
        <v>559</v>
      </c>
      <c r="D133" s="14"/>
      <c r="E133" s="14"/>
      <c r="F133" s="18"/>
      <c r="G133" s="18"/>
      <c r="H133" s="291"/>
      <c r="I133" s="120"/>
      <c r="J133" s="291"/>
      <c r="K133" s="291"/>
      <c r="L133" s="14"/>
      <c r="M133" s="14"/>
      <c r="N133" s="14"/>
      <c r="O133" s="14"/>
      <c r="P133" s="14"/>
      <c r="Q133" s="120" t="s">
        <v>523</v>
      </c>
      <c r="R133" s="102" t="s">
        <v>138</v>
      </c>
      <c r="S133" s="641">
        <f>J120</f>
        <v>1.5398674400000001</v>
      </c>
      <c r="T133" s="638"/>
      <c r="U133" s="14" t="s">
        <v>168</v>
      </c>
      <c r="V133" s="197"/>
      <c r="X133" s="291"/>
      <c r="Y133" s="291"/>
    </row>
    <row r="134" spans="1:25" ht="18" hidden="1" customHeight="1">
      <c r="A134" s="180"/>
      <c r="B134" s="5"/>
      <c r="C134" s="47" t="s">
        <v>560</v>
      </c>
      <c r="D134" s="14"/>
      <c r="E134" s="14"/>
      <c r="F134" s="14"/>
      <c r="G134" s="14"/>
      <c r="H134" s="291"/>
      <c r="I134" s="120"/>
      <c r="J134" s="291"/>
      <c r="K134" s="291"/>
      <c r="L134" s="14"/>
      <c r="M134" s="14"/>
      <c r="N134" s="14"/>
      <c r="O134" s="14"/>
      <c r="P134" s="14"/>
      <c r="Q134" s="120" t="s">
        <v>522</v>
      </c>
      <c r="R134" s="102" t="s">
        <v>138</v>
      </c>
      <c r="S134" s="638">
        <f>O108</f>
        <v>1</v>
      </c>
      <c r="T134" s="638"/>
      <c r="U134" s="14" t="s">
        <v>9</v>
      </c>
      <c r="V134" s="197"/>
      <c r="X134" s="291"/>
      <c r="Y134" s="291"/>
    </row>
    <row r="135" spans="1:25" ht="18" hidden="1" customHeight="1">
      <c r="A135" s="180"/>
      <c r="B135" s="5"/>
      <c r="C135" s="47" t="s">
        <v>561</v>
      </c>
      <c r="D135" s="14"/>
      <c r="E135" s="14"/>
      <c r="F135" s="14"/>
      <c r="G135" s="14"/>
      <c r="H135" s="291"/>
      <c r="I135" s="120"/>
      <c r="J135" s="291"/>
      <c r="K135" s="291"/>
      <c r="L135" s="14"/>
      <c r="M135" s="14"/>
      <c r="N135" s="14"/>
      <c r="O135" s="14"/>
      <c r="P135" s="14"/>
      <c r="Q135" s="120" t="s">
        <v>506</v>
      </c>
      <c r="R135" s="102" t="s">
        <v>138</v>
      </c>
      <c r="S135" s="638">
        <v>20</v>
      </c>
      <c r="T135" s="638"/>
      <c r="U135" s="47"/>
      <c r="V135" s="197"/>
    </row>
    <row r="136" spans="1:25" ht="18" hidden="1" customHeight="1">
      <c r="A136" s="311"/>
      <c r="B136" s="291"/>
      <c r="C136" s="47" t="s">
        <v>562</v>
      </c>
      <c r="D136" s="14"/>
      <c r="E136" s="14"/>
      <c r="F136" s="14"/>
      <c r="G136" s="14"/>
      <c r="H136" s="291"/>
      <c r="I136" s="120"/>
      <c r="J136" s="291"/>
      <c r="K136" s="291"/>
      <c r="L136" s="14"/>
      <c r="M136" s="14"/>
      <c r="N136" s="291"/>
      <c r="O136" s="291"/>
      <c r="P136" s="14"/>
      <c r="Q136" s="120" t="s">
        <v>504</v>
      </c>
      <c r="R136" s="14"/>
      <c r="S136" s="291"/>
      <c r="T136" s="291"/>
      <c r="U136" s="291"/>
      <c r="V136" s="312"/>
      <c r="W136" s="291"/>
      <c r="X136" s="291"/>
      <c r="Y136" s="291"/>
    </row>
    <row r="137" spans="1:25" ht="18" hidden="1" customHeight="1">
      <c r="A137" s="196"/>
      <c r="V137" s="197"/>
    </row>
    <row r="138" spans="1:25" ht="18" hidden="1" customHeight="1">
      <c r="A138" s="196"/>
      <c r="C138" s="120" t="s">
        <v>504</v>
      </c>
      <c r="D138" s="28" t="s">
        <v>138</v>
      </c>
      <c r="E138" s="28" t="s">
        <v>548</v>
      </c>
      <c r="F138" s="28">
        <v>1.3</v>
      </c>
      <c r="G138" s="28" t="s">
        <v>326</v>
      </c>
      <c r="H138" s="638" t="s">
        <v>484</v>
      </c>
      <c r="I138" s="920"/>
      <c r="J138" s="28" t="s">
        <v>326</v>
      </c>
      <c r="K138" s="28" t="s">
        <v>522</v>
      </c>
      <c r="L138" s="28" t="s">
        <v>552</v>
      </c>
      <c r="M138" s="28" t="s">
        <v>506</v>
      </c>
      <c r="N138" s="47" t="s">
        <v>553</v>
      </c>
      <c r="O138" s="120" t="s">
        <v>502</v>
      </c>
      <c r="V138" s="197"/>
    </row>
    <row r="139" spans="1:25" ht="18" hidden="1" customHeight="1">
      <c r="A139" s="196"/>
      <c r="C139" s="120" t="s">
        <v>504</v>
      </c>
      <c r="D139" s="28" t="s">
        <v>138</v>
      </c>
      <c r="E139" s="28" t="s">
        <v>548</v>
      </c>
      <c r="F139" s="28">
        <v>1.3</v>
      </c>
      <c r="G139" s="28" t="s">
        <v>326</v>
      </c>
      <c r="H139" s="638">
        <f>S131</f>
        <v>1200</v>
      </c>
      <c r="I139" s="920"/>
      <c r="J139" s="28" t="s">
        <v>326</v>
      </c>
      <c r="K139" s="28">
        <f>S134</f>
        <v>1</v>
      </c>
      <c r="L139" s="28" t="s">
        <v>552</v>
      </c>
      <c r="M139" s="28">
        <f>S135</f>
        <v>20</v>
      </c>
      <c r="N139" s="47" t="s">
        <v>553</v>
      </c>
      <c r="O139" s="516">
        <f>S132</f>
        <v>12</v>
      </c>
      <c r="V139" s="197"/>
    </row>
    <row r="140" spans="1:25" ht="18" hidden="1" customHeight="1">
      <c r="A140" s="196"/>
      <c r="D140" s="27" t="s">
        <v>138</v>
      </c>
      <c r="E140" s="639">
        <f>((F139*H139*K139)/M139)-O139</f>
        <v>66</v>
      </c>
      <c r="F140" s="639"/>
      <c r="G140" s="27" t="s">
        <v>168</v>
      </c>
      <c r="V140" s="197"/>
    </row>
    <row r="141" spans="1:25" ht="18" hidden="1" customHeight="1">
      <c r="A141" s="196"/>
      <c r="D141" s="27"/>
      <c r="E141" s="27"/>
      <c r="F141" s="27"/>
      <c r="G141" s="27"/>
      <c r="V141" s="197"/>
    </row>
    <row r="142" spans="1:25" ht="18" hidden="1" customHeight="1">
      <c r="A142" s="196"/>
      <c r="D142" s="27"/>
      <c r="E142" s="27"/>
      <c r="F142" s="27"/>
      <c r="G142" s="27"/>
      <c r="V142" s="197"/>
    </row>
    <row r="143" spans="1:25" ht="18" hidden="1" customHeight="1">
      <c r="A143" s="196"/>
      <c r="D143" s="27"/>
      <c r="E143" s="27"/>
      <c r="F143" s="27"/>
      <c r="G143" s="27"/>
      <c r="V143" s="197"/>
    </row>
    <row r="144" spans="1:25" ht="18" hidden="1" customHeight="1">
      <c r="A144" s="196"/>
      <c r="D144" s="27"/>
      <c r="E144" s="27"/>
      <c r="F144" s="27"/>
      <c r="G144" s="27"/>
      <c r="V144" s="197"/>
    </row>
    <row r="145" spans="1:22" ht="18" hidden="1" customHeight="1">
      <c r="A145" s="196"/>
      <c r="D145" s="27"/>
      <c r="E145" s="27"/>
      <c r="F145" s="27"/>
      <c r="G145" s="27"/>
      <c r="V145" s="197"/>
    </row>
    <row r="146" spans="1:22" ht="18" hidden="1" customHeight="1">
      <c r="A146" s="196"/>
      <c r="V146" s="197"/>
    </row>
    <row r="147" spans="1:22" s="14" customFormat="1" ht="18" hidden="1" customHeight="1">
      <c r="A147" s="206"/>
      <c r="B147" s="207"/>
      <c r="C147" s="207"/>
      <c r="D147" s="207"/>
      <c r="E147" s="207"/>
      <c r="F147" s="207"/>
      <c r="G147" s="207"/>
      <c r="H147" s="207"/>
      <c r="I147" s="207"/>
      <c r="J147" s="207"/>
      <c r="K147" s="207"/>
      <c r="L147" s="207"/>
      <c r="M147" s="207"/>
      <c r="N147" s="207"/>
      <c r="O147" s="207"/>
      <c r="P147" s="207"/>
      <c r="Q147" s="236"/>
      <c r="R147" s="194"/>
      <c r="S147" s="237"/>
      <c r="T147" s="207"/>
      <c r="U147" s="207"/>
      <c r="V147" s="140" t="s">
        <v>563</v>
      </c>
    </row>
    <row r="148" spans="1:22" ht="18" hidden="1" customHeight="1">
      <c r="A148" s="238"/>
      <c r="B148" s="239"/>
      <c r="C148" s="239"/>
      <c r="D148" s="239"/>
      <c r="E148" s="239"/>
      <c r="F148" s="239"/>
      <c r="G148" s="239"/>
      <c r="H148" s="239"/>
      <c r="I148" s="239"/>
      <c r="J148" s="239"/>
      <c r="K148" s="239"/>
      <c r="L148" s="239"/>
      <c r="M148" s="239"/>
      <c r="N148" s="239"/>
      <c r="O148" s="239"/>
      <c r="P148" s="239"/>
      <c r="Q148" s="239"/>
      <c r="R148" s="239"/>
      <c r="S148" s="239"/>
      <c r="T148" s="239"/>
      <c r="U148" s="239"/>
      <c r="V148" s="240"/>
    </row>
    <row r="149" spans="1:22" ht="18" hidden="1" customHeight="1">
      <c r="A149" s="196"/>
      <c r="E149" s="256" t="s">
        <v>123</v>
      </c>
      <c r="F149" s="27" t="s">
        <v>138</v>
      </c>
      <c r="G149" s="638" t="s">
        <v>555</v>
      </c>
      <c r="H149" s="638"/>
      <c r="I149" s="203" t="s">
        <v>353</v>
      </c>
      <c r="J149" s="639" t="s">
        <v>434</v>
      </c>
      <c r="K149" s="639"/>
      <c r="V149" s="197"/>
    </row>
    <row r="150" spans="1:22" ht="18" hidden="1" customHeight="1">
      <c r="A150" s="196"/>
      <c r="F150" s="27" t="s">
        <v>138</v>
      </c>
      <c r="G150" s="639">
        <f>S129</f>
        <v>15000</v>
      </c>
      <c r="H150" s="639"/>
      <c r="I150" s="203" t="s">
        <v>353</v>
      </c>
      <c r="J150" s="639" t="str">
        <f>S130</f>
        <v>-</v>
      </c>
      <c r="K150" s="639"/>
      <c r="V150" s="197"/>
    </row>
    <row r="151" spans="1:22" ht="18" hidden="1" customHeight="1">
      <c r="A151" s="196"/>
      <c r="F151" s="27" t="s">
        <v>138</v>
      </c>
      <c r="G151" s="637" t="e">
        <f>G150/J150</f>
        <v>#VALUE!</v>
      </c>
      <c r="H151" s="637"/>
      <c r="I151" s="27"/>
      <c r="J151" s="27"/>
      <c r="K151" s="27"/>
      <c r="V151" s="197"/>
    </row>
    <row r="152" spans="1:22" ht="18" hidden="1" customHeight="1">
      <c r="A152" s="196"/>
      <c r="V152" s="197"/>
    </row>
    <row r="153" spans="1:22" ht="18" hidden="1" customHeight="1">
      <c r="A153" s="196"/>
      <c r="E153" s="256" t="s">
        <v>564</v>
      </c>
      <c r="F153" s="27" t="s">
        <v>138</v>
      </c>
      <c r="G153" s="27" t="s">
        <v>506</v>
      </c>
      <c r="H153" s="27" t="s">
        <v>565</v>
      </c>
      <c r="I153" s="120" t="s">
        <v>502</v>
      </c>
      <c r="J153" s="28" t="s">
        <v>358</v>
      </c>
      <c r="K153" s="120" t="s">
        <v>504</v>
      </c>
      <c r="L153" s="28" t="s">
        <v>550</v>
      </c>
      <c r="M153" s="120" t="s">
        <v>502</v>
      </c>
      <c r="N153" s="28" t="s">
        <v>358</v>
      </c>
      <c r="O153" s="120" t="s">
        <v>523</v>
      </c>
      <c r="P153" s="308" t="s">
        <v>361</v>
      </c>
      <c r="V153" s="197"/>
    </row>
    <row r="154" spans="1:22" ht="18" hidden="1" customHeight="1">
      <c r="A154" s="196"/>
      <c r="F154" s="27" t="s">
        <v>138</v>
      </c>
      <c r="G154" s="254">
        <f>S135</f>
        <v>20</v>
      </c>
      <c r="H154" s="257" t="s">
        <v>565</v>
      </c>
      <c r="I154" s="313">
        <f>S132</f>
        <v>12</v>
      </c>
      <c r="J154" s="257" t="s">
        <v>358</v>
      </c>
      <c r="K154" s="313">
        <f>E140</f>
        <v>66</v>
      </c>
      <c r="L154" s="257" t="s">
        <v>550</v>
      </c>
      <c r="M154" s="313">
        <f>S132</f>
        <v>12</v>
      </c>
      <c r="N154" s="257" t="s">
        <v>358</v>
      </c>
      <c r="O154" s="313">
        <f>S133</f>
        <v>1.5398674400000001</v>
      </c>
      <c r="P154" s="474" t="s">
        <v>361</v>
      </c>
      <c r="V154" s="197"/>
    </row>
    <row r="155" spans="1:22" ht="18" hidden="1" customHeight="1">
      <c r="A155" s="196"/>
      <c r="F155" s="27" t="s">
        <v>138</v>
      </c>
      <c r="G155" s="637">
        <f>G154*((I154+K154)/(M154+O154))</f>
        <v>115.21530819359336</v>
      </c>
      <c r="H155" s="637"/>
      <c r="V155" s="197"/>
    </row>
    <row r="156" spans="1:22" ht="18" hidden="1" customHeight="1">
      <c r="A156" s="196"/>
      <c r="V156" s="197"/>
    </row>
    <row r="157" spans="1:22" ht="18" hidden="1" customHeight="1">
      <c r="A157" s="196"/>
      <c r="E157" s="256" t="s">
        <v>566</v>
      </c>
      <c r="F157" s="27" t="e">
        <f>IF(D158&gt;G158,"&gt;","&lt;")</f>
        <v>#VALUE!</v>
      </c>
      <c r="G157" s="308" t="s">
        <v>123</v>
      </c>
      <c r="V157" s="197"/>
    </row>
    <row r="158" spans="1:22" ht="18" hidden="1" customHeight="1">
      <c r="A158" s="196"/>
      <c r="D158" s="637">
        <f>G155</f>
        <v>115.21530819359336</v>
      </c>
      <c r="E158" s="637"/>
      <c r="F158" s="27" t="e">
        <f>F157</f>
        <v>#VALUE!</v>
      </c>
      <c r="G158" s="637" t="e">
        <f>G151</f>
        <v>#VALUE!</v>
      </c>
      <c r="H158" s="637"/>
      <c r="V158" s="197"/>
    </row>
    <row r="159" spans="1:22" ht="18" hidden="1" customHeight="1">
      <c r="A159" s="196"/>
      <c r="E159" s="256" t="s">
        <v>489</v>
      </c>
      <c r="G159" s="18" t="e">
        <f>IF(F157="&gt;","Suitably Dimentioned","Under Dimentioned")</f>
        <v>#VALUE!</v>
      </c>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ht="18" hidden="1" customHeight="1">
      <c r="A174" s="196"/>
      <c r="V174" s="197"/>
    </row>
    <row r="175" spans="1:22" ht="18" hidden="1" customHeight="1">
      <c r="A175" s="196"/>
      <c r="V175" s="197"/>
    </row>
    <row r="176" spans="1:22" ht="18" hidden="1" customHeight="1">
      <c r="A176" s="196"/>
      <c r="V176" s="197"/>
    </row>
    <row r="177" spans="1:22" ht="18" hidden="1" customHeight="1">
      <c r="A177" s="196"/>
      <c r="V177" s="197"/>
    </row>
    <row r="178" spans="1:22" ht="18" hidden="1" customHeight="1">
      <c r="A178" s="196"/>
      <c r="V178" s="197"/>
    </row>
    <row r="179" spans="1:22" ht="18" hidden="1" customHeight="1">
      <c r="A179" s="196"/>
      <c r="V179" s="197"/>
    </row>
    <row r="180" spans="1:22" ht="18" hidden="1" customHeight="1">
      <c r="A180" s="196"/>
      <c r="V180" s="197"/>
    </row>
    <row r="181" spans="1:22" ht="18" hidden="1" customHeight="1">
      <c r="A181" s="196"/>
      <c r="V181" s="197"/>
    </row>
    <row r="182" spans="1:22" ht="18" hidden="1" customHeight="1">
      <c r="A182" s="196"/>
      <c r="V182" s="197"/>
    </row>
    <row r="183" spans="1:22" ht="18" hidden="1" customHeight="1">
      <c r="A183" s="196"/>
      <c r="V183" s="197"/>
    </row>
    <row r="184" spans="1:22" ht="18" hidden="1" customHeight="1">
      <c r="A184" s="196"/>
      <c r="V184" s="197"/>
    </row>
    <row r="185" spans="1:22" ht="18" hidden="1" customHeight="1">
      <c r="A185" s="196"/>
      <c r="V185" s="197"/>
    </row>
    <row r="186" spans="1:22" ht="18" hidden="1" customHeight="1">
      <c r="A186" s="196"/>
      <c r="V186" s="197"/>
    </row>
    <row r="187" spans="1:22" ht="18" hidden="1" customHeight="1">
      <c r="A187" s="196"/>
      <c r="V187" s="197"/>
    </row>
    <row r="188" spans="1:22" ht="18" hidden="1" customHeight="1">
      <c r="A188" s="196"/>
      <c r="V188" s="197"/>
    </row>
    <row r="189" spans="1:22" ht="18" hidden="1" customHeight="1">
      <c r="A189" s="196"/>
      <c r="V189" s="197"/>
    </row>
    <row r="190" spans="1:22" ht="18" hidden="1" customHeight="1">
      <c r="A190" s="196"/>
      <c r="V190" s="197"/>
    </row>
    <row r="191" spans="1:22" s="14" customFormat="1" ht="18" hidden="1" customHeight="1">
      <c r="A191" s="206"/>
      <c r="B191" s="207"/>
      <c r="C191" s="207"/>
      <c r="D191" s="207"/>
      <c r="E191" s="207"/>
      <c r="F191" s="207"/>
      <c r="G191" s="207"/>
      <c r="H191" s="207"/>
      <c r="I191" s="207"/>
      <c r="J191" s="207"/>
      <c r="K191" s="207"/>
      <c r="L191" s="207"/>
      <c r="M191" s="207"/>
      <c r="N191" s="207"/>
      <c r="O191" s="207"/>
      <c r="P191" s="207"/>
      <c r="Q191" s="236"/>
      <c r="R191" s="194"/>
      <c r="S191" s="237"/>
      <c r="T191" s="207"/>
      <c r="U191" s="207"/>
      <c r="V191" s="140" t="s">
        <v>563</v>
      </c>
    </row>
    <row r="192" spans="1:22" ht="18" hidden="1" customHeight="1">
      <c r="A192" s="238"/>
      <c r="B192" s="239"/>
      <c r="C192" s="239"/>
      <c r="D192" s="239"/>
      <c r="E192" s="239"/>
      <c r="F192" s="239"/>
      <c r="G192" s="239"/>
      <c r="H192" s="239"/>
      <c r="I192" s="239"/>
      <c r="J192" s="239"/>
      <c r="K192" s="239"/>
      <c r="L192" s="239"/>
      <c r="M192" s="239"/>
      <c r="N192" s="239"/>
      <c r="O192" s="239"/>
      <c r="P192" s="239"/>
      <c r="Q192" s="239"/>
      <c r="R192" s="239"/>
      <c r="S192" s="239"/>
      <c r="T192" s="239"/>
      <c r="U192" s="239"/>
      <c r="V192" s="240"/>
    </row>
    <row r="193" spans="1:23" ht="18" hidden="1" customHeight="1">
      <c r="A193" s="196"/>
      <c r="B193" s="650" t="str">
        <f>B105</f>
        <v>T1</v>
      </c>
      <c r="C193" s="651"/>
      <c r="D193" s="660" t="str">
        <f>D105</f>
        <v>Core3</v>
      </c>
      <c r="E193" s="623"/>
      <c r="F193" s="468"/>
      <c r="H193" s="639" t="str">
        <f>H105</f>
        <v>(OC+BCPU+FMS)</v>
      </c>
      <c r="I193" s="639"/>
      <c r="J193" s="639"/>
      <c r="K193" s="639"/>
      <c r="L193" s="639"/>
      <c r="M193" s="639"/>
      <c r="P193" s="198"/>
      <c r="S193" s="199" t="s">
        <v>398</v>
      </c>
      <c r="T193" s="658" t="str">
        <f>T105</f>
        <v>REC670</v>
      </c>
      <c r="U193" s="659"/>
      <c r="V193" s="197"/>
    </row>
    <row r="194" spans="1:23" ht="18" hidden="1" customHeight="1">
      <c r="A194" s="469"/>
      <c r="F194" s="468"/>
      <c r="T194" s="658" t="str">
        <f>T106</f>
        <v>REF615</v>
      </c>
      <c r="U194" s="659"/>
      <c r="V194" s="197"/>
    </row>
    <row r="195" spans="1:23" ht="18" hidden="1" customHeight="1">
      <c r="A195" s="196"/>
      <c r="H195" s="661" t="s">
        <v>401</v>
      </c>
      <c r="I195" s="661"/>
      <c r="J195" s="661" t="s">
        <v>402</v>
      </c>
      <c r="K195" s="661"/>
      <c r="L195" s="662" t="s">
        <v>403</v>
      </c>
      <c r="M195" s="662"/>
      <c r="T195" s="658" t="str">
        <f>T107</f>
        <v>FMS</v>
      </c>
      <c r="U195" s="659"/>
      <c r="V195" s="197"/>
    </row>
    <row r="196" spans="1:23" ht="18" hidden="1" customHeight="1">
      <c r="A196" s="196"/>
      <c r="B196" s="47" t="s">
        <v>404</v>
      </c>
      <c r="H196" s="650">
        <f>H108</f>
        <v>2500</v>
      </c>
      <c r="I196" s="651"/>
      <c r="J196" s="650" t="str">
        <f>J108</f>
        <v>-</v>
      </c>
      <c r="K196" s="651"/>
      <c r="L196" s="652" t="str">
        <f>L108</f>
        <v>-</v>
      </c>
      <c r="M196" s="653"/>
      <c r="N196" s="203" t="s">
        <v>353</v>
      </c>
      <c r="O196" s="268">
        <f>O108</f>
        <v>1</v>
      </c>
      <c r="P196" s="27" t="s">
        <v>9</v>
      </c>
      <c r="R196" s="267"/>
      <c r="S196" s="267"/>
      <c r="V196" s="197"/>
    </row>
    <row r="197" spans="1:23" ht="18" hidden="1" customHeight="1">
      <c r="A197" s="196"/>
      <c r="B197" s="47" t="s">
        <v>405</v>
      </c>
      <c r="L197" s="650" t="str">
        <f>J109</f>
        <v>PX</v>
      </c>
      <c r="M197" s="651"/>
      <c r="V197" s="197"/>
    </row>
    <row r="198" spans="1:23" ht="18" hidden="1" customHeight="1">
      <c r="A198" s="196"/>
      <c r="B198" s="47" t="s">
        <v>407</v>
      </c>
      <c r="K198" s="120" t="s">
        <v>508</v>
      </c>
      <c r="L198" s="940">
        <v>8</v>
      </c>
      <c r="M198" s="941"/>
      <c r="N198" s="204" t="s">
        <v>344</v>
      </c>
      <c r="V198" s="197"/>
    </row>
    <row r="199" spans="1:23" ht="18" hidden="1" customHeight="1">
      <c r="A199" s="196"/>
      <c r="B199" s="47" t="s">
        <v>409</v>
      </c>
      <c r="K199" s="120" t="s">
        <v>509</v>
      </c>
      <c r="L199" s="940">
        <v>800</v>
      </c>
      <c r="M199" s="941"/>
      <c r="N199" s="14" t="s">
        <v>316</v>
      </c>
      <c r="V199" s="197"/>
      <c r="W199" s="30" t="e">
        <f>G247</f>
        <v>#VALUE!</v>
      </c>
    </row>
    <row r="200" spans="1:23" ht="18" hidden="1" customHeight="1">
      <c r="A200" s="196"/>
      <c r="B200" s="14" t="s">
        <v>412</v>
      </c>
      <c r="K200" s="120" t="s">
        <v>413</v>
      </c>
      <c r="L200" s="940">
        <v>75</v>
      </c>
      <c r="M200" s="941"/>
      <c r="N200" s="14" t="s">
        <v>414</v>
      </c>
      <c r="V200" s="197"/>
    </row>
    <row r="201" spans="1:23" ht="18" hidden="1" customHeight="1">
      <c r="A201" s="196"/>
      <c r="V201" s="197"/>
    </row>
    <row r="202" spans="1:23" ht="18" hidden="1" customHeight="1">
      <c r="A202" s="205" t="s">
        <v>415</v>
      </c>
      <c r="V202" s="197"/>
    </row>
    <row r="203" spans="1:23" ht="18" hidden="1" customHeight="1">
      <c r="A203" s="196"/>
      <c r="V203" s="197"/>
    </row>
    <row r="204" spans="1:23" ht="18" hidden="1" customHeight="1">
      <c r="A204" s="196"/>
      <c r="B204" s="141" t="s">
        <v>416</v>
      </c>
      <c r="C204" s="285"/>
      <c r="D204" s="146" t="str">
        <f>T193</f>
        <v>REC670</v>
      </c>
      <c r="E204" s="239"/>
      <c r="F204" s="239"/>
      <c r="G204" s="239"/>
      <c r="H204" s="145"/>
      <c r="I204" s="272" t="s">
        <v>138</v>
      </c>
      <c r="J204" s="648">
        <f>J116</f>
        <v>0.02</v>
      </c>
      <c r="K204" s="649"/>
      <c r="L204" s="3" t="s">
        <v>168</v>
      </c>
      <c r="N204" s="209" t="s">
        <v>521</v>
      </c>
      <c r="V204" s="197"/>
    </row>
    <row r="205" spans="1:23" ht="18" hidden="1" customHeight="1">
      <c r="A205" s="196"/>
      <c r="B205" s="96" t="s">
        <v>416</v>
      </c>
      <c r="C205" s="14"/>
      <c r="D205" s="47" t="str">
        <f>T194</f>
        <v>REF615</v>
      </c>
      <c r="H205" s="28"/>
      <c r="I205" s="101" t="s">
        <v>138</v>
      </c>
      <c r="J205" s="648">
        <f>J117</f>
        <v>0.02</v>
      </c>
      <c r="K205" s="649"/>
      <c r="L205" s="3" t="s">
        <v>168</v>
      </c>
      <c r="N205" s="120" t="s">
        <v>502</v>
      </c>
      <c r="O205" s="27" t="s">
        <v>138</v>
      </c>
      <c r="P205" s="27" t="s">
        <v>522</v>
      </c>
      <c r="Q205" s="27" t="s">
        <v>326</v>
      </c>
      <c r="R205" s="27" t="s">
        <v>522</v>
      </c>
      <c r="S205" s="27" t="s">
        <v>326</v>
      </c>
      <c r="T205" s="27" t="s">
        <v>431</v>
      </c>
      <c r="V205" s="197"/>
    </row>
    <row r="206" spans="1:23" ht="18" hidden="1" customHeight="1">
      <c r="A206" s="196"/>
      <c r="B206" s="96" t="s">
        <v>416</v>
      </c>
      <c r="C206" s="14"/>
      <c r="D206" s="47" t="str">
        <f>T195</f>
        <v>FMS</v>
      </c>
      <c r="H206" s="28"/>
      <c r="I206" s="101" t="s">
        <v>138</v>
      </c>
      <c r="J206" s="648">
        <f>J118</f>
        <v>5.8000000000000003E-2</v>
      </c>
      <c r="K206" s="649"/>
      <c r="L206" s="3" t="s">
        <v>168</v>
      </c>
      <c r="N206" s="27"/>
      <c r="O206" s="27" t="s">
        <v>138</v>
      </c>
      <c r="P206" s="27">
        <f>O196</f>
        <v>1</v>
      </c>
      <c r="Q206" s="27" t="s">
        <v>326</v>
      </c>
      <c r="R206" s="27">
        <f>O196</f>
        <v>1</v>
      </c>
      <c r="S206" s="27" t="s">
        <v>326</v>
      </c>
      <c r="T206" s="27">
        <f>L198</f>
        <v>8</v>
      </c>
      <c r="V206" s="197"/>
    </row>
    <row r="207" spans="1:23" ht="18" hidden="1" customHeight="1">
      <c r="A207" s="196"/>
      <c r="B207" s="465" t="s">
        <v>423</v>
      </c>
      <c r="C207" s="271"/>
      <c r="D207" s="271"/>
      <c r="E207" s="271"/>
      <c r="F207" s="219"/>
      <c r="G207" s="219"/>
      <c r="H207" s="202"/>
      <c r="I207" s="220" t="s">
        <v>138</v>
      </c>
      <c r="J207" s="646">
        <f>J119</f>
        <v>1.44186744</v>
      </c>
      <c r="K207" s="647"/>
      <c r="L207" s="309" t="s">
        <v>168</v>
      </c>
      <c r="O207" s="27" t="s">
        <v>138</v>
      </c>
      <c r="P207" s="637">
        <f>P206*R206*T206</f>
        <v>8</v>
      </c>
      <c r="Q207" s="639"/>
      <c r="R207" s="27" t="s">
        <v>168</v>
      </c>
      <c r="V207" s="197"/>
    </row>
    <row r="208" spans="1:23" ht="18" hidden="1" customHeight="1">
      <c r="A208" s="196"/>
      <c r="B208" s="1" t="s">
        <v>424</v>
      </c>
      <c r="C208" s="2"/>
      <c r="D208" s="2"/>
      <c r="E208" s="2"/>
      <c r="F208" s="208"/>
      <c r="G208" s="208"/>
      <c r="H208" s="236" t="s">
        <v>523</v>
      </c>
      <c r="I208" s="195" t="s">
        <v>138</v>
      </c>
      <c r="J208" s="648">
        <f>SUM(J204:J207)</f>
        <v>1.5398674400000001</v>
      </c>
      <c r="K208" s="649"/>
      <c r="L208" s="3" t="s">
        <v>168</v>
      </c>
      <c r="V208" s="197"/>
    </row>
    <row r="209" spans="1:25" ht="18" hidden="1" customHeight="1">
      <c r="A209" s="196"/>
      <c r="B209" s="47"/>
      <c r="C209" s="47"/>
      <c r="D209" s="47"/>
      <c r="E209" s="47"/>
      <c r="H209" s="27"/>
      <c r="I209" s="28"/>
      <c r="J209" s="211"/>
      <c r="L209" s="47"/>
      <c r="S209" s="27"/>
      <c r="V209" s="197"/>
    </row>
    <row r="210" spans="1:25" ht="18" hidden="1" customHeight="1">
      <c r="A210" s="964" t="s">
        <v>547</v>
      </c>
      <c r="B210" s="965"/>
      <c r="C210" s="965"/>
      <c r="D210" s="965"/>
      <c r="E210" s="965"/>
      <c r="F210" s="965"/>
      <c r="G210" s="965"/>
      <c r="H210" s="965"/>
      <c r="I210" s="965"/>
      <c r="J210" s="965"/>
      <c r="K210" s="965"/>
      <c r="L210" s="965"/>
      <c r="M210" s="965"/>
      <c r="N210" s="965"/>
      <c r="O210" s="965"/>
      <c r="P210" s="965"/>
      <c r="Q210" s="965"/>
      <c r="R210" s="965"/>
      <c r="S210" s="965"/>
      <c r="T210" s="965"/>
      <c r="U210" s="965"/>
      <c r="V210" s="966"/>
    </row>
    <row r="211" spans="1:25" ht="18" hidden="1" customHeight="1">
      <c r="A211" s="967"/>
      <c r="B211" s="965"/>
      <c r="C211" s="965"/>
      <c r="D211" s="965"/>
      <c r="E211" s="965"/>
      <c r="F211" s="965"/>
      <c r="G211" s="965"/>
      <c r="H211" s="965"/>
      <c r="I211" s="965"/>
      <c r="J211" s="965"/>
      <c r="K211" s="965"/>
      <c r="L211" s="965"/>
      <c r="M211" s="965"/>
      <c r="N211" s="965"/>
      <c r="O211" s="965"/>
      <c r="P211" s="965"/>
      <c r="Q211" s="965"/>
      <c r="R211" s="965"/>
      <c r="S211" s="965"/>
      <c r="T211" s="965"/>
      <c r="U211" s="965"/>
      <c r="V211" s="966"/>
    </row>
    <row r="212" spans="1:25" ht="18" hidden="1" customHeight="1">
      <c r="A212" s="196"/>
      <c r="Q212" s="223"/>
      <c r="R212" s="204"/>
      <c r="V212" s="197"/>
    </row>
    <row r="213" spans="1:25" ht="18" hidden="1" customHeight="1">
      <c r="A213" s="196"/>
      <c r="C213" s="14" t="s">
        <v>484</v>
      </c>
      <c r="D213" s="28" t="s">
        <v>138</v>
      </c>
      <c r="E213" s="28" t="s">
        <v>548</v>
      </c>
      <c r="F213" s="120" t="s">
        <v>504</v>
      </c>
      <c r="G213" s="28" t="s">
        <v>358</v>
      </c>
      <c r="H213" s="120" t="s">
        <v>502</v>
      </c>
      <c r="I213" s="28" t="s">
        <v>549</v>
      </c>
      <c r="J213" s="28" t="s">
        <v>506</v>
      </c>
      <c r="K213" s="28" t="s">
        <v>550</v>
      </c>
      <c r="L213" s="28" t="s">
        <v>522</v>
      </c>
      <c r="M213" s="28" t="s">
        <v>326</v>
      </c>
      <c r="N213" s="28">
        <v>1.3</v>
      </c>
      <c r="O213" s="47" t="s">
        <v>361</v>
      </c>
      <c r="V213" s="197"/>
    </row>
    <row r="214" spans="1:25" ht="18" hidden="1" customHeight="1">
      <c r="A214" s="196" t="s">
        <v>551</v>
      </c>
      <c r="C214" s="14"/>
      <c r="D214" s="28"/>
      <c r="E214" s="14"/>
      <c r="F214" s="14"/>
      <c r="G214" s="14"/>
      <c r="H214" s="14"/>
      <c r="I214" s="14"/>
      <c r="J214" s="14"/>
      <c r="K214" s="14"/>
      <c r="L214" s="14"/>
      <c r="M214" s="14"/>
      <c r="N214" s="14"/>
      <c r="O214" s="14"/>
      <c r="V214" s="197"/>
    </row>
    <row r="215" spans="1:25" ht="18" hidden="1" customHeight="1">
      <c r="A215" s="196"/>
      <c r="C215" s="120" t="s">
        <v>504</v>
      </c>
      <c r="D215" s="28" t="s">
        <v>138</v>
      </c>
      <c r="E215" s="28" t="s">
        <v>548</v>
      </c>
      <c r="F215" s="28">
        <v>1.3</v>
      </c>
      <c r="G215" s="28" t="s">
        <v>326</v>
      </c>
      <c r="H215" s="638" t="s">
        <v>484</v>
      </c>
      <c r="I215" s="920"/>
      <c r="J215" s="28" t="s">
        <v>326</v>
      </c>
      <c r="K215" s="28" t="s">
        <v>522</v>
      </c>
      <c r="L215" s="28" t="s">
        <v>552</v>
      </c>
      <c r="M215" s="28" t="s">
        <v>506</v>
      </c>
      <c r="N215" s="47" t="s">
        <v>553</v>
      </c>
      <c r="O215" s="120" t="s">
        <v>502</v>
      </c>
      <c r="V215" s="197"/>
    </row>
    <row r="216" spans="1:25" ht="18" hidden="1" customHeight="1">
      <c r="A216" s="196"/>
      <c r="V216" s="197"/>
    </row>
    <row r="217" spans="1:25" ht="18" hidden="1" customHeight="1">
      <c r="A217" s="180"/>
      <c r="B217" s="5"/>
      <c r="C217" s="47" t="s">
        <v>554</v>
      </c>
      <c r="D217" s="14"/>
      <c r="E217" s="14"/>
      <c r="F217" s="14"/>
      <c r="G217" s="14"/>
      <c r="H217" s="291"/>
      <c r="I217" s="120"/>
      <c r="J217" s="291"/>
      <c r="K217" s="291"/>
      <c r="L217" s="14"/>
      <c r="M217" s="14"/>
      <c r="N217" s="14"/>
      <c r="O217" s="14"/>
      <c r="P217" s="14"/>
      <c r="Q217" s="120" t="s">
        <v>555</v>
      </c>
      <c r="R217" s="102" t="s">
        <v>138</v>
      </c>
      <c r="S217" s="638">
        <f>S129</f>
        <v>15000</v>
      </c>
      <c r="T217" s="638"/>
      <c r="U217" s="47" t="s">
        <v>9</v>
      </c>
      <c r="V217" s="197"/>
    </row>
    <row r="218" spans="1:25" ht="18" hidden="1" customHeight="1">
      <c r="A218" s="180"/>
      <c r="B218" s="5"/>
      <c r="C218" s="47" t="s">
        <v>556</v>
      </c>
      <c r="D218" s="14"/>
      <c r="E218" s="14"/>
      <c r="F218" s="18"/>
      <c r="G218" s="18"/>
      <c r="H218" s="291"/>
      <c r="I218" s="120"/>
      <c r="J218" s="291"/>
      <c r="K218" s="291"/>
      <c r="L218" s="14"/>
      <c r="M218" s="14"/>
      <c r="N218" s="14"/>
      <c r="O218" s="14"/>
      <c r="P218" s="14"/>
      <c r="Q218" s="120" t="s">
        <v>434</v>
      </c>
      <c r="R218" s="102" t="s">
        <v>138</v>
      </c>
      <c r="S218" s="638" t="str">
        <f>L196</f>
        <v>-</v>
      </c>
      <c r="T218" s="638"/>
      <c r="U218" s="14" t="s">
        <v>9</v>
      </c>
      <c r="V218" s="197"/>
    </row>
    <row r="219" spans="1:25" ht="18" hidden="1" customHeight="1">
      <c r="A219" s="180"/>
      <c r="B219" s="5"/>
      <c r="C219" s="47" t="s">
        <v>557</v>
      </c>
      <c r="D219" s="14"/>
      <c r="E219" s="14"/>
      <c r="F219" s="18"/>
      <c r="G219" s="18"/>
      <c r="H219" s="291"/>
      <c r="I219" s="120"/>
      <c r="J219" s="291"/>
      <c r="K219" s="291"/>
      <c r="L219" s="14"/>
      <c r="M219" s="14"/>
      <c r="N219" s="14"/>
      <c r="O219" s="14"/>
      <c r="P219" s="14"/>
      <c r="Q219" s="120" t="s">
        <v>484</v>
      </c>
      <c r="R219" s="102" t="s">
        <v>138</v>
      </c>
      <c r="S219" s="638">
        <f>L199</f>
        <v>800</v>
      </c>
      <c r="T219" s="638"/>
      <c r="U219" s="14" t="s">
        <v>316</v>
      </c>
      <c r="V219" s="197"/>
    </row>
    <row r="220" spans="1:25" ht="18" hidden="1" customHeight="1">
      <c r="A220" s="180"/>
      <c r="B220" s="5"/>
      <c r="C220" s="47" t="s">
        <v>558</v>
      </c>
      <c r="D220" s="14"/>
      <c r="E220" s="14"/>
      <c r="F220" s="18"/>
      <c r="G220" s="18"/>
      <c r="H220" s="291"/>
      <c r="I220" s="120"/>
      <c r="J220" s="291"/>
      <c r="K220" s="291"/>
      <c r="L220" s="14"/>
      <c r="M220" s="14"/>
      <c r="N220" s="14"/>
      <c r="O220" s="14"/>
      <c r="P220" s="14"/>
      <c r="Q220" s="120" t="s">
        <v>502</v>
      </c>
      <c r="R220" s="102" t="s">
        <v>138</v>
      </c>
      <c r="S220" s="641">
        <f>P207</f>
        <v>8</v>
      </c>
      <c r="T220" s="638"/>
      <c r="U220" s="14" t="s">
        <v>168</v>
      </c>
      <c r="V220" s="197"/>
      <c r="W220" s="291"/>
      <c r="X220" s="291"/>
      <c r="Y220" s="291"/>
    </row>
    <row r="221" spans="1:25" ht="18" hidden="1" customHeight="1">
      <c r="A221" s="180"/>
      <c r="B221" s="5"/>
      <c r="C221" s="47" t="s">
        <v>559</v>
      </c>
      <c r="D221" s="14"/>
      <c r="E221" s="14"/>
      <c r="F221" s="18"/>
      <c r="G221" s="18"/>
      <c r="H221" s="291"/>
      <c r="I221" s="120"/>
      <c r="J221" s="291"/>
      <c r="K221" s="291"/>
      <c r="L221" s="14"/>
      <c r="M221" s="14"/>
      <c r="N221" s="14"/>
      <c r="O221" s="14"/>
      <c r="P221" s="14"/>
      <c r="Q221" s="120" t="s">
        <v>523</v>
      </c>
      <c r="R221" s="102" t="s">
        <v>138</v>
      </c>
      <c r="S221" s="641">
        <f>J208</f>
        <v>1.5398674400000001</v>
      </c>
      <c r="T221" s="638"/>
      <c r="U221" s="14" t="s">
        <v>168</v>
      </c>
      <c r="V221" s="197"/>
      <c r="X221" s="291"/>
      <c r="Y221" s="291"/>
    </row>
    <row r="222" spans="1:25" ht="18" hidden="1" customHeight="1">
      <c r="A222" s="180"/>
      <c r="B222" s="5"/>
      <c r="C222" s="47" t="s">
        <v>560</v>
      </c>
      <c r="D222" s="14"/>
      <c r="E222" s="14"/>
      <c r="F222" s="14"/>
      <c r="G222" s="14"/>
      <c r="H222" s="291"/>
      <c r="I222" s="120"/>
      <c r="J222" s="291"/>
      <c r="K222" s="291"/>
      <c r="L222" s="14"/>
      <c r="M222" s="14"/>
      <c r="N222" s="14"/>
      <c r="O222" s="14"/>
      <c r="P222" s="14"/>
      <c r="Q222" s="120" t="s">
        <v>522</v>
      </c>
      <c r="R222" s="102" t="s">
        <v>138</v>
      </c>
      <c r="S222" s="638">
        <f>O196</f>
        <v>1</v>
      </c>
      <c r="T222" s="638"/>
      <c r="U222" s="14" t="s">
        <v>9</v>
      </c>
      <c r="V222" s="197"/>
      <c r="X222" s="291"/>
      <c r="Y222" s="291"/>
    </row>
    <row r="223" spans="1:25" ht="18" hidden="1" customHeight="1">
      <c r="A223" s="180"/>
      <c r="B223" s="5"/>
      <c r="C223" s="47" t="s">
        <v>561</v>
      </c>
      <c r="D223" s="14"/>
      <c r="E223" s="14"/>
      <c r="F223" s="14"/>
      <c r="G223" s="14"/>
      <c r="H223" s="291"/>
      <c r="I223" s="120"/>
      <c r="J223" s="291"/>
      <c r="K223" s="291"/>
      <c r="L223" s="14"/>
      <c r="M223" s="14"/>
      <c r="N223" s="14"/>
      <c r="O223" s="14"/>
      <c r="P223" s="14"/>
      <c r="Q223" s="120" t="s">
        <v>506</v>
      </c>
      <c r="R223" s="102" t="s">
        <v>138</v>
      </c>
      <c r="S223" s="638">
        <v>20</v>
      </c>
      <c r="T223" s="638"/>
      <c r="U223" s="47"/>
      <c r="V223" s="197"/>
    </row>
    <row r="224" spans="1:25" ht="18" hidden="1" customHeight="1">
      <c r="A224" s="311"/>
      <c r="B224" s="291"/>
      <c r="C224" s="47" t="s">
        <v>562</v>
      </c>
      <c r="D224" s="14"/>
      <c r="E224" s="14"/>
      <c r="F224" s="14"/>
      <c r="G224" s="14"/>
      <c r="H224" s="291"/>
      <c r="I224" s="120"/>
      <c r="J224" s="291"/>
      <c r="K224" s="291"/>
      <c r="L224" s="14"/>
      <c r="M224" s="14"/>
      <c r="N224" s="291"/>
      <c r="O224" s="291"/>
      <c r="P224" s="14"/>
      <c r="Q224" s="120" t="s">
        <v>504</v>
      </c>
      <c r="R224" s="14"/>
      <c r="S224" s="291"/>
      <c r="T224" s="291"/>
      <c r="U224" s="291"/>
      <c r="V224" s="312"/>
      <c r="W224" s="291"/>
      <c r="X224" s="291"/>
      <c r="Y224" s="291"/>
    </row>
    <row r="225" spans="1:22" ht="18" hidden="1" customHeight="1">
      <c r="A225" s="196"/>
      <c r="V225" s="197"/>
    </row>
    <row r="226" spans="1:22" ht="18" hidden="1" customHeight="1">
      <c r="A226" s="196"/>
      <c r="C226" s="120" t="s">
        <v>504</v>
      </c>
      <c r="D226" s="28" t="s">
        <v>138</v>
      </c>
      <c r="E226" s="28" t="s">
        <v>548</v>
      </c>
      <c r="F226" s="28">
        <v>1.3</v>
      </c>
      <c r="G226" s="28" t="s">
        <v>326</v>
      </c>
      <c r="H226" s="638" t="s">
        <v>484</v>
      </c>
      <c r="I226" s="920"/>
      <c r="J226" s="28" t="s">
        <v>326</v>
      </c>
      <c r="K226" s="28" t="s">
        <v>522</v>
      </c>
      <c r="L226" s="28" t="s">
        <v>552</v>
      </c>
      <c r="M226" s="28" t="s">
        <v>506</v>
      </c>
      <c r="N226" s="47" t="s">
        <v>553</v>
      </c>
      <c r="O226" s="120" t="s">
        <v>502</v>
      </c>
      <c r="V226" s="197"/>
    </row>
    <row r="227" spans="1:22" ht="18" hidden="1" customHeight="1">
      <c r="A227" s="196"/>
      <c r="C227" s="120" t="s">
        <v>504</v>
      </c>
      <c r="D227" s="28" t="s">
        <v>138</v>
      </c>
      <c r="E227" s="28" t="s">
        <v>548</v>
      </c>
      <c r="F227" s="28">
        <v>1.3</v>
      </c>
      <c r="G227" s="28" t="s">
        <v>326</v>
      </c>
      <c r="H227" s="638">
        <f>S219</f>
        <v>800</v>
      </c>
      <c r="I227" s="920"/>
      <c r="J227" s="28" t="s">
        <v>326</v>
      </c>
      <c r="K227" s="28">
        <f>S222</f>
        <v>1</v>
      </c>
      <c r="L227" s="28" t="s">
        <v>552</v>
      </c>
      <c r="M227" s="28">
        <f>S223</f>
        <v>20</v>
      </c>
      <c r="N227" s="47" t="s">
        <v>553</v>
      </c>
      <c r="O227" s="516">
        <f>S220</f>
        <v>8</v>
      </c>
      <c r="V227" s="197"/>
    </row>
    <row r="228" spans="1:22" ht="18" hidden="1" customHeight="1">
      <c r="A228" s="196"/>
      <c r="D228" s="27" t="s">
        <v>138</v>
      </c>
      <c r="E228" s="639">
        <f>((F227*H227*K227)/M227)-O227</f>
        <v>44</v>
      </c>
      <c r="F228" s="639"/>
      <c r="G228" s="27" t="s">
        <v>168</v>
      </c>
      <c r="V228" s="197"/>
    </row>
    <row r="229" spans="1:22" ht="18" hidden="1" customHeight="1">
      <c r="A229" s="196"/>
      <c r="D229" s="27"/>
      <c r="E229" s="27"/>
      <c r="F229" s="27"/>
      <c r="G229" s="27"/>
      <c r="V229" s="197"/>
    </row>
    <row r="230" spans="1:22" ht="18" hidden="1" customHeight="1">
      <c r="A230" s="196"/>
      <c r="D230" s="27"/>
      <c r="E230" s="27"/>
      <c r="F230" s="27"/>
      <c r="G230" s="27"/>
      <c r="V230" s="197"/>
    </row>
    <row r="231" spans="1:22" ht="18" hidden="1" customHeight="1">
      <c r="A231" s="196"/>
      <c r="D231" s="27"/>
      <c r="E231" s="27"/>
      <c r="F231" s="27"/>
      <c r="G231" s="27"/>
      <c r="V231" s="197"/>
    </row>
    <row r="232" spans="1:22" ht="18" hidden="1" customHeight="1">
      <c r="A232" s="196"/>
      <c r="D232" s="27"/>
      <c r="E232" s="27"/>
      <c r="F232" s="27"/>
      <c r="G232" s="27"/>
      <c r="V232" s="197"/>
    </row>
    <row r="233" spans="1:22" ht="18" hidden="1" customHeight="1">
      <c r="A233" s="196"/>
      <c r="D233" s="27"/>
      <c r="E233" s="27"/>
      <c r="F233" s="27"/>
      <c r="G233" s="27"/>
      <c r="V233" s="197"/>
    </row>
    <row r="234" spans="1:22" ht="18" hidden="1" customHeight="1">
      <c r="A234" s="196"/>
      <c r="V234" s="197"/>
    </row>
    <row r="235" spans="1:22" s="14" customFormat="1" ht="18" hidden="1" customHeight="1">
      <c r="A235" s="206"/>
      <c r="B235" s="207"/>
      <c r="C235" s="207"/>
      <c r="D235" s="207"/>
      <c r="E235" s="207"/>
      <c r="F235" s="207"/>
      <c r="G235" s="207"/>
      <c r="H235" s="207"/>
      <c r="I235" s="207"/>
      <c r="J235" s="207"/>
      <c r="K235" s="207"/>
      <c r="L235" s="207"/>
      <c r="M235" s="207"/>
      <c r="N235" s="207"/>
      <c r="O235" s="207"/>
      <c r="P235" s="207"/>
      <c r="Q235" s="236"/>
      <c r="R235" s="194"/>
      <c r="S235" s="237"/>
      <c r="T235" s="207"/>
      <c r="U235" s="207"/>
      <c r="V235" s="140" t="s">
        <v>563</v>
      </c>
    </row>
    <row r="236" spans="1:22" ht="18" hidden="1" customHeight="1">
      <c r="A236" s="238"/>
      <c r="B236" s="239"/>
      <c r="C236" s="239"/>
      <c r="D236" s="239"/>
      <c r="E236" s="239"/>
      <c r="F236" s="239"/>
      <c r="G236" s="239"/>
      <c r="H236" s="239"/>
      <c r="I236" s="239"/>
      <c r="J236" s="239"/>
      <c r="K236" s="239"/>
      <c r="L236" s="239"/>
      <c r="M236" s="239"/>
      <c r="N236" s="239"/>
      <c r="O236" s="239"/>
      <c r="P236" s="239"/>
      <c r="Q236" s="239"/>
      <c r="R236" s="239"/>
      <c r="S236" s="239"/>
      <c r="T236" s="239"/>
      <c r="U236" s="239"/>
      <c r="V236" s="240"/>
    </row>
    <row r="237" spans="1:22" ht="18" hidden="1" customHeight="1">
      <c r="A237" s="196"/>
      <c r="E237" s="256" t="s">
        <v>123</v>
      </c>
      <c r="F237" s="27" t="s">
        <v>138</v>
      </c>
      <c r="G237" s="638" t="s">
        <v>555</v>
      </c>
      <c r="H237" s="638"/>
      <c r="I237" s="203" t="s">
        <v>353</v>
      </c>
      <c r="J237" s="639" t="s">
        <v>434</v>
      </c>
      <c r="K237" s="639"/>
      <c r="V237" s="197"/>
    </row>
    <row r="238" spans="1:22" ht="18" hidden="1" customHeight="1">
      <c r="A238" s="196"/>
      <c r="F238" s="27" t="s">
        <v>138</v>
      </c>
      <c r="G238" s="639">
        <f>S217</f>
        <v>15000</v>
      </c>
      <c r="H238" s="639"/>
      <c r="I238" s="203" t="s">
        <v>353</v>
      </c>
      <c r="J238" s="639" t="str">
        <f>S218</f>
        <v>-</v>
      </c>
      <c r="K238" s="639"/>
      <c r="V238" s="197"/>
    </row>
    <row r="239" spans="1:22" ht="18" hidden="1" customHeight="1">
      <c r="A239" s="196"/>
      <c r="F239" s="27" t="s">
        <v>138</v>
      </c>
      <c r="G239" s="637" t="e">
        <f>G238/J238</f>
        <v>#VALUE!</v>
      </c>
      <c r="H239" s="637"/>
      <c r="I239" s="27"/>
      <c r="J239" s="27"/>
      <c r="K239" s="27"/>
      <c r="V239" s="197"/>
    </row>
    <row r="240" spans="1:22" ht="18" hidden="1" customHeight="1">
      <c r="A240" s="196"/>
      <c r="V240" s="197"/>
    </row>
    <row r="241" spans="1:22" ht="18" hidden="1" customHeight="1">
      <c r="A241" s="196"/>
      <c r="E241" s="256" t="s">
        <v>564</v>
      </c>
      <c r="F241" s="27" t="s">
        <v>138</v>
      </c>
      <c r="G241" s="27" t="s">
        <v>506</v>
      </c>
      <c r="H241" s="27" t="s">
        <v>565</v>
      </c>
      <c r="I241" s="120" t="s">
        <v>502</v>
      </c>
      <c r="J241" s="28" t="s">
        <v>358</v>
      </c>
      <c r="K241" s="120" t="s">
        <v>504</v>
      </c>
      <c r="L241" s="28" t="s">
        <v>550</v>
      </c>
      <c r="M241" s="120" t="s">
        <v>502</v>
      </c>
      <c r="N241" s="28" t="s">
        <v>358</v>
      </c>
      <c r="O241" s="120" t="s">
        <v>523</v>
      </c>
      <c r="P241" s="308" t="s">
        <v>361</v>
      </c>
      <c r="V241" s="197"/>
    </row>
    <row r="242" spans="1:22" ht="18" hidden="1" customHeight="1">
      <c r="A242" s="196"/>
      <c r="F242" s="27" t="s">
        <v>138</v>
      </c>
      <c r="G242" s="254">
        <f>S223</f>
        <v>20</v>
      </c>
      <c r="H242" s="257" t="s">
        <v>565</v>
      </c>
      <c r="I242" s="313">
        <f>S220</f>
        <v>8</v>
      </c>
      <c r="J242" s="257" t="s">
        <v>358</v>
      </c>
      <c r="K242" s="313">
        <f>E228</f>
        <v>44</v>
      </c>
      <c r="L242" s="257" t="s">
        <v>550</v>
      </c>
      <c r="M242" s="313">
        <f>S220</f>
        <v>8</v>
      </c>
      <c r="N242" s="257" t="s">
        <v>358</v>
      </c>
      <c r="O242" s="313">
        <f>S221</f>
        <v>1.5398674400000001</v>
      </c>
      <c r="P242" s="474" t="s">
        <v>361</v>
      </c>
      <c r="V242" s="197"/>
    </row>
    <row r="243" spans="1:22" ht="18" hidden="1" customHeight="1">
      <c r="A243" s="196"/>
      <c r="F243" s="27" t="s">
        <v>138</v>
      </c>
      <c r="G243" s="637">
        <f>G242*((I242+K242)/(M242+O242))</f>
        <v>109.01618985179526</v>
      </c>
      <c r="H243" s="637"/>
      <c r="V243" s="197"/>
    </row>
    <row r="244" spans="1:22" ht="18" hidden="1" customHeight="1">
      <c r="A244" s="196"/>
      <c r="V244" s="197"/>
    </row>
    <row r="245" spans="1:22" ht="18" hidden="1" customHeight="1">
      <c r="A245" s="196"/>
      <c r="E245" s="256" t="s">
        <v>566</v>
      </c>
      <c r="F245" s="27" t="e">
        <f>IF(D246&gt;G246,"&gt;","&lt;")</f>
        <v>#VALUE!</v>
      </c>
      <c r="G245" s="308" t="s">
        <v>123</v>
      </c>
      <c r="V245" s="197"/>
    </row>
    <row r="246" spans="1:22" ht="18" hidden="1" customHeight="1">
      <c r="A246" s="196"/>
      <c r="D246" s="637">
        <f>G243</f>
        <v>109.01618985179526</v>
      </c>
      <c r="E246" s="637"/>
      <c r="F246" s="27" t="e">
        <f>F245</f>
        <v>#VALUE!</v>
      </c>
      <c r="G246" s="637" t="e">
        <f>G239</f>
        <v>#VALUE!</v>
      </c>
      <c r="H246" s="637"/>
      <c r="V246" s="197"/>
    </row>
    <row r="247" spans="1:22" ht="18" hidden="1" customHeight="1">
      <c r="A247" s="196"/>
      <c r="E247" s="256" t="s">
        <v>489</v>
      </c>
      <c r="G247" s="18" t="e">
        <f>IF(F245="&gt;","Suitably Dimentioned","Under Dimentioned")</f>
        <v>#VALUE!</v>
      </c>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ht="18" hidden="1" customHeight="1">
      <c r="A262" s="196"/>
      <c r="V262" s="197"/>
    </row>
    <row r="263" spans="1:22" ht="18" hidden="1" customHeight="1">
      <c r="A263" s="196"/>
      <c r="V263" s="197"/>
    </row>
    <row r="264" spans="1:22" ht="18" hidden="1" customHeight="1">
      <c r="A264" s="196"/>
      <c r="V264" s="197"/>
    </row>
    <row r="265" spans="1:22" ht="18" hidden="1" customHeight="1">
      <c r="A265" s="196"/>
      <c r="V265" s="197"/>
    </row>
    <row r="266" spans="1:22" ht="18" hidden="1" customHeight="1">
      <c r="A266" s="196"/>
      <c r="V266" s="197"/>
    </row>
    <row r="267" spans="1:22" ht="18" hidden="1" customHeight="1">
      <c r="A267" s="196"/>
      <c r="V267" s="197"/>
    </row>
    <row r="268" spans="1:22" ht="18" hidden="1" customHeight="1">
      <c r="A268" s="196"/>
      <c r="V268" s="197"/>
    </row>
    <row r="269" spans="1:22" ht="18" hidden="1" customHeight="1">
      <c r="A269" s="196"/>
      <c r="V269" s="197"/>
    </row>
    <row r="270" spans="1:22" ht="18" hidden="1" customHeight="1">
      <c r="A270" s="196"/>
      <c r="V270" s="197"/>
    </row>
    <row r="271" spans="1:22" ht="18" hidden="1" customHeight="1">
      <c r="A271" s="196"/>
      <c r="V271" s="197"/>
    </row>
    <row r="272" spans="1:22" ht="18" hidden="1" customHeight="1">
      <c r="A272" s="196"/>
      <c r="V272" s="197"/>
    </row>
    <row r="273" spans="1:22" ht="18" hidden="1" customHeight="1">
      <c r="A273" s="196"/>
      <c r="V273" s="197"/>
    </row>
    <row r="274" spans="1:22" ht="18" hidden="1" customHeight="1">
      <c r="A274" s="196"/>
      <c r="V274" s="197"/>
    </row>
    <row r="275" spans="1:22" ht="18" hidden="1" customHeight="1">
      <c r="A275" s="196"/>
      <c r="V275" s="197"/>
    </row>
    <row r="276" spans="1:22" ht="18" hidden="1" customHeight="1">
      <c r="A276" s="196"/>
      <c r="V276" s="197"/>
    </row>
    <row r="277" spans="1:22" ht="18" hidden="1" customHeight="1">
      <c r="A277" s="196"/>
      <c r="V277" s="197"/>
    </row>
    <row r="278" spans="1:22" ht="18" hidden="1" customHeight="1">
      <c r="A278" s="196"/>
      <c r="V278" s="197"/>
    </row>
    <row r="279" spans="1:22" s="14" customFormat="1" ht="18" customHeight="1">
      <c r="A279" s="206"/>
      <c r="B279" s="207"/>
      <c r="C279" s="207"/>
      <c r="D279" s="207"/>
      <c r="E279" s="207"/>
      <c r="F279" s="207"/>
      <c r="G279" s="207"/>
      <c r="H279" s="207"/>
      <c r="I279" s="207"/>
      <c r="J279" s="207"/>
      <c r="K279" s="207"/>
      <c r="L279" s="207"/>
      <c r="M279" s="207"/>
      <c r="N279" s="207"/>
      <c r="O279" s="207"/>
      <c r="P279" s="207"/>
      <c r="Q279" s="236"/>
      <c r="R279" s="194"/>
      <c r="S279" s="237"/>
      <c r="T279" s="207"/>
      <c r="U279" s="207"/>
      <c r="V279" s="140"/>
    </row>
    <row r="280" spans="1:22" ht="18" customHeight="1">
      <c r="A280" s="238"/>
      <c r="B280" s="239"/>
      <c r="C280" s="239"/>
      <c r="D280" s="239"/>
      <c r="E280" s="239"/>
      <c r="F280" s="239"/>
      <c r="G280" s="239"/>
      <c r="H280" s="239"/>
      <c r="I280" s="239"/>
      <c r="J280" s="239"/>
      <c r="K280" s="239"/>
      <c r="L280" s="239"/>
      <c r="M280" s="239"/>
      <c r="N280" s="239"/>
      <c r="O280" s="239"/>
      <c r="P280" s="239"/>
      <c r="Q280" s="239"/>
      <c r="R280" s="239"/>
      <c r="S280" s="239"/>
      <c r="T280" s="239"/>
      <c r="U280" s="239"/>
      <c r="V280" s="240"/>
    </row>
    <row r="281" spans="1:22" ht="18" customHeight="1">
      <c r="A281" s="274" t="s">
        <v>543</v>
      </c>
      <c r="B281" s="14"/>
      <c r="C281" s="14"/>
      <c r="D281" s="120"/>
      <c r="E281" s="120"/>
      <c r="F281" s="18"/>
      <c r="G281" s="18"/>
      <c r="H281" s="14"/>
      <c r="I281" s="14"/>
      <c r="J281" s="14"/>
      <c r="K281" s="14"/>
      <c r="L281" s="14"/>
      <c r="M281" s="14"/>
      <c r="N281" s="14"/>
      <c r="O281" s="14"/>
      <c r="P281" s="28"/>
      <c r="Q281" s="120"/>
      <c r="R281" s="47"/>
      <c r="S281" s="218"/>
      <c r="T281" s="271"/>
      <c r="U281" s="14"/>
      <c r="V281" s="97"/>
    </row>
    <row r="282" spans="1:22" customFormat="1" ht="18" customHeight="1">
      <c r="A282" s="782" t="s">
        <v>97</v>
      </c>
      <c r="B282" s="782"/>
      <c r="C282" s="612"/>
      <c r="D282" s="782" t="s">
        <v>98</v>
      </c>
      <c r="E282" s="782"/>
      <c r="F282" s="782"/>
      <c r="G282" s="782" t="s">
        <v>99</v>
      </c>
      <c r="H282" s="782"/>
      <c r="I282" s="782" t="s">
        <v>100</v>
      </c>
      <c r="J282" s="782"/>
      <c r="K282" s="782" t="s">
        <v>513</v>
      </c>
      <c r="L282" s="782"/>
      <c r="M282" s="782" t="s">
        <v>514</v>
      </c>
      <c r="N282" s="782"/>
      <c r="O282" s="782" t="s">
        <v>515</v>
      </c>
      <c r="P282" s="782"/>
      <c r="Q282" s="782" t="s">
        <v>516</v>
      </c>
      <c r="R282" s="782"/>
      <c r="S282" s="782" t="s">
        <v>105</v>
      </c>
      <c r="T282" s="782"/>
      <c r="U282" s="782"/>
      <c r="V282" s="782"/>
    </row>
    <row r="283" spans="1:22" customFormat="1" ht="18" customHeight="1">
      <c r="A283" s="782"/>
      <c r="B283" s="782"/>
      <c r="C283" s="612"/>
      <c r="D283" s="782"/>
      <c r="E283" s="782"/>
      <c r="F283" s="782"/>
      <c r="G283" s="782"/>
      <c r="H283" s="782"/>
      <c r="I283" s="782"/>
      <c r="J283" s="782"/>
      <c r="K283" s="782"/>
      <c r="L283" s="782"/>
      <c r="M283" s="782"/>
      <c r="N283" s="782"/>
      <c r="O283" s="782"/>
      <c r="P283" s="782"/>
      <c r="Q283" s="782"/>
      <c r="R283" s="782"/>
      <c r="S283" s="782"/>
      <c r="T283" s="782"/>
      <c r="U283" s="782"/>
      <c r="V283" s="782"/>
    </row>
    <row r="284" spans="1:22" customFormat="1" ht="18" customHeight="1">
      <c r="A284" s="782"/>
      <c r="B284" s="782"/>
      <c r="C284" s="612"/>
      <c r="D284" s="782"/>
      <c r="E284" s="782"/>
      <c r="F284" s="782"/>
      <c r="G284" s="782"/>
      <c r="H284" s="782"/>
      <c r="I284" s="782"/>
      <c r="J284" s="782"/>
      <c r="K284" s="782"/>
      <c r="L284" s="782"/>
      <c r="M284" s="782"/>
      <c r="N284" s="782"/>
      <c r="O284" s="782"/>
      <c r="P284" s="782"/>
      <c r="Q284" s="782"/>
      <c r="R284" s="782"/>
      <c r="S284" s="782"/>
      <c r="T284" s="782"/>
      <c r="U284" s="782"/>
      <c r="V284" s="782"/>
    </row>
    <row r="285" spans="1:22" customFormat="1" ht="18" customHeight="1">
      <c r="A285" s="782"/>
      <c r="B285" s="782"/>
      <c r="C285" s="612"/>
      <c r="D285" s="782"/>
      <c r="E285" s="782"/>
      <c r="F285" s="782"/>
      <c r="G285" s="782"/>
      <c r="H285" s="782"/>
      <c r="I285" s="782"/>
      <c r="J285" s="782"/>
      <c r="K285" s="782"/>
      <c r="L285" s="782"/>
      <c r="M285" s="782"/>
      <c r="N285" s="782"/>
      <c r="O285" s="782"/>
      <c r="P285" s="782"/>
      <c r="Q285" s="782"/>
      <c r="R285" s="782"/>
      <c r="S285" s="782"/>
      <c r="T285" s="782"/>
      <c r="U285" s="782"/>
      <c r="V285" s="782"/>
    </row>
    <row r="286" spans="1:22" customFormat="1" ht="18" customHeight="1">
      <c r="A286" s="623" t="str">
        <f>B7</f>
        <v>T1</v>
      </c>
      <c r="B286" s="623" t="str">
        <f>D7</f>
        <v>Core3</v>
      </c>
      <c r="C286" s="623"/>
      <c r="D286" s="613">
        <f>H10</f>
        <v>2500</v>
      </c>
      <c r="E286" s="613"/>
      <c r="F286" s="624">
        <f>O10</f>
        <v>1</v>
      </c>
      <c r="G286" s="613">
        <f>'CT-VT Burdens'!S19</f>
        <v>80</v>
      </c>
      <c r="H286" s="783">
        <f>'CT-VT Burdens'!S28</f>
        <v>2.5</v>
      </c>
      <c r="I286" s="783" t="str">
        <f>H11</f>
        <v>PX</v>
      </c>
      <c r="J286" s="783"/>
      <c r="K286" s="612">
        <f>H12</f>
        <v>10</v>
      </c>
      <c r="L286" s="612"/>
      <c r="M286" s="612">
        <f>H13</f>
        <v>325</v>
      </c>
      <c r="N286" s="612"/>
      <c r="O286" s="613">
        <f>H14</f>
        <v>50</v>
      </c>
      <c r="P286" s="613"/>
      <c r="Q286" s="629" t="str">
        <f>CONCATENATE(T7,T8,T9)</f>
        <v>REC670REF615FMS</v>
      </c>
      <c r="R286" s="629"/>
      <c r="S286" s="786" t="s">
        <v>544</v>
      </c>
      <c r="T286" s="613"/>
      <c r="U286" s="613"/>
      <c r="V286" s="613"/>
    </row>
    <row r="287" spans="1:22" customFormat="1" ht="18" customHeight="1">
      <c r="A287" s="623"/>
      <c r="B287" s="623"/>
      <c r="C287" s="623"/>
      <c r="D287" s="786" t="s">
        <v>7</v>
      </c>
      <c r="E287" s="613"/>
      <c r="F287" s="625"/>
      <c r="G287" s="613"/>
      <c r="H287" s="613"/>
      <c r="I287" s="783"/>
      <c r="J287" s="783"/>
      <c r="K287" s="785" t="s">
        <v>7</v>
      </c>
      <c r="L287" s="612"/>
      <c r="M287" s="785" t="s">
        <v>7</v>
      </c>
      <c r="N287" s="612"/>
      <c r="O287" s="786" t="s">
        <v>7</v>
      </c>
      <c r="P287" s="613"/>
      <c r="Q287" s="629"/>
      <c r="R287" s="629"/>
      <c r="S287" s="786" t="s">
        <v>7</v>
      </c>
      <c r="T287" s="613"/>
      <c r="U287" s="613"/>
      <c r="V287" s="613"/>
    </row>
    <row r="288" spans="1:22" customFormat="1" ht="18" customHeight="1">
      <c r="A288" s="623"/>
      <c r="B288" s="623"/>
      <c r="C288" s="623"/>
      <c r="D288" s="786" t="s">
        <v>7</v>
      </c>
      <c r="E288" s="613"/>
      <c r="F288" s="626"/>
      <c r="G288" s="613"/>
      <c r="H288" s="613"/>
      <c r="I288" s="783"/>
      <c r="J288" s="783"/>
      <c r="K288" s="785" t="s">
        <v>7</v>
      </c>
      <c r="L288" s="612"/>
      <c r="M288" s="785" t="s">
        <v>7</v>
      </c>
      <c r="N288" s="612"/>
      <c r="O288" s="786" t="s">
        <v>7</v>
      </c>
      <c r="P288" s="613"/>
      <c r="Q288" s="629"/>
      <c r="R288" s="629"/>
      <c r="S288" s="613" t="s">
        <v>7</v>
      </c>
      <c r="T288" s="613"/>
      <c r="U288" s="613"/>
      <c r="V288" s="613"/>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196"/>
      <c r="V314" s="197"/>
    </row>
    <row r="315" spans="1:22" ht="18" customHeight="1">
      <c r="A315" s="196"/>
      <c r="V315" s="197"/>
    </row>
    <row r="316" spans="1:22" ht="18" customHeight="1">
      <c r="A316" s="196"/>
      <c r="V316" s="197"/>
    </row>
    <row r="317" spans="1:22" ht="18" customHeight="1">
      <c r="A317" s="196"/>
      <c r="V317" s="197"/>
    </row>
    <row r="318" spans="1:22" ht="18" customHeight="1">
      <c r="A318" s="196"/>
      <c r="V318" s="197"/>
    </row>
    <row r="319" spans="1:22" ht="18" customHeight="1">
      <c r="A319" s="196"/>
      <c r="V319" s="197"/>
    </row>
    <row r="320" spans="1:22" ht="18" customHeight="1">
      <c r="A320" s="196"/>
      <c r="V320" s="197"/>
    </row>
    <row r="321" spans="1:22" ht="18" customHeight="1">
      <c r="A321" s="196"/>
      <c r="V321" s="197"/>
    </row>
    <row r="322" spans="1:22" s="14" customFormat="1" ht="18" customHeight="1">
      <c r="A322" s="206"/>
      <c r="B322" s="207"/>
      <c r="C322" s="207"/>
      <c r="D322" s="207"/>
      <c r="E322" s="207"/>
      <c r="F322" s="207"/>
      <c r="G322" s="207"/>
      <c r="H322" s="207"/>
      <c r="I322" s="207"/>
      <c r="J322" s="207"/>
      <c r="K322" s="207"/>
      <c r="L322" s="207"/>
      <c r="M322" s="207"/>
      <c r="N322" s="207"/>
      <c r="O322" s="207"/>
      <c r="P322" s="207"/>
      <c r="Q322" s="236"/>
      <c r="R322" s="194"/>
      <c r="S322" s="237"/>
      <c r="T322" s="207"/>
      <c r="U322" s="207"/>
      <c r="V322" s="140"/>
    </row>
  </sheetData>
  <mergeCells count="238">
    <mergeCell ref="K288:L288"/>
    <mergeCell ref="M288:N288"/>
    <mergeCell ref="O288:P288"/>
    <mergeCell ref="S288:V288"/>
    <mergeCell ref="I286:J288"/>
    <mergeCell ref="K286:L286"/>
    <mergeCell ref="M286:N286"/>
    <mergeCell ref="O286:P286"/>
    <mergeCell ref="Q286:R288"/>
    <mergeCell ref="S286:V286"/>
    <mergeCell ref="K287:L287"/>
    <mergeCell ref="M287:N287"/>
    <mergeCell ref="O287:P287"/>
    <mergeCell ref="S287:V287"/>
    <mergeCell ref="A286:A288"/>
    <mergeCell ref="B286:C288"/>
    <mergeCell ref="D286:E286"/>
    <mergeCell ref="F286:F288"/>
    <mergeCell ref="G286:G288"/>
    <mergeCell ref="H286:H288"/>
    <mergeCell ref="D287:E287"/>
    <mergeCell ref="D288:E288"/>
    <mergeCell ref="I282:J285"/>
    <mergeCell ref="K282:L285"/>
    <mergeCell ref="M282:N285"/>
    <mergeCell ref="O282:P285"/>
    <mergeCell ref="Q282:R285"/>
    <mergeCell ref="S282:V285"/>
    <mergeCell ref="G243:H243"/>
    <mergeCell ref="D246:E246"/>
    <mergeCell ref="G246:H246"/>
    <mergeCell ref="A282:C285"/>
    <mergeCell ref="D282:F285"/>
    <mergeCell ref="G282:H285"/>
    <mergeCell ref="E228:F228"/>
    <mergeCell ref="G237:H237"/>
    <mergeCell ref="J237:K237"/>
    <mergeCell ref="G238:H238"/>
    <mergeCell ref="J238:K238"/>
    <mergeCell ref="G239:H239"/>
    <mergeCell ref="S220:T220"/>
    <mergeCell ref="S221:T221"/>
    <mergeCell ref="S222:T222"/>
    <mergeCell ref="S223:T223"/>
    <mergeCell ref="H226:I226"/>
    <mergeCell ref="H227:I227"/>
    <mergeCell ref="J208:K208"/>
    <mergeCell ref="A210:V211"/>
    <mergeCell ref="H215:I215"/>
    <mergeCell ref="S217:T217"/>
    <mergeCell ref="S218:T218"/>
    <mergeCell ref="S219:T219"/>
    <mergeCell ref="L200:M200"/>
    <mergeCell ref="J204:K204"/>
    <mergeCell ref="J205:K205"/>
    <mergeCell ref="J206:K206"/>
    <mergeCell ref="J207:K207"/>
    <mergeCell ref="P207:Q207"/>
    <mergeCell ref="H196:I196"/>
    <mergeCell ref="J196:K196"/>
    <mergeCell ref="L196:M196"/>
    <mergeCell ref="L197:M197"/>
    <mergeCell ref="L198:M198"/>
    <mergeCell ref="L199:M199"/>
    <mergeCell ref="T193:U193"/>
    <mergeCell ref="T194:U194"/>
    <mergeCell ref="H195:I195"/>
    <mergeCell ref="J195:K195"/>
    <mergeCell ref="L195:M195"/>
    <mergeCell ref="T195:U195"/>
    <mergeCell ref="G155:H155"/>
    <mergeCell ref="D158:E158"/>
    <mergeCell ref="G158:H158"/>
    <mergeCell ref="B193:C193"/>
    <mergeCell ref="D193:E193"/>
    <mergeCell ref="H193:M193"/>
    <mergeCell ref="E140:F140"/>
    <mergeCell ref="G149:H149"/>
    <mergeCell ref="J149:K149"/>
    <mergeCell ref="G150:H150"/>
    <mergeCell ref="J150:K150"/>
    <mergeCell ref="G151:H151"/>
    <mergeCell ref="S132:T132"/>
    <mergeCell ref="S133:T133"/>
    <mergeCell ref="S134:T134"/>
    <mergeCell ref="S135:T135"/>
    <mergeCell ref="H138:I138"/>
    <mergeCell ref="H139:I139"/>
    <mergeCell ref="J120:K120"/>
    <mergeCell ref="A122:V123"/>
    <mergeCell ref="H127:I127"/>
    <mergeCell ref="S129:T129"/>
    <mergeCell ref="S130:T130"/>
    <mergeCell ref="S131:T131"/>
    <mergeCell ref="J112:K112"/>
    <mergeCell ref="J116:K116"/>
    <mergeCell ref="J117:K117"/>
    <mergeCell ref="J118:K118"/>
    <mergeCell ref="J119:K119"/>
    <mergeCell ref="P119:Q119"/>
    <mergeCell ref="H108:I108"/>
    <mergeCell ref="J108:K108"/>
    <mergeCell ref="L108:M108"/>
    <mergeCell ref="J109:K109"/>
    <mergeCell ref="J110:K110"/>
    <mergeCell ref="J111:K111"/>
    <mergeCell ref="B105:C105"/>
    <mergeCell ref="D105:E105"/>
    <mergeCell ref="H105:M105"/>
    <mergeCell ref="T105:U105"/>
    <mergeCell ref="T106:U106"/>
    <mergeCell ref="H107:I107"/>
    <mergeCell ref="J107:K107"/>
    <mergeCell ref="L107:M107"/>
    <mergeCell ref="T107:U107"/>
    <mergeCell ref="D66:E66"/>
    <mergeCell ref="E70:F70"/>
    <mergeCell ref="H70:I70"/>
    <mergeCell ref="I63:J63"/>
    <mergeCell ref="K63:K64"/>
    <mergeCell ref="L63:L64"/>
    <mergeCell ref="M63:M64"/>
    <mergeCell ref="N63:N64"/>
    <mergeCell ref="O63:O64"/>
    <mergeCell ref="N69:O69"/>
    <mergeCell ref="N70:O70"/>
    <mergeCell ref="S57:T57"/>
    <mergeCell ref="S58:T58"/>
    <mergeCell ref="S59:T59"/>
    <mergeCell ref="S60:T60"/>
    <mergeCell ref="S61:T61"/>
    <mergeCell ref="B63:C64"/>
    <mergeCell ref="D63:D64"/>
    <mergeCell ref="E63:E64"/>
    <mergeCell ref="F63:G64"/>
    <mergeCell ref="H63:H64"/>
    <mergeCell ref="P63:P64"/>
    <mergeCell ref="Q63:S63"/>
    <mergeCell ref="T63:T64"/>
    <mergeCell ref="I64:J64"/>
    <mergeCell ref="S51:S52"/>
    <mergeCell ref="T51:T52"/>
    <mergeCell ref="H52:I52"/>
    <mergeCell ref="H53:I53"/>
    <mergeCell ref="S55:T55"/>
    <mergeCell ref="S56:T56"/>
    <mergeCell ref="K51:K52"/>
    <mergeCell ref="L51:L52"/>
    <mergeCell ref="M51:M52"/>
    <mergeCell ref="N51:N52"/>
    <mergeCell ref="O51:O52"/>
    <mergeCell ref="P51:R51"/>
    <mergeCell ref="S54:T54"/>
    <mergeCell ref="D40:E40"/>
    <mergeCell ref="B51:D52"/>
    <mergeCell ref="E51:E52"/>
    <mergeCell ref="F51:F52"/>
    <mergeCell ref="G51:G52"/>
    <mergeCell ref="H51:I51"/>
    <mergeCell ref="J51:J52"/>
    <mergeCell ref="K37:K38"/>
    <mergeCell ref="L37:L38"/>
    <mergeCell ref="S32:T32"/>
    <mergeCell ref="S33:T33"/>
    <mergeCell ref="S34:T34"/>
    <mergeCell ref="S35:T35"/>
    <mergeCell ref="B37:C38"/>
    <mergeCell ref="D37:D38"/>
    <mergeCell ref="E37:E38"/>
    <mergeCell ref="F37:G38"/>
    <mergeCell ref="H37:H38"/>
    <mergeCell ref="I37:J37"/>
    <mergeCell ref="Q37:S37"/>
    <mergeCell ref="T37:T38"/>
    <mergeCell ref="I38:J38"/>
    <mergeCell ref="M37:M38"/>
    <mergeCell ref="N37:N38"/>
    <mergeCell ref="O37:O38"/>
    <mergeCell ref="P37:P38"/>
    <mergeCell ref="T25:T26"/>
    <mergeCell ref="H26:I26"/>
    <mergeCell ref="H27:I27"/>
    <mergeCell ref="S29:T29"/>
    <mergeCell ref="S30:T30"/>
    <mergeCell ref="S31:T31"/>
    <mergeCell ref="L25:L26"/>
    <mergeCell ref="M25:M26"/>
    <mergeCell ref="N25:N26"/>
    <mergeCell ref="O25:O26"/>
    <mergeCell ref="P25:R25"/>
    <mergeCell ref="S25:S26"/>
    <mergeCell ref="S28:T28"/>
    <mergeCell ref="J22:K22"/>
    <mergeCell ref="B25:D26"/>
    <mergeCell ref="E25:E26"/>
    <mergeCell ref="F25:F26"/>
    <mergeCell ref="G25:G26"/>
    <mergeCell ref="H25:I25"/>
    <mergeCell ref="J25:J26"/>
    <mergeCell ref="K25:K26"/>
    <mergeCell ref="H14:I14"/>
    <mergeCell ref="J18:K18"/>
    <mergeCell ref="J19:K19"/>
    <mergeCell ref="J20:K20"/>
    <mergeCell ref="J21:K21"/>
    <mergeCell ref="P21:Q21"/>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H72 H88:H89">
    <cfRule type="cellIs" dxfId="57" priority="4" stopIfTrue="1" operator="equal">
      <formula>"Under Dimentioned"</formula>
    </cfRule>
  </conditionalFormatting>
  <conditionalFormatting sqref="H81">
    <cfRule type="cellIs" dxfId="56" priority="1" stopIfTrue="1" operator="equal">
      <formula>"Under Dimentioned"</formula>
    </cfRule>
  </conditionalFormatting>
  <conditionalFormatting sqref="H85 G159 G247">
    <cfRule type="cellIs" dxfId="55" priority="5" stopIfTrue="1" operator="equal">
      <formula>"Under Dimentioned"</formula>
    </cfRule>
  </conditionalFormatting>
  <dataValidations disablePrompts="1" count="1">
    <dataValidation type="list" allowBlank="1" showInputMessage="1" showErrorMessage="1" sqref="D193 IZ193 SV193 ACR193 AMN193 AWJ193 BGF193 BQB193 BZX193 CJT193 CTP193 DDL193 DNH193 DXD193 EGZ193 EQV193 FAR193 FKN193 FUJ193 GEF193 GOB193 GXX193 HHT193 HRP193 IBL193 ILH193 IVD193 JEZ193 JOV193 JYR193 KIN193 KSJ193 LCF193 LMB193 LVX193 MFT193 MPP193 MZL193 NJH193 NTD193 OCZ193 OMV193 OWR193 PGN193 PQJ193 QAF193 QKB193 QTX193 RDT193 RNP193 RXL193 SHH193 SRD193 TAZ193 TKV193 TUR193 UEN193 UOJ193 UYF193 VIB193 VRX193 WBT193 WLP193 WVL193 D65728 IZ65728 SV65728 ACR65728 AMN65728 AWJ65728 BGF65728 BQB65728 BZX65728 CJT65728 CTP65728 DDL65728 DNH65728 DXD65728 EGZ65728 EQV65728 FAR65728 FKN65728 FUJ65728 GEF65728 GOB65728 GXX65728 HHT65728 HRP65728 IBL65728 ILH65728 IVD65728 JEZ65728 JOV65728 JYR65728 KIN65728 KSJ65728 LCF65728 LMB65728 LVX65728 MFT65728 MPP65728 MZL65728 NJH65728 NTD65728 OCZ65728 OMV65728 OWR65728 PGN65728 PQJ65728 QAF65728 QKB65728 QTX65728 RDT65728 RNP65728 RXL65728 SHH65728 SRD65728 TAZ65728 TKV65728 TUR65728 UEN65728 UOJ65728 UYF65728 VIB65728 VRX65728 WBT65728 WLP65728 WVL65728 D131264 IZ131264 SV131264 ACR131264 AMN131264 AWJ131264 BGF131264 BQB131264 BZX131264 CJT131264 CTP131264 DDL131264 DNH131264 DXD131264 EGZ131264 EQV131264 FAR131264 FKN131264 FUJ131264 GEF131264 GOB131264 GXX131264 HHT131264 HRP131264 IBL131264 ILH131264 IVD131264 JEZ131264 JOV131264 JYR131264 KIN131264 KSJ131264 LCF131264 LMB131264 LVX131264 MFT131264 MPP131264 MZL131264 NJH131264 NTD131264 OCZ131264 OMV131264 OWR131264 PGN131264 PQJ131264 QAF131264 QKB131264 QTX131264 RDT131264 RNP131264 RXL131264 SHH131264 SRD131264 TAZ131264 TKV131264 TUR131264 UEN131264 UOJ131264 UYF131264 VIB131264 VRX131264 WBT131264 WLP131264 WVL131264 D196800 IZ196800 SV196800 ACR196800 AMN196800 AWJ196800 BGF196800 BQB196800 BZX196800 CJT196800 CTP196800 DDL196800 DNH196800 DXD196800 EGZ196800 EQV196800 FAR196800 FKN196800 FUJ196800 GEF196800 GOB196800 GXX196800 HHT196800 HRP196800 IBL196800 ILH196800 IVD196800 JEZ196800 JOV196800 JYR196800 KIN196800 KSJ196800 LCF196800 LMB196800 LVX196800 MFT196800 MPP196800 MZL196800 NJH196800 NTD196800 OCZ196800 OMV196800 OWR196800 PGN196800 PQJ196800 QAF196800 QKB196800 QTX196800 RDT196800 RNP196800 RXL196800 SHH196800 SRD196800 TAZ196800 TKV196800 TUR196800 UEN196800 UOJ196800 UYF196800 VIB196800 VRX196800 WBT196800 WLP196800 WVL196800 D262336 IZ262336 SV262336 ACR262336 AMN262336 AWJ262336 BGF262336 BQB262336 BZX262336 CJT262336 CTP262336 DDL262336 DNH262336 DXD262336 EGZ262336 EQV262336 FAR262336 FKN262336 FUJ262336 GEF262336 GOB262336 GXX262336 HHT262336 HRP262336 IBL262336 ILH262336 IVD262336 JEZ262336 JOV262336 JYR262336 KIN262336 KSJ262336 LCF262336 LMB262336 LVX262336 MFT262336 MPP262336 MZL262336 NJH262336 NTD262336 OCZ262336 OMV262336 OWR262336 PGN262336 PQJ262336 QAF262336 QKB262336 QTX262336 RDT262336 RNP262336 RXL262336 SHH262336 SRD262336 TAZ262336 TKV262336 TUR262336 UEN262336 UOJ262336 UYF262336 VIB262336 VRX262336 WBT262336 WLP262336 WVL262336 D327872 IZ327872 SV327872 ACR327872 AMN327872 AWJ327872 BGF327872 BQB327872 BZX327872 CJT327872 CTP327872 DDL327872 DNH327872 DXD327872 EGZ327872 EQV327872 FAR327872 FKN327872 FUJ327872 GEF327872 GOB327872 GXX327872 HHT327872 HRP327872 IBL327872 ILH327872 IVD327872 JEZ327872 JOV327872 JYR327872 KIN327872 KSJ327872 LCF327872 LMB327872 LVX327872 MFT327872 MPP327872 MZL327872 NJH327872 NTD327872 OCZ327872 OMV327872 OWR327872 PGN327872 PQJ327872 QAF327872 QKB327872 QTX327872 RDT327872 RNP327872 RXL327872 SHH327872 SRD327872 TAZ327872 TKV327872 TUR327872 UEN327872 UOJ327872 UYF327872 VIB327872 VRX327872 WBT327872 WLP327872 WVL327872 D393408 IZ393408 SV393408 ACR393408 AMN393408 AWJ393408 BGF393408 BQB393408 BZX393408 CJT393408 CTP393408 DDL393408 DNH393408 DXD393408 EGZ393408 EQV393408 FAR393408 FKN393408 FUJ393408 GEF393408 GOB393408 GXX393408 HHT393408 HRP393408 IBL393408 ILH393408 IVD393408 JEZ393408 JOV393408 JYR393408 KIN393408 KSJ393408 LCF393408 LMB393408 LVX393408 MFT393408 MPP393408 MZL393408 NJH393408 NTD393408 OCZ393408 OMV393408 OWR393408 PGN393408 PQJ393408 QAF393408 QKB393408 QTX393408 RDT393408 RNP393408 RXL393408 SHH393408 SRD393408 TAZ393408 TKV393408 TUR393408 UEN393408 UOJ393408 UYF393408 VIB393408 VRX393408 WBT393408 WLP393408 WVL393408 D458944 IZ458944 SV458944 ACR458944 AMN458944 AWJ458944 BGF458944 BQB458944 BZX458944 CJT458944 CTP458944 DDL458944 DNH458944 DXD458944 EGZ458944 EQV458944 FAR458944 FKN458944 FUJ458944 GEF458944 GOB458944 GXX458944 HHT458944 HRP458944 IBL458944 ILH458944 IVD458944 JEZ458944 JOV458944 JYR458944 KIN458944 KSJ458944 LCF458944 LMB458944 LVX458944 MFT458944 MPP458944 MZL458944 NJH458944 NTD458944 OCZ458944 OMV458944 OWR458944 PGN458944 PQJ458944 QAF458944 QKB458944 QTX458944 RDT458944 RNP458944 RXL458944 SHH458944 SRD458944 TAZ458944 TKV458944 TUR458944 UEN458944 UOJ458944 UYF458944 VIB458944 VRX458944 WBT458944 WLP458944 WVL458944 D524480 IZ524480 SV524480 ACR524480 AMN524480 AWJ524480 BGF524480 BQB524480 BZX524480 CJT524480 CTP524480 DDL524480 DNH524480 DXD524480 EGZ524480 EQV524480 FAR524480 FKN524480 FUJ524480 GEF524480 GOB524480 GXX524480 HHT524480 HRP524480 IBL524480 ILH524480 IVD524480 JEZ524480 JOV524480 JYR524480 KIN524480 KSJ524480 LCF524480 LMB524480 LVX524480 MFT524480 MPP524480 MZL524480 NJH524480 NTD524480 OCZ524480 OMV524480 OWR524480 PGN524480 PQJ524480 QAF524480 QKB524480 QTX524480 RDT524480 RNP524480 RXL524480 SHH524480 SRD524480 TAZ524480 TKV524480 TUR524480 UEN524480 UOJ524480 UYF524480 VIB524480 VRX524480 WBT524480 WLP524480 WVL524480 D590016 IZ590016 SV590016 ACR590016 AMN590016 AWJ590016 BGF590016 BQB590016 BZX590016 CJT590016 CTP590016 DDL590016 DNH590016 DXD590016 EGZ590016 EQV590016 FAR590016 FKN590016 FUJ590016 GEF590016 GOB590016 GXX590016 HHT590016 HRP590016 IBL590016 ILH590016 IVD590016 JEZ590016 JOV590016 JYR590016 KIN590016 KSJ590016 LCF590016 LMB590016 LVX590016 MFT590016 MPP590016 MZL590016 NJH590016 NTD590016 OCZ590016 OMV590016 OWR590016 PGN590016 PQJ590016 QAF590016 QKB590016 QTX590016 RDT590016 RNP590016 RXL590016 SHH590016 SRD590016 TAZ590016 TKV590016 TUR590016 UEN590016 UOJ590016 UYF590016 VIB590016 VRX590016 WBT590016 WLP590016 WVL590016 D655552 IZ655552 SV655552 ACR655552 AMN655552 AWJ655552 BGF655552 BQB655552 BZX655552 CJT655552 CTP655552 DDL655552 DNH655552 DXD655552 EGZ655552 EQV655552 FAR655552 FKN655552 FUJ655552 GEF655552 GOB655552 GXX655552 HHT655552 HRP655552 IBL655552 ILH655552 IVD655552 JEZ655552 JOV655552 JYR655552 KIN655552 KSJ655552 LCF655552 LMB655552 LVX655552 MFT655552 MPP655552 MZL655552 NJH655552 NTD655552 OCZ655552 OMV655552 OWR655552 PGN655552 PQJ655552 QAF655552 QKB655552 QTX655552 RDT655552 RNP655552 RXL655552 SHH655552 SRD655552 TAZ655552 TKV655552 TUR655552 UEN655552 UOJ655552 UYF655552 VIB655552 VRX655552 WBT655552 WLP655552 WVL655552 D721088 IZ721088 SV721088 ACR721088 AMN721088 AWJ721088 BGF721088 BQB721088 BZX721088 CJT721088 CTP721088 DDL721088 DNH721088 DXD721088 EGZ721088 EQV721088 FAR721088 FKN721088 FUJ721088 GEF721088 GOB721088 GXX721088 HHT721088 HRP721088 IBL721088 ILH721088 IVD721088 JEZ721088 JOV721088 JYR721088 KIN721088 KSJ721088 LCF721088 LMB721088 LVX721088 MFT721088 MPP721088 MZL721088 NJH721088 NTD721088 OCZ721088 OMV721088 OWR721088 PGN721088 PQJ721088 QAF721088 QKB721088 QTX721088 RDT721088 RNP721088 RXL721088 SHH721088 SRD721088 TAZ721088 TKV721088 TUR721088 UEN721088 UOJ721088 UYF721088 VIB721088 VRX721088 WBT721088 WLP721088 WVL721088 D786624 IZ786624 SV786624 ACR786624 AMN786624 AWJ786624 BGF786624 BQB786624 BZX786624 CJT786624 CTP786624 DDL786624 DNH786624 DXD786624 EGZ786624 EQV786624 FAR786624 FKN786624 FUJ786624 GEF786624 GOB786624 GXX786624 HHT786624 HRP786624 IBL786624 ILH786624 IVD786624 JEZ786624 JOV786624 JYR786624 KIN786624 KSJ786624 LCF786624 LMB786624 LVX786624 MFT786624 MPP786624 MZL786624 NJH786624 NTD786624 OCZ786624 OMV786624 OWR786624 PGN786624 PQJ786624 QAF786624 QKB786624 QTX786624 RDT786624 RNP786624 RXL786624 SHH786624 SRD786624 TAZ786624 TKV786624 TUR786624 UEN786624 UOJ786624 UYF786624 VIB786624 VRX786624 WBT786624 WLP786624 WVL786624 D852160 IZ852160 SV852160 ACR852160 AMN852160 AWJ852160 BGF852160 BQB852160 BZX852160 CJT852160 CTP852160 DDL852160 DNH852160 DXD852160 EGZ852160 EQV852160 FAR852160 FKN852160 FUJ852160 GEF852160 GOB852160 GXX852160 HHT852160 HRP852160 IBL852160 ILH852160 IVD852160 JEZ852160 JOV852160 JYR852160 KIN852160 KSJ852160 LCF852160 LMB852160 LVX852160 MFT852160 MPP852160 MZL852160 NJH852160 NTD852160 OCZ852160 OMV852160 OWR852160 PGN852160 PQJ852160 QAF852160 QKB852160 QTX852160 RDT852160 RNP852160 RXL852160 SHH852160 SRD852160 TAZ852160 TKV852160 TUR852160 UEN852160 UOJ852160 UYF852160 VIB852160 VRX852160 WBT852160 WLP852160 WVL852160 D917696 IZ917696 SV917696 ACR917696 AMN917696 AWJ917696 BGF917696 BQB917696 BZX917696 CJT917696 CTP917696 DDL917696 DNH917696 DXD917696 EGZ917696 EQV917696 FAR917696 FKN917696 FUJ917696 GEF917696 GOB917696 GXX917696 HHT917696 HRP917696 IBL917696 ILH917696 IVD917696 JEZ917696 JOV917696 JYR917696 KIN917696 KSJ917696 LCF917696 LMB917696 LVX917696 MFT917696 MPP917696 MZL917696 NJH917696 NTD917696 OCZ917696 OMV917696 OWR917696 PGN917696 PQJ917696 QAF917696 QKB917696 QTX917696 RDT917696 RNP917696 RXL917696 SHH917696 SRD917696 TAZ917696 TKV917696 TUR917696 UEN917696 UOJ917696 UYF917696 VIB917696 VRX917696 WBT917696 WLP917696 WVL917696 D983232 IZ983232 SV983232 ACR983232 AMN983232 AWJ983232 BGF983232 BQB983232 BZX983232 CJT983232 CTP983232 DDL983232 DNH983232 DXD983232 EGZ983232 EQV983232 FAR983232 FKN983232 FUJ983232 GEF983232 GOB983232 GXX983232 HHT983232 HRP983232 IBL983232 ILH983232 IVD983232 JEZ983232 JOV983232 JYR983232 KIN983232 KSJ983232 LCF983232 LMB983232 LVX983232 MFT983232 MPP983232 MZL983232 NJH983232 NTD983232 OCZ983232 OMV983232 OWR983232 PGN983232 PQJ983232 QAF983232 QKB983232 QTX983232 RDT983232 RNP983232 RXL983232 SHH983232 SRD983232 TAZ983232 TKV983232 TUR983232 UEN983232 UOJ983232 UYF983232 VIB983232 VRX983232 WBT983232 WLP983232 WVL983232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D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D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D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D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D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D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D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D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D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D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D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D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D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D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D105 IZ105 SV105 ACR105 AMN105 AWJ105 BGF105 BQB105 BZX105 CJT105 CTP105 DDL105 DNH105 DXD105 EGZ105 EQV105 FAR105 FKN105 FUJ105 GEF105 GOB105 GXX105 HHT105 HRP105 IBL105 ILH105 IVD105 JEZ105 JOV105 JYR105 KIN105 KSJ105 LCF105 LMB105 LVX105 MFT105 MPP105 MZL105 NJH105 NTD105 OCZ105 OMV105 OWR105 PGN105 PQJ105 QAF105 QKB105 QTX105 RDT105 RNP105 RXL105 SHH105 SRD105 TAZ105 TKV105 TUR105 UEN105 UOJ105 UYF105 VIB105 VRX105 WBT105 WLP105 WVL105 D65640 IZ65640 SV65640 ACR65640 AMN65640 AWJ65640 BGF65640 BQB65640 BZX65640 CJT65640 CTP65640 DDL65640 DNH65640 DXD65640 EGZ65640 EQV65640 FAR65640 FKN65640 FUJ65640 GEF65640 GOB65640 GXX65640 HHT65640 HRP65640 IBL65640 ILH65640 IVD65640 JEZ65640 JOV65640 JYR65640 KIN65640 KSJ65640 LCF65640 LMB65640 LVX65640 MFT65640 MPP65640 MZL65640 NJH65640 NTD65640 OCZ65640 OMV65640 OWR65640 PGN65640 PQJ65640 QAF65640 QKB65640 QTX65640 RDT65640 RNP65640 RXL65640 SHH65640 SRD65640 TAZ65640 TKV65640 TUR65640 UEN65640 UOJ65640 UYF65640 VIB65640 VRX65640 WBT65640 WLP65640 WVL65640 D131176 IZ131176 SV131176 ACR131176 AMN131176 AWJ131176 BGF131176 BQB131176 BZX131176 CJT131176 CTP131176 DDL131176 DNH131176 DXD131176 EGZ131176 EQV131176 FAR131176 FKN131176 FUJ131176 GEF131176 GOB131176 GXX131176 HHT131176 HRP131176 IBL131176 ILH131176 IVD131176 JEZ131176 JOV131176 JYR131176 KIN131176 KSJ131176 LCF131176 LMB131176 LVX131176 MFT131176 MPP131176 MZL131176 NJH131176 NTD131176 OCZ131176 OMV131176 OWR131176 PGN131176 PQJ131176 QAF131176 QKB131176 QTX131176 RDT131176 RNP131176 RXL131176 SHH131176 SRD131176 TAZ131176 TKV131176 TUR131176 UEN131176 UOJ131176 UYF131176 VIB131176 VRX131176 WBT131176 WLP131176 WVL131176 D196712 IZ196712 SV196712 ACR196712 AMN196712 AWJ196712 BGF196712 BQB196712 BZX196712 CJT196712 CTP196712 DDL196712 DNH196712 DXD196712 EGZ196712 EQV196712 FAR196712 FKN196712 FUJ196712 GEF196712 GOB196712 GXX196712 HHT196712 HRP196712 IBL196712 ILH196712 IVD196712 JEZ196712 JOV196712 JYR196712 KIN196712 KSJ196712 LCF196712 LMB196712 LVX196712 MFT196712 MPP196712 MZL196712 NJH196712 NTD196712 OCZ196712 OMV196712 OWR196712 PGN196712 PQJ196712 QAF196712 QKB196712 QTX196712 RDT196712 RNP196712 RXL196712 SHH196712 SRD196712 TAZ196712 TKV196712 TUR196712 UEN196712 UOJ196712 UYF196712 VIB196712 VRX196712 WBT196712 WLP196712 WVL196712 D262248 IZ262248 SV262248 ACR262248 AMN262248 AWJ262248 BGF262248 BQB262248 BZX262248 CJT262248 CTP262248 DDL262248 DNH262248 DXD262248 EGZ262248 EQV262248 FAR262248 FKN262248 FUJ262248 GEF262248 GOB262248 GXX262248 HHT262248 HRP262248 IBL262248 ILH262248 IVD262248 JEZ262248 JOV262248 JYR262248 KIN262248 KSJ262248 LCF262248 LMB262248 LVX262248 MFT262248 MPP262248 MZL262248 NJH262248 NTD262248 OCZ262248 OMV262248 OWR262248 PGN262248 PQJ262248 QAF262248 QKB262248 QTX262248 RDT262248 RNP262248 RXL262248 SHH262248 SRD262248 TAZ262248 TKV262248 TUR262248 UEN262248 UOJ262248 UYF262248 VIB262248 VRX262248 WBT262248 WLP262248 WVL262248 D327784 IZ327784 SV327784 ACR327784 AMN327784 AWJ327784 BGF327784 BQB327784 BZX327784 CJT327784 CTP327784 DDL327784 DNH327784 DXD327784 EGZ327784 EQV327784 FAR327784 FKN327784 FUJ327784 GEF327784 GOB327784 GXX327784 HHT327784 HRP327784 IBL327784 ILH327784 IVD327784 JEZ327784 JOV327784 JYR327784 KIN327784 KSJ327784 LCF327784 LMB327784 LVX327784 MFT327784 MPP327784 MZL327784 NJH327784 NTD327784 OCZ327784 OMV327784 OWR327784 PGN327784 PQJ327784 QAF327784 QKB327784 QTX327784 RDT327784 RNP327784 RXL327784 SHH327784 SRD327784 TAZ327784 TKV327784 TUR327784 UEN327784 UOJ327784 UYF327784 VIB327784 VRX327784 WBT327784 WLP327784 WVL327784 D393320 IZ393320 SV393320 ACR393320 AMN393320 AWJ393320 BGF393320 BQB393320 BZX393320 CJT393320 CTP393320 DDL393320 DNH393320 DXD393320 EGZ393320 EQV393320 FAR393320 FKN393320 FUJ393320 GEF393320 GOB393320 GXX393320 HHT393320 HRP393320 IBL393320 ILH393320 IVD393320 JEZ393320 JOV393320 JYR393320 KIN393320 KSJ393320 LCF393320 LMB393320 LVX393320 MFT393320 MPP393320 MZL393320 NJH393320 NTD393320 OCZ393320 OMV393320 OWR393320 PGN393320 PQJ393320 QAF393320 QKB393320 QTX393320 RDT393320 RNP393320 RXL393320 SHH393320 SRD393320 TAZ393320 TKV393320 TUR393320 UEN393320 UOJ393320 UYF393320 VIB393320 VRX393320 WBT393320 WLP393320 WVL393320 D458856 IZ458856 SV458856 ACR458856 AMN458856 AWJ458856 BGF458856 BQB458856 BZX458856 CJT458856 CTP458856 DDL458856 DNH458856 DXD458856 EGZ458856 EQV458856 FAR458856 FKN458856 FUJ458856 GEF458856 GOB458856 GXX458856 HHT458856 HRP458856 IBL458856 ILH458856 IVD458856 JEZ458856 JOV458856 JYR458856 KIN458856 KSJ458856 LCF458856 LMB458856 LVX458856 MFT458856 MPP458856 MZL458856 NJH458856 NTD458856 OCZ458856 OMV458856 OWR458856 PGN458856 PQJ458856 QAF458856 QKB458856 QTX458856 RDT458856 RNP458856 RXL458856 SHH458856 SRD458856 TAZ458856 TKV458856 TUR458856 UEN458856 UOJ458856 UYF458856 VIB458856 VRX458856 WBT458856 WLP458856 WVL458856 D524392 IZ524392 SV524392 ACR524392 AMN524392 AWJ524392 BGF524392 BQB524392 BZX524392 CJT524392 CTP524392 DDL524392 DNH524392 DXD524392 EGZ524392 EQV524392 FAR524392 FKN524392 FUJ524392 GEF524392 GOB524392 GXX524392 HHT524392 HRP524392 IBL524392 ILH524392 IVD524392 JEZ524392 JOV524392 JYR524392 KIN524392 KSJ524392 LCF524392 LMB524392 LVX524392 MFT524392 MPP524392 MZL524392 NJH524392 NTD524392 OCZ524392 OMV524392 OWR524392 PGN524392 PQJ524392 QAF524392 QKB524392 QTX524392 RDT524392 RNP524392 RXL524392 SHH524392 SRD524392 TAZ524392 TKV524392 TUR524392 UEN524392 UOJ524392 UYF524392 VIB524392 VRX524392 WBT524392 WLP524392 WVL524392 D589928 IZ589928 SV589928 ACR589928 AMN589928 AWJ589928 BGF589928 BQB589928 BZX589928 CJT589928 CTP589928 DDL589928 DNH589928 DXD589928 EGZ589928 EQV589928 FAR589928 FKN589928 FUJ589928 GEF589928 GOB589928 GXX589928 HHT589928 HRP589928 IBL589928 ILH589928 IVD589928 JEZ589928 JOV589928 JYR589928 KIN589928 KSJ589928 LCF589928 LMB589928 LVX589928 MFT589928 MPP589928 MZL589928 NJH589928 NTD589928 OCZ589928 OMV589928 OWR589928 PGN589928 PQJ589928 QAF589928 QKB589928 QTX589928 RDT589928 RNP589928 RXL589928 SHH589928 SRD589928 TAZ589928 TKV589928 TUR589928 UEN589928 UOJ589928 UYF589928 VIB589928 VRX589928 WBT589928 WLP589928 WVL589928 D655464 IZ655464 SV655464 ACR655464 AMN655464 AWJ655464 BGF655464 BQB655464 BZX655464 CJT655464 CTP655464 DDL655464 DNH655464 DXD655464 EGZ655464 EQV655464 FAR655464 FKN655464 FUJ655464 GEF655464 GOB655464 GXX655464 HHT655464 HRP655464 IBL655464 ILH655464 IVD655464 JEZ655464 JOV655464 JYR655464 KIN655464 KSJ655464 LCF655464 LMB655464 LVX655464 MFT655464 MPP655464 MZL655464 NJH655464 NTD655464 OCZ655464 OMV655464 OWR655464 PGN655464 PQJ655464 QAF655464 QKB655464 QTX655464 RDT655464 RNP655464 RXL655464 SHH655464 SRD655464 TAZ655464 TKV655464 TUR655464 UEN655464 UOJ655464 UYF655464 VIB655464 VRX655464 WBT655464 WLP655464 WVL655464 D721000 IZ721000 SV721000 ACR721000 AMN721000 AWJ721000 BGF721000 BQB721000 BZX721000 CJT721000 CTP721000 DDL721000 DNH721000 DXD721000 EGZ721000 EQV721000 FAR721000 FKN721000 FUJ721000 GEF721000 GOB721000 GXX721000 HHT721000 HRP721000 IBL721000 ILH721000 IVD721000 JEZ721000 JOV721000 JYR721000 KIN721000 KSJ721000 LCF721000 LMB721000 LVX721000 MFT721000 MPP721000 MZL721000 NJH721000 NTD721000 OCZ721000 OMV721000 OWR721000 PGN721000 PQJ721000 QAF721000 QKB721000 QTX721000 RDT721000 RNP721000 RXL721000 SHH721000 SRD721000 TAZ721000 TKV721000 TUR721000 UEN721000 UOJ721000 UYF721000 VIB721000 VRX721000 WBT721000 WLP721000 WVL721000 D786536 IZ786536 SV786536 ACR786536 AMN786536 AWJ786536 BGF786536 BQB786536 BZX786536 CJT786536 CTP786536 DDL786536 DNH786536 DXD786536 EGZ786536 EQV786536 FAR786536 FKN786536 FUJ786536 GEF786536 GOB786536 GXX786536 HHT786536 HRP786536 IBL786536 ILH786536 IVD786536 JEZ786536 JOV786536 JYR786536 KIN786536 KSJ786536 LCF786536 LMB786536 LVX786536 MFT786536 MPP786536 MZL786536 NJH786536 NTD786536 OCZ786536 OMV786536 OWR786536 PGN786536 PQJ786536 QAF786536 QKB786536 QTX786536 RDT786536 RNP786536 RXL786536 SHH786536 SRD786536 TAZ786536 TKV786536 TUR786536 UEN786536 UOJ786536 UYF786536 VIB786536 VRX786536 WBT786536 WLP786536 WVL786536 D852072 IZ852072 SV852072 ACR852072 AMN852072 AWJ852072 BGF852072 BQB852072 BZX852072 CJT852072 CTP852072 DDL852072 DNH852072 DXD852072 EGZ852072 EQV852072 FAR852072 FKN852072 FUJ852072 GEF852072 GOB852072 GXX852072 HHT852072 HRP852072 IBL852072 ILH852072 IVD852072 JEZ852072 JOV852072 JYR852072 KIN852072 KSJ852072 LCF852072 LMB852072 LVX852072 MFT852072 MPP852072 MZL852072 NJH852072 NTD852072 OCZ852072 OMV852072 OWR852072 PGN852072 PQJ852072 QAF852072 QKB852072 QTX852072 RDT852072 RNP852072 RXL852072 SHH852072 SRD852072 TAZ852072 TKV852072 TUR852072 UEN852072 UOJ852072 UYF852072 VIB852072 VRX852072 WBT852072 WLP852072 WVL852072 D917608 IZ917608 SV917608 ACR917608 AMN917608 AWJ917608 BGF917608 BQB917608 BZX917608 CJT917608 CTP917608 DDL917608 DNH917608 DXD917608 EGZ917608 EQV917608 FAR917608 FKN917608 FUJ917608 GEF917608 GOB917608 GXX917608 HHT917608 HRP917608 IBL917608 ILH917608 IVD917608 JEZ917608 JOV917608 JYR917608 KIN917608 KSJ917608 LCF917608 LMB917608 LVX917608 MFT917608 MPP917608 MZL917608 NJH917608 NTD917608 OCZ917608 OMV917608 OWR917608 PGN917608 PQJ917608 QAF917608 QKB917608 QTX917608 RDT917608 RNP917608 RXL917608 SHH917608 SRD917608 TAZ917608 TKV917608 TUR917608 UEN917608 UOJ917608 UYF917608 VIB917608 VRX917608 WBT917608 WLP917608 WVL917608 D983144 IZ983144 SV983144 ACR983144 AMN983144 AWJ983144 BGF983144 BQB983144 BZX983144 CJT983144 CTP983144 DDL983144 DNH983144 DXD983144 EGZ983144 EQV983144 FAR983144 FKN983144 FUJ983144 GEF983144 GOB983144 GXX983144 HHT983144 HRP983144 IBL983144 ILH983144 IVD983144 JEZ983144 JOV983144 JYR983144 KIN983144 KSJ983144 LCF983144 LMB983144 LVX983144 MFT983144 MPP983144 MZL983144 NJH983144 NTD983144 OCZ983144 OMV983144 OWR983144 PGN983144 PQJ983144 QAF983144 QKB983144 QTX983144 RDT983144 RNP983144 RXL983144 SHH983144 SRD983144 TAZ983144 TKV983144 TUR983144 UEN983144 UOJ983144 UYF983144 VIB983144 VRX983144 WBT983144 WLP983144 WVL983144" xr:uid="{99B5270D-0B88-4625-8AF1-42DC6C025C69}">
      <formula1>"Core1,Core2,Core3"</formula1>
    </dataValidation>
  </dataValidations>
  <printOptions horizontalCentered="1" verticalCentered="1"/>
  <pageMargins left="0.51181102362204722" right="0.51181102362204722" top="0.51181102362204722" bottom="0.51181102362204722" header="0" footer="0"/>
  <pageSetup paperSize="9" scale="94" orientation="portrait" r:id="rId1"/>
  <headerFooter alignWithMargins="0">
    <oddFooter>Page &amp;P of &amp;N</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084E7-15BE-468D-87FC-A0AD9421FB1A}">
  <sheetPr>
    <tabColor indexed="45"/>
  </sheetPr>
  <dimension ref="A1:AE178"/>
  <sheetViews>
    <sheetView showZeros="0" view="pageBreakPreview" topLeftCell="A25" zoomScale="145" zoomScaleNormal="100" zoomScaleSheetLayoutView="145" workbookViewId="0">
      <selection activeCell="D7" sqref="D7:E8"/>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Title!H2</f>
        <v>ADEQUACY CHECK</v>
      </c>
      <c r="I2" s="730"/>
      <c r="J2" s="730"/>
      <c r="K2" s="730"/>
      <c r="L2" s="730"/>
      <c r="M2" s="730"/>
      <c r="N2" s="731"/>
      <c r="O2" s="702" t="str">
        <f>Title!O2</f>
        <v>Date</v>
      </c>
      <c r="P2" s="703"/>
      <c r="Q2" s="704"/>
      <c r="R2" s="732">
        <f>Title!R2</f>
        <v>46106</v>
      </c>
      <c r="S2" s="733"/>
      <c r="T2" s="733"/>
      <c r="U2" s="733"/>
      <c r="V2" s="734"/>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14"/>
      <c r="X4" s="14"/>
    </row>
    <row r="5" spans="1:24" ht="18" customHeight="1">
      <c r="A5" s="708" t="str">
        <f>Title!A5</f>
        <v>Prep. By</v>
      </c>
      <c r="B5" s="709"/>
      <c r="C5" s="25" t="str">
        <f>Title!C5</f>
        <v>AP</v>
      </c>
      <c r="D5" s="708" t="str">
        <f>Title!D5</f>
        <v>Checked By</v>
      </c>
      <c r="E5" s="710"/>
      <c r="F5" s="709"/>
      <c r="G5" s="25" t="str">
        <f>Title!G5</f>
        <v>RB</v>
      </c>
      <c r="H5" s="711" t="s">
        <v>604</v>
      </c>
      <c r="I5" s="712"/>
      <c r="J5" s="712"/>
      <c r="K5" s="712"/>
      <c r="L5" s="712"/>
      <c r="M5" s="712"/>
      <c r="N5" s="713"/>
      <c r="O5" s="714" t="str">
        <f>Title!O5</f>
        <v>Contractor</v>
      </c>
      <c r="P5" s="715"/>
      <c r="Q5" s="716"/>
      <c r="R5" s="705" t="str">
        <f>Title!R5</f>
        <v>HITACHI</v>
      </c>
      <c r="S5" s="706"/>
      <c r="T5" s="706"/>
      <c r="U5" s="706"/>
      <c r="V5" s="707"/>
      <c r="W5" s="14"/>
      <c r="X5" s="14"/>
    </row>
    <row r="6" spans="1:24" ht="18" customHeight="1">
      <c r="A6" s="196"/>
      <c r="V6" s="197"/>
    </row>
    <row r="7" spans="1:24" ht="18" customHeight="1">
      <c r="A7" s="196"/>
      <c r="B7" s="696" t="s">
        <v>120</v>
      </c>
      <c r="C7" s="697"/>
      <c r="D7" s="696" t="s">
        <v>125</v>
      </c>
      <c r="E7" s="698"/>
      <c r="F7" s="267"/>
      <c r="H7" s="639" t="s">
        <v>715</v>
      </c>
      <c r="I7" s="639"/>
      <c r="J7" s="639"/>
      <c r="K7" s="639"/>
      <c r="L7" s="639"/>
      <c r="M7" s="639"/>
      <c r="P7" s="198"/>
      <c r="R7" s="267"/>
      <c r="S7" s="199" t="s">
        <v>398</v>
      </c>
      <c r="T7" s="1131" t="s">
        <v>716</v>
      </c>
      <c r="U7" s="1132"/>
      <c r="V7" s="197"/>
    </row>
    <row r="8" spans="1:24" ht="18" customHeight="1">
      <c r="A8" s="196"/>
      <c r="B8" s="654"/>
      <c r="C8" s="655"/>
      <c r="D8" s="699"/>
      <c r="E8" s="700"/>
      <c r="F8" s="267"/>
      <c r="T8" s="1051"/>
      <c r="U8" s="1052"/>
      <c r="V8" s="197"/>
    </row>
    <row r="9" spans="1:24" ht="18" customHeight="1">
      <c r="A9" s="196"/>
      <c r="H9" s="662" t="s">
        <v>401</v>
      </c>
      <c r="I9" s="662"/>
      <c r="J9" s="701" t="s">
        <v>402</v>
      </c>
      <c r="K9" s="701"/>
      <c r="L9" s="701" t="s">
        <v>403</v>
      </c>
      <c r="M9" s="701"/>
      <c r="T9" s="1051"/>
      <c r="U9" s="1052"/>
      <c r="V9" s="197"/>
    </row>
    <row r="10" spans="1:24" ht="18" customHeight="1">
      <c r="A10" s="196"/>
      <c r="B10" s="47" t="s">
        <v>404</v>
      </c>
      <c r="H10" s="692">
        <v>2500</v>
      </c>
      <c r="I10" s="693"/>
      <c r="J10" s="656" t="s">
        <v>7</v>
      </c>
      <c r="K10" s="657"/>
      <c r="L10" s="656" t="s">
        <v>7</v>
      </c>
      <c r="M10" s="657"/>
      <c r="N10" s="203" t="s">
        <v>353</v>
      </c>
      <c r="O10" s="125">
        <v>1</v>
      </c>
      <c r="P10" s="27" t="s">
        <v>9</v>
      </c>
      <c r="T10" s="1051"/>
      <c r="U10" s="1052"/>
      <c r="V10" s="197"/>
    </row>
    <row r="11" spans="1:24" ht="18" customHeight="1">
      <c r="A11" s="196"/>
      <c r="B11" s="47" t="s">
        <v>405</v>
      </c>
      <c r="H11" s="656" t="s">
        <v>578</v>
      </c>
      <c r="I11" s="657"/>
      <c r="T11" s="1053"/>
      <c r="U11" s="1053"/>
      <c r="V11" s="197"/>
    </row>
    <row r="12" spans="1:24" ht="18" customHeight="1">
      <c r="A12" s="196"/>
      <c r="B12" s="47" t="s">
        <v>407</v>
      </c>
      <c r="G12" s="120" t="s">
        <v>508</v>
      </c>
      <c r="H12" s="656">
        <v>10</v>
      </c>
      <c r="I12" s="657"/>
      <c r="J12" s="204" t="s">
        <v>344</v>
      </c>
      <c r="T12" s="307"/>
      <c r="U12" s="18"/>
      <c r="V12" s="197"/>
    </row>
    <row r="13" spans="1:24" ht="18" customHeight="1">
      <c r="A13" s="196"/>
      <c r="B13" s="30" t="s">
        <v>579</v>
      </c>
      <c r="G13" s="120" t="s">
        <v>580</v>
      </c>
      <c r="H13" s="656">
        <v>5</v>
      </c>
      <c r="I13" s="657"/>
      <c r="T13" s="307"/>
      <c r="U13" s="18"/>
      <c r="V13" s="197"/>
      <c r="W13" s="30" t="str">
        <f>J47</f>
        <v>Suitable Dimensions</v>
      </c>
    </row>
    <row r="14" spans="1:24" ht="18" customHeight="1">
      <c r="A14" s="196"/>
      <c r="B14" s="47" t="s">
        <v>573</v>
      </c>
      <c r="G14" s="120" t="s">
        <v>504</v>
      </c>
      <c r="H14" s="656">
        <v>10</v>
      </c>
      <c r="I14" s="657"/>
      <c r="J14" s="14"/>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EMH</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686"/>
      <c r="K19" s="687"/>
      <c r="L19" s="210" t="s">
        <v>168</v>
      </c>
      <c r="P19" s="256"/>
      <c r="V19" s="197"/>
    </row>
    <row r="20" spans="1:31" ht="18" customHeight="1">
      <c r="A20" s="196"/>
      <c r="B20" s="96" t="s">
        <v>416</v>
      </c>
      <c r="C20" s="14"/>
      <c r="D20" s="47">
        <f>T9</f>
        <v>0</v>
      </c>
      <c r="E20" s="14"/>
      <c r="G20" s="211"/>
      <c r="H20" s="27"/>
      <c r="I20" s="101" t="s">
        <v>138</v>
      </c>
      <c r="J20" s="688"/>
      <c r="K20" s="689"/>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688"/>
      <c r="K21" s="689"/>
      <c r="L21" s="214" t="s">
        <v>168</v>
      </c>
      <c r="O21" s="27" t="s">
        <v>138</v>
      </c>
      <c r="P21" s="27">
        <f>O10</f>
        <v>1</v>
      </c>
      <c r="Q21" s="27" t="s">
        <v>326</v>
      </c>
      <c r="R21" s="27">
        <f>O10</f>
        <v>1</v>
      </c>
      <c r="S21" s="27" t="s">
        <v>326</v>
      </c>
      <c r="T21" s="27">
        <f>H12</f>
        <v>10</v>
      </c>
      <c r="V21" s="197"/>
    </row>
    <row r="22" spans="1:31" ht="18" customHeight="1">
      <c r="A22" s="196"/>
      <c r="B22" s="196" t="s">
        <v>423</v>
      </c>
      <c r="C22" s="14"/>
      <c r="D22" s="47"/>
      <c r="E22" s="14"/>
      <c r="H22" s="27"/>
      <c r="I22" s="101" t="s">
        <v>138</v>
      </c>
      <c r="J22" s="690">
        <f>'CT-VT Burdens'!S22</f>
        <v>1.44186744</v>
      </c>
      <c r="K22" s="691"/>
      <c r="L22" s="309" t="s">
        <v>168</v>
      </c>
      <c r="O22" s="27" t="s">
        <v>138</v>
      </c>
      <c r="P22" s="637">
        <f>P21*R21*T21</f>
        <v>10</v>
      </c>
      <c r="Q22" s="639"/>
      <c r="R22" s="27" t="s">
        <v>168</v>
      </c>
      <c r="S22" s="27"/>
      <c r="T22" s="27"/>
      <c r="V22" s="197"/>
    </row>
    <row r="23" spans="1:31" ht="18" customHeight="1">
      <c r="A23" s="196"/>
      <c r="B23" s="1" t="s">
        <v>424</v>
      </c>
      <c r="C23" s="2"/>
      <c r="D23" s="2"/>
      <c r="E23" s="2"/>
      <c r="F23" s="208"/>
      <c r="G23" s="208"/>
      <c r="H23" s="236" t="s">
        <v>523</v>
      </c>
      <c r="I23" s="195" t="s">
        <v>138</v>
      </c>
      <c r="J23" s="648">
        <f>SUM(J18:K22)</f>
        <v>1.44986744</v>
      </c>
      <c r="K23" s="649"/>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86">
        <f>H10</f>
        <v>2500</v>
      </c>
      <c r="Q25" s="986"/>
      <c r="R25" s="204" t="s">
        <v>9</v>
      </c>
      <c r="V25" s="197"/>
    </row>
    <row r="26" spans="1:31" ht="18" customHeight="1">
      <c r="A26" s="196"/>
      <c r="B26" s="47" t="s">
        <v>558</v>
      </c>
      <c r="C26" s="47"/>
      <c r="D26" s="47"/>
      <c r="E26" s="47"/>
      <c r="H26" s="27"/>
      <c r="I26" s="28"/>
      <c r="J26" s="211"/>
      <c r="L26" s="47"/>
      <c r="N26" s="120" t="s">
        <v>583</v>
      </c>
      <c r="O26" s="28" t="s">
        <v>138</v>
      </c>
      <c r="P26" s="986">
        <f>H12</f>
        <v>10</v>
      </c>
      <c r="Q26" s="986"/>
      <c r="R26" s="316" t="s">
        <v>168</v>
      </c>
      <c r="V26" s="197"/>
    </row>
    <row r="27" spans="1:31" ht="18" customHeight="1">
      <c r="A27" s="196"/>
      <c r="B27" s="47" t="s">
        <v>559</v>
      </c>
      <c r="C27" s="47"/>
      <c r="D27" s="47"/>
      <c r="E27" s="47"/>
      <c r="H27" s="27"/>
      <c r="I27" s="28"/>
      <c r="J27" s="211"/>
      <c r="L27" s="47"/>
      <c r="N27" s="120" t="s">
        <v>584</v>
      </c>
      <c r="O27" s="28" t="s">
        <v>138</v>
      </c>
      <c r="P27" s="960">
        <f>J23</f>
        <v>1.44986744</v>
      </c>
      <c r="Q27" s="986"/>
      <c r="R27" s="316" t="s">
        <v>168</v>
      </c>
      <c r="V27" s="197"/>
    </row>
    <row r="28" spans="1:31" ht="18" customHeight="1">
      <c r="A28" s="196"/>
      <c r="B28" s="47" t="s">
        <v>560</v>
      </c>
      <c r="C28" s="47"/>
      <c r="D28" s="47"/>
      <c r="E28" s="47"/>
      <c r="H28" s="27"/>
      <c r="I28" s="28"/>
      <c r="J28" s="211"/>
      <c r="L28" s="47"/>
      <c r="N28" s="120" t="s">
        <v>522</v>
      </c>
      <c r="O28" s="28" t="s">
        <v>138</v>
      </c>
      <c r="P28" s="986">
        <f>O10</f>
        <v>1</v>
      </c>
      <c r="Q28" s="986"/>
      <c r="R28" s="204" t="s">
        <v>9</v>
      </c>
      <c r="V28" s="197"/>
    </row>
    <row r="29" spans="1:31" ht="18" customHeight="1">
      <c r="A29" s="196"/>
      <c r="B29" s="47" t="s">
        <v>585</v>
      </c>
      <c r="C29" s="47"/>
      <c r="D29" s="47"/>
      <c r="E29" s="47"/>
      <c r="H29" s="27"/>
      <c r="I29" s="28"/>
      <c r="J29" s="211"/>
      <c r="L29" s="47"/>
      <c r="N29" s="256" t="s">
        <v>586</v>
      </c>
      <c r="O29" s="28" t="s">
        <v>138</v>
      </c>
      <c r="P29" s="986">
        <f>H13</f>
        <v>5</v>
      </c>
      <c r="Q29" s="986"/>
      <c r="R29" s="204"/>
      <c r="V29" s="197"/>
    </row>
    <row r="30" spans="1:31" ht="18" customHeight="1">
      <c r="A30" s="196"/>
      <c r="B30" s="308" t="s">
        <v>587</v>
      </c>
      <c r="C30" s="47"/>
      <c r="D30" s="47"/>
      <c r="E30" s="47"/>
      <c r="H30" s="27"/>
      <c r="I30" s="28"/>
      <c r="J30" s="211"/>
      <c r="L30" s="47"/>
      <c r="O30" s="28" t="s">
        <v>138</v>
      </c>
      <c r="P30" s="960">
        <v>20</v>
      </c>
      <c r="Q30" s="960"/>
      <c r="R30" s="204"/>
      <c r="S30" s="14"/>
      <c r="V30" s="197"/>
    </row>
    <row r="31" spans="1:31" ht="18" customHeight="1">
      <c r="A31" s="196"/>
      <c r="B31" s="47" t="s">
        <v>589</v>
      </c>
      <c r="C31" s="47"/>
      <c r="D31" s="47"/>
      <c r="E31" s="47"/>
      <c r="H31" s="27"/>
      <c r="I31" s="28"/>
      <c r="J31" s="211"/>
      <c r="L31" s="47"/>
      <c r="O31" s="27"/>
      <c r="P31" s="223"/>
      <c r="Q31" s="223"/>
      <c r="R31" s="204"/>
      <c r="V31" s="197"/>
      <c r="Y31" s="30" t="s">
        <v>588</v>
      </c>
    </row>
    <row r="32" spans="1:31" ht="18" hidden="1" customHeight="1">
      <c r="A32" s="196"/>
      <c r="B32" s="47"/>
      <c r="C32" s="47" t="s">
        <v>590</v>
      </c>
      <c r="D32" s="47"/>
      <c r="E32" s="47"/>
      <c r="H32" s="27"/>
      <c r="I32" s="28"/>
      <c r="J32" s="211"/>
      <c r="L32" s="47"/>
      <c r="O32" s="27"/>
      <c r="P32" s="223"/>
      <c r="Q32" s="317" t="s">
        <v>591</v>
      </c>
      <c r="R32" s="102" t="s">
        <v>138</v>
      </c>
      <c r="S32" s="656">
        <v>20</v>
      </c>
      <c r="T32" s="657"/>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637">
        <f>J23</f>
        <v>1.44986744</v>
      </c>
      <c r="K35" s="639"/>
      <c r="L35" s="28"/>
      <c r="M35" s="637"/>
      <c r="N35" s="639"/>
      <c r="V35" s="197"/>
    </row>
    <row r="36" spans="1:22" ht="18" customHeight="1">
      <c r="A36" s="196"/>
      <c r="I36" s="28"/>
      <c r="J36" s="637"/>
      <c r="K36" s="639"/>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10</v>
      </c>
      <c r="M38" s="257" t="s">
        <v>358</v>
      </c>
      <c r="N38" s="254">
        <f>H14</f>
        <v>10</v>
      </c>
      <c r="O38" s="257" t="s">
        <v>550</v>
      </c>
      <c r="P38" s="313">
        <f>P22</f>
        <v>10</v>
      </c>
      <c r="Q38" s="257" t="s">
        <v>358</v>
      </c>
      <c r="R38" s="313">
        <f>J23</f>
        <v>1.44986744</v>
      </c>
      <c r="S38" s="308" t="s">
        <v>361</v>
      </c>
      <c r="V38" s="197"/>
    </row>
    <row r="39" spans="1:22" ht="18" customHeight="1">
      <c r="A39" s="196"/>
      <c r="I39" s="27" t="s">
        <v>138</v>
      </c>
      <c r="J39" s="640">
        <f>J38*((L38+N38)/(P38+R38))</f>
        <v>8.7337255670446439</v>
      </c>
      <c r="K39" s="640"/>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639">
        <f>H14</f>
        <v>10</v>
      </c>
      <c r="H43" s="639"/>
      <c r="I43" s="27" t="str">
        <f>IF(G43&gt;J43,"&gt;","&lt;")</f>
        <v>&gt;</v>
      </c>
      <c r="J43" s="637">
        <f>J35</f>
        <v>1.44986744</v>
      </c>
      <c r="K43" s="639"/>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637">
        <f>P30</f>
        <v>20</v>
      </c>
      <c r="H46" s="637"/>
      <c r="I46" s="27" t="str">
        <f>IF(G46&gt;J46,"&gt;","&lt;")</f>
        <v>&gt;</v>
      </c>
      <c r="J46" s="637">
        <f>J39</f>
        <v>8.7337255670446439</v>
      </c>
      <c r="K46" s="637"/>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667" t="str">
        <f>B7</f>
        <v>T1</v>
      </c>
      <c r="C50" s="668"/>
      <c r="D50" s="680" t="str">
        <f>D7</f>
        <v>Core4</v>
      </c>
      <c r="E50" s="681"/>
      <c r="F50" s="267"/>
      <c r="H50" s="639" t="str">
        <f>H7</f>
        <v>(Main Tariff Meter)</v>
      </c>
      <c r="I50" s="639"/>
      <c r="J50" s="639"/>
      <c r="K50" s="639"/>
      <c r="L50" s="639"/>
      <c r="M50" s="639"/>
      <c r="P50" s="198"/>
      <c r="R50" s="267"/>
      <c r="S50" s="199" t="s">
        <v>398</v>
      </c>
      <c r="T50" s="1051" t="str">
        <f>T7</f>
        <v>EMH</v>
      </c>
      <c r="U50" s="1052"/>
      <c r="V50" s="197"/>
    </row>
    <row r="51" spans="1:23" ht="18" hidden="1" customHeight="1">
      <c r="A51" s="196"/>
      <c r="B51" s="679">
        <f>B8</f>
        <v>0</v>
      </c>
      <c r="C51" s="679"/>
      <c r="D51" s="682"/>
      <c r="E51" s="683"/>
      <c r="F51" s="267"/>
      <c r="T51" s="1051"/>
      <c r="U51" s="1052"/>
      <c r="V51" s="197"/>
    </row>
    <row r="52" spans="1:23" ht="18" hidden="1" customHeight="1">
      <c r="A52" s="196"/>
      <c r="H52" s="661" t="s">
        <v>401</v>
      </c>
      <c r="I52" s="661"/>
      <c r="J52" s="662" t="s">
        <v>402</v>
      </c>
      <c r="K52" s="662"/>
      <c r="L52" s="701" t="s">
        <v>403</v>
      </c>
      <c r="M52" s="701"/>
      <c r="T52" s="1051"/>
      <c r="U52" s="1052"/>
      <c r="V52" s="197"/>
    </row>
    <row r="53" spans="1:23" ht="18" hidden="1" customHeight="1">
      <c r="A53" s="196"/>
      <c r="B53" s="47" t="s">
        <v>404</v>
      </c>
      <c r="H53" s="667">
        <f>H10</f>
        <v>2500</v>
      </c>
      <c r="I53" s="668"/>
      <c r="J53" s="1030" t="str">
        <f>J10</f>
        <v>-</v>
      </c>
      <c r="K53" s="1031"/>
      <c r="L53" s="667" t="str">
        <f>L10</f>
        <v>-</v>
      </c>
      <c r="M53" s="668"/>
      <c r="N53" s="203" t="s">
        <v>353</v>
      </c>
      <c r="O53" s="501">
        <f>O10</f>
        <v>1</v>
      </c>
      <c r="P53" s="27" t="s">
        <v>9</v>
      </c>
      <c r="T53" s="1051"/>
      <c r="U53" s="1052"/>
      <c r="V53" s="197"/>
    </row>
    <row r="54" spans="1:23" ht="18" hidden="1" customHeight="1">
      <c r="A54" s="196"/>
      <c r="B54" s="47" t="s">
        <v>405</v>
      </c>
      <c r="H54" s="14"/>
      <c r="I54" s="14"/>
      <c r="J54" s="667" t="str">
        <f>H11</f>
        <v>0.2FS5</v>
      </c>
      <c r="K54" s="668"/>
      <c r="L54" s="14"/>
      <c r="M54" s="14"/>
      <c r="V54" s="197"/>
    </row>
    <row r="55" spans="1:23" ht="18" hidden="1" customHeight="1">
      <c r="A55" s="196"/>
      <c r="B55" s="47" t="s">
        <v>407</v>
      </c>
      <c r="I55" s="120" t="s">
        <v>508</v>
      </c>
      <c r="J55" s="656">
        <v>5</v>
      </c>
      <c r="K55" s="657"/>
      <c r="L55" s="204" t="s">
        <v>344</v>
      </c>
      <c r="T55" s="307"/>
      <c r="U55" s="18"/>
      <c r="V55" s="197"/>
    </row>
    <row r="56" spans="1:23" ht="18" hidden="1" customHeight="1">
      <c r="A56" s="196"/>
      <c r="B56" s="30" t="s">
        <v>579</v>
      </c>
      <c r="I56" s="120" t="s">
        <v>580</v>
      </c>
      <c r="J56" s="656">
        <v>10</v>
      </c>
      <c r="K56" s="657"/>
      <c r="T56" s="307"/>
      <c r="U56" s="18"/>
      <c r="V56" s="197"/>
      <c r="W56" s="30" t="str">
        <f>J90</f>
        <v>Suitable Dimensions</v>
      </c>
    </row>
    <row r="57" spans="1:23" ht="18" hidden="1" customHeight="1">
      <c r="A57" s="196"/>
      <c r="B57" s="47" t="s">
        <v>573</v>
      </c>
      <c r="I57" s="120" t="s">
        <v>504</v>
      </c>
      <c r="J57" s="656">
        <v>5</v>
      </c>
      <c r="K57" s="657"/>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EMH</v>
      </c>
      <c r="E61" s="239"/>
      <c r="F61" s="239"/>
      <c r="G61" s="239"/>
      <c r="H61" s="145"/>
      <c r="I61" s="272" t="s">
        <v>138</v>
      </c>
      <c r="J61" s="1047">
        <f t="shared" ref="J61:J66" si="0">J18</f>
        <v>8.0000000000000002E-3</v>
      </c>
      <c r="K61" s="1048"/>
      <c r="L61" s="3" t="s">
        <v>168</v>
      </c>
      <c r="N61" s="209" t="s">
        <v>521</v>
      </c>
      <c r="V61" s="197"/>
    </row>
    <row r="62" spans="1:23" ht="18" hidden="1" customHeight="1">
      <c r="A62" s="196"/>
      <c r="B62" s="96" t="s">
        <v>416</v>
      </c>
      <c r="D62" s="308">
        <f>D19</f>
        <v>0</v>
      </c>
      <c r="I62" s="189" t="s">
        <v>138</v>
      </c>
      <c r="J62" s="642">
        <f t="shared" si="0"/>
        <v>0</v>
      </c>
      <c r="K62" s="643"/>
      <c r="L62" s="210" t="s">
        <v>168</v>
      </c>
      <c r="P62" s="256"/>
      <c r="V62" s="197"/>
    </row>
    <row r="63" spans="1:23" ht="18" hidden="1" customHeight="1">
      <c r="A63" s="196"/>
      <c r="B63" s="96" t="s">
        <v>416</v>
      </c>
      <c r="C63" s="14"/>
      <c r="D63" s="47">
        <f>D20</f>
        <v>0</v>
      </c>
      <c r="E63" s="14"/>
      <c r="G63" s="211"/>
      <c r="H63" s="27"/>
      <c r="I63" s="101" t="s">
        <v>138</v>
      </c>
      <c r="J63" s="644">
        <f t="shared" si="0"/>
        <v>0</v>
      </c>
      <c r="K63" s="645"/>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644">
        <f t="shared" si="0"/>
        <v>0</v>
      </c>
      <c r="K64" s="645"/>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646">
        <f t="shared" si="0"/>
        <v>1.44186744</v>
      </c>
      <c r="K65" s="647"/>
      <c r="L65" s="309" t="s">
        <v>168</v>
      </c>
      <c r="O65" s="27" t="s">
        <v>138</v>
      </c>
      <c r="P65" s="637">
        <f>P64*R64*T64</f>
        <v>5</v>
      </c>
      <c r="Q65" s="639"/>
      <c r="R65" s="27" t="s">
        <v>168</v>
      </c>
      <c r="S65" s="27"/>
      <c r="T65" s="27"/>
      <c r="V65" s="197"/>
    </row>
    <row r="66" spans="1:22" ht="18" hidden="1" customHeight="1">
      <c r="A66" s="196"/>
      <c r="B66" s="1" t="s">
        <v>424</v>
      </c>
      <c r="C66" s="2"/>
      <c r="D66" s="2"/>
      <c r="E66" s="2"/>
      <c r="F66" s="208"/>
      <c r="G66" s="208"/>
      <c r="H66" s="236" t="s">
        <v>523</v>
      </c>
      <c r="I66" s="195" t="s">
        <v>138</v>
      </c>
      <c r="J66" s="648">
        <f t="shared" si="0"/>
        <v>1.44986744</v>
      </c>
      <c r="K66" s="649"/>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86" t="str">
        <f>J53</f>
        <v>-</v>
      </c>
      <c r="Q68" s="986"/>
      <c r="R68" s="204" t="s">
        <v>9</v>
      </c>
      <c r="V68" s="197"/>
    </row>
    <row r="69" spans="1:22" ht="18" hidden="1" customHeight="1">
      <c r="A69" s="196"/>
      <c r="B69" s="47" t="s">
        <v>558</v>
      </c>
      <c r="C69" s="47"/>
      <c r="D69" s="47"/>
      <c r="E69" s="47"/>
      <c r="H69" s="27"/>
      <c r="I69" s="28"/>
      <c r="J69" s="211"/>
      <c r="L69" s="47"/>
      <c r="N69" s="120" t="s">
        <v>583</v>
      </c>
      <c r="O69" s="28" t="s">
        <v>138</v>
      </c>
      <c r="P69" s="986">
        <f>J55</f>
        <v>5</v>
      </c>
      <c r="Q69" s="986"/>
      <c r="R69" s="316" t="s">
        <v>168</v>
      </c>
      <c r="V69" s="197"/>
    </row>
    <row r="70" spans="1:22" ht="18" hidden="1" customHeight="1">
      <c r="A70" s="196"/>
      <c r="B70" s="47" t="s">
        <v>559</v>
      </c>
      <c r="C70" s="47"/>
      <c r="D70" s="47"/>
      <c r="E70" s="47"/>
      <c r="H70" s="27"/>
      <c r="I70" s="28"/>
      <c r="J70" s="211"/>
      <c r="L70" s="47"/>
      <c r="N70" s="120" t="s">
        <v>584</v>
      </c>
      <c r="O70" s="28" t="s">
        <v>138</v>
      </c>
      <c r="P70" s="960">
        <f>J66</f>
        <v>1.44986744</v>
      </c>
      <c r="Q70" s="986"/>
      <c r="R70" s="316" t="s">
        <v>168</v>
      </c>
      <c r="V70" s="197"/>
    </row>
    <row r="71" spans="1:22" ht="18" hidden="1" customHeight="1">
      <c r="A71" s="196"/>
      <c r="B71" s="47" t="s">
        <v>560</v>
      </c>
      <c r="C71" s="47"/>
      <c r="D71" s="47"/>
      <c r="E71" s="47"/>
      <c r="H71" s="27"/>
      <c r="I71" s="28"/>
      <c r="J71" s="211"/>
      <c r="L71" s="47"/>
      <c r="N71" s="120" t="s">
        <v>522</v>
      </c>
      <c r="O71" s="28" t="s">
        <v>138</v>
      </c>
      <c r="P71" s="986">
        <f>O53</f>
        <v>1</v>
      </c>
      <c r="Q71" s="986"/>
      <c r="R71" s="204" t="s">
        <v>9</v>
      </c>
      <c r="V71" s="197"/>
    </row>
    <row r="72" spans="1:22" ht="18" hidden="1" customHeight="1">
      <c r="A72" s="196"/>
      <c r="B72" s="47" t="s">
        <v>585</v>
      </c>
      <c r="C72" s="47"/>
      <c r="D72" s="47"/>
      <c r="E72" s="47"/>
      <c r="H72" s="27"/>
      <c r="I72" s="28"/>
      <c r="J72" s="211"/>
      <c r="L72" s="47"/>
      <c r="N72" s="120" t="s">
        <v>506</v>
      </c>
      <c r="O72" s="28" t="s">
        <v>138</v>
      </c>
      <c r="P72" s="986">
        <v>10</v>
      </c>
      <c r="Q72" s="986"/>
      <c r="R72" s="204"/>
      <c r="V72" s="197"/>
    </row>
    <row r="73" spans="1:22" ht="18" hidden="1" customHeight="1">
      <c r="A73" s="196"/>
      <c r="B73" s="47" t="s">
        <v>588</v>
      </c>
      <c r="C73" s="47"/>
      <c r="D73" s="47"/>
      <c r="E73" s="47"/>
      <c r="H73" s="27"/>
      <c r="I73" s="28"/>
      <c r="J73" s="211"/>
      <c r="L73" s="47"/>
      <c r="O73" s="28" t="s">
        <v>138</v>
      </c>
      <c r="P73" s="960">
        <v>20</v>
      </c>
      <c r="Q73" s="960"/>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705">
        <f>S32</f>
        <v>20</v>
      </c>
      <c r="T75" s="707"/>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637">
        <f>J66</f>
        <v>1.44986744</v>
      </c>
      <c r="K78" s="639"/>
      <c r="L78" s="28"/>
      <c r="M78" s="637"/>
      <c r="N78" s="639"/>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1.44986744</v>
      </c>
      <c r="S81" s="308" t="s">
        <v>361</v>
      </c>
      <c r="V81" s="197"/>
    </row>
    <row r="82" spans="1:22" ht="18" hidden="1" customHeight="1">
      <c r="A82" s="196"/>
      <c r="I82" s="27" t="s">
        <v>138</v>
      </c>
      <c r="J82" s="640">
        <f>J81*((L81+N81)/(P81+R81))</f>
        <v>15.504194610238377</v>
      </c>
      <c r="K82" s="640"/>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639">
        <f>J57</f>
        <v>5</v>
      </c>
      <c r="H86" s="639"/>
      <c r="I86" s="27" t="str">
        <f>IF(G86&gt;J86,"&gt;","&lt;")</f>
        <v>&gt;</v>
      </c>
      <c r="J86" s="637">
        <f>J78</f>
        <v>1.44986744</v>
      </c>
      <c r="K86" s="639"/>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637">
        <f>P73</f>
        <v>20</v>
      </c>
      <c r="H89" s="637"/>
      <c r="I89" s="27" t="str">
        <f>IF(G89&gt;J89,"&gt;","&lt;")</f>
        <v>&gt;</v>
      </c>
      <c r="J89" s="637">
        <f>J82</f>
        <v>15.504194610238377</v>
      </c>
      <c r="K89" s="637"/>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650" t="str">
        <f>B50</f>
        <v>T1</v>
      </c>
      <c r="C95" s="651"/>
      <c r="D95" s="663" t="str">
        <f>D50</f>
        <v>Core4</v>
      </c>
      <c r="E95" s="664"/>
      <c r="F95" s="267"/>
      <c r="H95" s="639" t="str">
        <f>H50</f>
        <v>(Main Tariff Meter)</v>
      </c>
      <c r="I95" s="639"/>
      <c r="J95" s="639"/>
      <c r="K95" s="639"/>
      <c r="L95" s="639"/>
      <c r="M95" s="639"/>
      <c r="P95" s="198"/>
      <c r="V95" s="197"/>
    </row>
    <row r="96" spans="1:22" ht="18" hidden="1" customHeight="1">
      <c r="A96" s="196"/>
      <c r="B96" s="660">
        <f>B51</f>
        <v>0</v>
      </c>
      <c r="C96" s="660"/>
      <c r="D96" s="665"/>
      <c r="E96" s="666"/>
      <c r="F96" s="267"/>
      <c r="V96" s="197"/>
    </row>
    <row r="97" spans="1:23" ht="18" hidden="1" customHeight="1">
      <c r="A97" s="196"/>
      <c r="H97" s="661" t="s">
        <v>401</v>
      </c>
      <c r="I97" s="661"/>
      <c r="J97" s="661" t="s">
        <v>402</v>
      </c>
      <c r="K97" s="661"/>
      <c r="L97" s="662" t="s">
        <v>403</v>
      </c>
      <c r="M97" s="662"/>
      <c r="V97" s="197"/>
    </row>
    <row r="98" spans="1:23" ht="18" hidden="1" customHeight="1">
      <c r="A98" s="196"/>
      <c r="B98" s="47" t="s">
        <v>404</v>
      </c>
      <c r="H98" s="650">
        <f>H53</f>
        <v>2500</v>
      </c>
      <c r="I98" s="651"/>
      <c r="J98" s="650" t="str">
        <f>J53</f>
        <v>-</v>
      </c>
      <c r="K98" s="651"/>
      <c r="L98" s="652" t="str">
        <f>L53</f>
        <v>-</v>
      </c>
      <c r="M98" s="653"/>
      <c r="N98" s="203" t="s">
        <v>353</v>
      </c>
      <c r="O98" s="268">
        <f>O53</f>
        <v>1</v>
      </c>
      <c r="P98" s="27" t="s">
        <v>9</v>
      </c>
      <c r="V98" s="197"/>
    </row>
    <row r="99" spans="1:23" ht="18" hidden="1" customHeight="1">
      <c r="A99" s="196"/>
      <c r="B99" s="47" t="s">
        <v>405</v>
      </c>
      <c r="H99" s="14"/>
      <c r="I99" s="14"/>
      <c r="K99" s="14"/>
      <c r="L99" s="650" t="str">
        <f>J54</f>
        <v>0.2FS5</v>
      </c>
      <c r="M99" s="651"/>
      <c r="N99" s="14"/>
      <c r="V99" s="197"/>
    </row>
    <row r="100" spans="1:23" ht="18" hidden="1" customHeight="1">
      <c r="A100" s="196"/>
      <c r="B100" s="47" t="s">
        <v>407</v>
      </c>
      <c r="I100" s="120"/>
      <c r="K100" s="120" t="s">
        <v>508</v>
      </c>
      <c r="L100" s="656" t="s">
        <v>7</v>
      </c>
      <c r="M100" s="657"/>
      <c r="N100" s="204" t="s">
        <v>344</v>
      </c>
      <c r="T100" s="307"/>
      <c r="U100" s="18"/>
      <c r="V100" s="197"/>
    </row>
    <row r="101" spans="1:23" ht="18" hidden="1" customHeight="1">
      <c r="A101" s="196"/>
      <c r="B101" s="30" t="s">
        <v>579</v>
      </c>
      <c r="I101" s="120"/>
      <c r="K101" s="120" t="s">
        <v>580</v>
      </c>
      <c r="L101" s="656" t="s">
        <v>7</v>
      </c>
      <c r="M101" s="657"/>
      <c r="T101" s="307"/>
      <c r="U101" s="18"/>
      <c r="V101" s="197"/>
      <c r="W101" s="30" t="e">
        <f>J130</f>
        <v>#VALUE!</v>
      </c>
    </row>
    <row r="102" spans="1:23" ht="18" hidden="1" customHeight="1">
      <c r="A102" s="196"/>
      <c r="B102" s="47" t="s">
        <v>573</v>
      </c>
      <c r="I102" s="120"/>
      <c r="K102" s="120" t="s">
        <v>504</v>
      </c>
      <c r="L102" s="656" t="s">
        <v>7</v>
      </c>
      <c r="M102" s="657"/>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EMH</v>
      </c>
      <c r="E106" s="239"/>
      <c r="F106" s="239"/>
      <c r="G106" s="239"/>
      <c r="H106" s="145"/>
      <c r="I106" s="272" t="s">
        <v>138</v>
      </c>
      <c r="J106" s="648">
        <f t="shared" ref="J106:J111" si="1">J61</f>
        <v>8.0000000000000002E-3</v>
      </c>
      <c r="K106" s="649"/>
      <c r="L106" s="3" t="s">
        <v>168</v>
      </c>
      <c r="N106" s="209" t="s">
        <v>521</v>
      </c>
      <c r="V106" s="197"/>
    </row>
    <row r="107" spans="1:23" ht="18" hidden="1" customHeight="1">
      <c r="A107" s="196"/>
      <c r="B107" s="96" t="s">
        <v>416</v>
      </c>
      <c r="D107" s="308">
        <f>D62</f>
        <v>0</v>
      </c>
      <c r="I107" s="189" t="s">
        <v>138</v>
      </c>
      <c r="J107" s="642">
        <f t="shared" si="1"/>
        <v>0</v>
      </c>
      <c r="K107" s="643"/>
      <c r="L107" s="210" t="s">
        <v>168</v>
      </c>
      <c r="P107" s="256"/>
      <c r="V107" s="197"/>
    </row>
    <row r="108" spans="1:23" ht="18" hidden="1" customHeight="1">
      <c r="A108" s="196"/>
      <c r="B108" s="96" t="s">
        <v>416</v>
      </c>
      <c r="C108" s="14"/>
      <c r="D108" s="47">
        <f>D63</f>
        <v>0</v>
      </c>
      <c r="E108" s="14"/>
      <c r="G108" s="211"/>
      <c r="H108" s="27"/>
      <c r="I108" s="101" t="s">
        <v>138</v>
      </c>
      <c r="J108" s="644">
        <f t="shared" si="1"/>
        <v>0</v>
      </c>
      <c r="K108" s="645"/>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644">
        <f t="shared" si="1"/>
        <v>0</v>
      </c>
      <c r="K109" s="645"/>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646">
        <f t="shared" si="1"/>
        <v>1.44186744</v>
      </c>
      <c r="K110" s="647"/>
      <c r="L110" s="309" t="s">
        <v>168</v>
      </c>
      <c r="O110" s="27" t="s">
        <v>138</v>
      </c>
      <c r="P110" s="637" t="e">
        <f>P109*R109*T109</f>
        <v>#VALUE!</v>
      </c>
      <c r="Q110" s="639"/>
      <c r="R110" s="27" t="s">
        <v>168</v>
      </c>
      <c r="S110" s="27"/>
      <c r="T110" s="27"/>
      <c r="V110" s="197"/>
    </row>
    <row r="111" spans="1:23" ht="18" hidden="1" customHeight="1">
      <c r="A111" s="196"/>
      <c r="B111" s="1" t="s">
        <v>424</v>
      </c>
      <c r="C111" s="2"/>
      <c r="D111" s="2"/>
      <c r="E111" s="2"/>
      <c r="F111" s="208"/>
      <c r="G111" s="208"/>
      <c r="H111" s="236" t="s">
        <v>523</v>
      </c>
      <c r="I111" s="195" t="s">
        <v>138</v>
      </c>
      <c r="J111" s="897">
        <f t="shared" si="1"/>
        <v>1.44986744</v>
      </c>
      <c r="K111" s="649"/>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705">
        <f>S75</f>
        <v>20</v>
      </c>
      <c r="T113" s="707"/>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637" t="e">
        <f>P110</f>
        <v>#VALUE!</v>
      </c>
      <c r="K116" s="639"/>
      <c r="L116" s="28" t="s">
        <v>358</v>
      </c>
      <c r="M116" s="637">
        <f>J111</f>
        <v>1.44986744</v>
      </c>
      <c r="N116" s="639"/>
      <c r="V116" s="197"/>
    </row>
    <row r="117" spans="1:22" ht="18" hidden="1" customHeight="1">
      <c r="A117" s="196"/>
      <c r="I117" s="28" t="s">
        <v>138</v>
      </c>
      <c r="J117" s="637" t="e">
        <f>J116+M116</f>
        <v>#VALUE!</v>
      </c>
      <c r="K117" s="639"/>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1.44986744</v>
      </c>
      <c r="S120" s="308" t="s">
        <v>361</v>
      </c>
      <c r="V120" s="197"/>
    </row>
    <row r="121" spans="1:22" ht="18" hidden="1" customHeight="1">
      <c r="A121" s="196"/>
      <c r="I121" s="27" t="s">
        <v>138</v>
      </c>
      <c r="J121" s="640" t="e">
        <f>J120*((L120+N120)/(P120+R120))</f>
        <v>#VALUE!</v>
      </c>
      <c r="K121" s="640"/>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639" t="str">
        <f>L102</f>
        <v>-</v>
      </c>
      <c r="H125" s="639"/>
      <c r="I125" s="27" t="e">
        <f>IF(G125&gt;J125,"&gt;","&lt;")</f>
        <v>#VALUE!</v>
      </c>
      <c r="J125" s="637" t="e">
        <f>J117</f>
        <v>#VALUE!</v>
      </c>
      <c r="K125" s="639"/>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637">
        <f>S113</f>
        <v>20</v>
      </c>
      <c r="H128" s="637"/>
      <c r="I128" s="27" t="e">
        <f>IF(G128&gt;J128,"&gt;","&lt;")</f>
        <v>#VALUE!</v>
      </c>
      <c r="J128" s="637" t="e">
        <f>J121</f>
        <v>#VALUE!</v>
      </c>
      <c r="K128" s="637"/>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614" t="s">
        <v>97</v>
      </c>
      <c r="B140" s="620"/>
      <c r="C140" s="615"/>
      <c r="D140" s="614" t="s">
        <v>98</v>
      </c>
      <c r="E140" s="620"/>
      <c r="F140" s="615"/>
      <c r="G140" s="614" t="s">
        <v>99</v>
      </c>
      <c r="H140" s="615"/>
      <c r="I140" s="614" t="s">
        <v>100</v>
      </c>
      <c r="J140" s="615"/>
      <c r="K140" s="614" t="s">
        <v>513</v>
      </c>
      <c r="L140" s="615"/>
      <c r="M140" s="614" t="s">
        <v>114</v>
      </c>
      <c r="N140" s="615"/>
      <c r="O140" s="614"/>
      <c r="P140" s="615"/>
      <c r="Q140" s="614" t="s">
        <v>516</v>
      </c>
      <c r="R140" s="615"/>
      <c r="S140" s="614" t="s">
        <v>105</v>
      </c>
      <c r="T140" s="620"/>
      <c r="U140" s="620"/>
      <c r="V140" s="615"/>
    </row>
    <row r="141" spans="1:22" ht="18" customHeight="1">
      <c r="A141" s="616"/>
      <c r="B141" s="621"/>
      <c r="C141" s="617"/>
      <c r="D141" s="616"/>
      <c r="E141" s="621"/>
      <c r="F141" s="617"/>
      <c r="G141" s="616"/>
      <c r="H141" s="617"/>
      <c r="I141" s="616"/>
      <c r="J141" s="617"/>
      <c r="K141" s="616"/>
      <c r="L141" s="617"/>
      <c r="M141" s="616"/>
      <c r="N141" s="617"/>
      <c r="O141" s="616"/>
      <c r="P141" s="617"/>
      <c r="Q141" s="616"/>
      <c r="R141" s="617"/>
      <c r="S141" s="616"/>
      <c r="T141" s="621"/>
      <c r="U141" s="621"/>
      <c r="V141" s="617"/>
    </row>
    <row r="142" spans="1:22" ht="18" customHeight="1">
      <c r="A142" s="616"/>
      <c r="B142" s="621"/>
      <c r="C142" s="617"/>
      <c r="D142" s="616"/>
      <c r="E142" s="621"/>
      <c r="F142" s="617"/>
      <c r="G142" s="616"/>
      <c r="H142" s="617"/>
      <c r="I142" s="616"/>
      <c r="J142" s="617"/>
      <c r="K142" s="616"/>
      <c r="L142" s="617"/>
      <c r="M142" s="616"/>
      <c r="N142" s="617"/>
      <c r="O142" s="616"/>
      <c r="P142" s="617"/>
      <c r="Q142" s="616"/>
      <c r="R142" s="617"/>
      <c r="S142" s="616"/>
      <c r="T142" s="621"/>
      <c r="U142" s="621"/>
      <c r="V142" s="617"/>
    </row>
    <row r="143" spans="1:22" ht="18" customHeight="1">
      <c r="A143" s="618"/>
      <c r="B143" s="622"/>
      <c r="C143" s="619"/>
      <c r="D143" s="618"/>
      <c r="E143" s="622"/>
      <c r="F143" s="619"/>
      <c r="G143" s="618"/>
      <c r="H143" s="619"/>
      <c r="I143" s="618"/>
      <c r="J143" s="619"/>
      <c r="K143" s="618"/>
      <c r="L143" s="619"/>
      <c r="M143" s="618"/>
      <c r="N143" s="619"/>
      <c r="O143" s="618"/>
      <c r="P143" s="619"/>
      <c r="Q143" s="618"/>
      <c r="R143" s="619"/>
      <c r="S143" s="618"/>
      <c r="T143" s="622"/>
      <c r="U143" s="622"/>
      <c r="V143" s="619"/>
    </row>
    <row r="144" spans="1:22" ht="18" customHeight="1">
      <c r="A144" s="623" t="str">
        <f>B95</f>
        <v>T1</v>
      </c>
      <c r="B144" s="623" t="str">
        <f>D95</f>
        <v>Core4</v>
      </c>
      <c r="C144" s="623"/>
      <c r="D144" s="613">
        <f>H98</f>
        <v>2500</v>
      </c>
      <c r="E144" s="613"/>
      <c r="F144" s="624">
        <f>O98</f>
        <v>1</v>
      </c>
      <c r="G144" s="627">
        <f>'CT-VT Burdens'!S19</f>
        <v>80</v>
      </c>
      <c r="H144" s="630">
        <f>'CT-VT Burdens'!S10</f>
        <v>2.5</v>
      </c>
      <c r="I144" s="783" t="str">
        <f>L99</f>
        <v>0.2FS5</v>
      </c>
      <c r="J144" s="783"/>
      <c r="K144" s="612">
        <f>H12</f>
        <v>10</v>
      </c>
      <c r="L144" s="612"/>
      <c r="M144" s="612">
        <f>H14</f>
        <v>10</v>
      </c>
      <c r="N144" s="612"/>
      <c r="O144" s="613" t="s">
        <v>7</v>
      </c>
      <c r="P144" s="613"/>
      <c r="Q144" s="629" t="str">
        <f>CONCATENATE(T7," ",T8," ",T9," ",T10)</f>
        <v xml:space="preserve">EMH   </v>
      </c>
      <c r="R144" s="629"/>
      <c r="S144" s="628" t="str">
        <f>J47</f>
        <v>Suitable Dimensions</v>
      </c>
      <c r="T144" s="628"/>
      <c r="U144" s="628"/>
      <c r="V144" s="628"/>
    </row>
    <row r="145" spans="1:22" ht="18" customHeight="1">
      <c r="A145" s="623"/>
      <c r="B145" s="623"/>
      <c r="C145" s="623"/>
      <c r="D145" s="613" t="str">
        <f>J98</f>
        <v>-</v>
      </c>
      <c r="E145" s="613"/>
      <c r="F145" s="625"/>
      <c r="G145" s="627"/>
      <c r="H145" s="630"/>
      <c r="I145" s="783"/>
      <c r="J145" s="783"/>
      <c r="K145" s="785" t="s">
        <v>7</v>
      </c>
      <c r="L145" s="612"/>
      <c r="M145" s="785" t="s">
        <v>7</v>
      </c>
      <c r="N145" s="612"/>
      <c r="O145" s="613" t="s">
        <v>7</v>
      </c>
      <c r="P145" s="613"/>
      <c r="Q145" s="629"/>
      <c r="R145" s="629"/>
      <c r="S145" s="961" t="s">
        <v>7</v>
      </c>
      <c r="T145" s="628"/>
      <c r="U145" s="628"/>
      <c r="V145" s="628"/>
    </row>
    <row r="146" spans="1:22" ht="18" customHeight="1">
      <c r="A146" s="623"/>
      <c r="B146" s="623"/>
      <c r="C146" s="623"/>
      <c r="D146" s="613" t="s">
        <v>7</v>
      </c>
      <c r="E146" s="613"/>
      <c r="F146" s="626"/>
      <c r="G146" s="627"/>
      <c r="H146" s="630"/>
      <c r="I146" s="783"/>
      <c r="J146" s="783"/>
      <c r="K146" s="612" t="s">
        <v>7</v>
      </c>
      <c r="L146" s="612"/>
      <c r="M146" s="612" t="s">
        <v>7</v>
      </c>
      <c r="N146" s="612"/>
      <c r="O146" s="613" t="s">
        <v>7</v>
      </c>
      <c r="P146" s="613"/>
      <c r="Q146" s="629"/>
      <c r="R146" s="629"/>
      <c r="S146" s="628" t="s">
        <v>7</v>
      </c>
      <c r="T146" s="628"/>
      <c r="U146" s="628"/>
      <c r="V146" s="628"/>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J121:K121"/>
    <mergeCell ref="G125:H125"/>
    <mergeCell ref="J125:K125"/>
    <mergeCell ref="G128:H128"/>
    <mergeCell ref="J128:K128"/>
    <mergeCell ref="A140:C143"/>
    <mergeCell ref="D140:F143"/>
    <mergeCell ref="G140:H143"/>
    <mergeCell ref="I140:J143"/>
    <mergeCell ref="K140:L143"/>
    <mergeCell ref="P110:Q110"/>
    <mergeCell ref="J111:K111"/>
    <mergeCell ref="S113:T113"/>
    <mergeCell ref="J116:K116"/>
    <mergeCell ref="M116:N116"/>
    <mergeCell ref="J117:K117"/>
    <mergeCell ref="L102:M102"/>
    <mergeCell ref="J106:K106"/>
    <mergeCell ref="J107:K107"/>
    <mergeCell ref="J108:K108"/>
    <mergeCell ref="J109:K109"/>
    <mergeCell ref="J110:K110"/>
    <mergeCell ref="H98:I98"/>
    <mergeCell ref="J98:K98"/>
    <mergeCell ref="L98:M98"/>
    <mergeCell ref="L99:M99"/>
    <mergeCell ref="L100:M100"/>
    <mergeCell ref="L101:M101"/>
    <mergeCell ref="B95:C95"/>
    <mergeCell ref="D95:E96"/>
    <mergeCell ref="H95:M95"/>
    <mergeCell ref="B96:C96"/>
    <mergeCell ref="H97:I97"/>
    <mergeCell ref="J97:K97"/>
    <mergeCell ref="L97:M97"/>
    <mergeCell ref="J78:K78"/>
    <mergeCell ref="M78:N78"/>
    <mergeCell ref="J82:K82"/>
    <mergeCell ref="G86:H86"/>
    <mergeCell ref="J86:K86"/>
    <mergeCell ref="G89:H89"/>
    <mergeCell ref="J89:K89"/>
    <mergeCell ref="P69:Q69"/>
    <mergeCell ref="P70:Q70"/>
    <mergeCell ref="P71:Q71"/>
    <mergeCell ref="P72:Q72"/>
    <mergeCell ref="P73:Q73"/>
    <mergeCell ref="S75:T75"/>
    <mergeCell ref="J63:K63"/>
    <mergeCell ref="J64:K64"/>
    <mergeCell ref="J65:K65"/>
    <mergeCell ref="P65:Q65"/>
    <mergeCell ref="J66:K66"/>
    <mergeCell ref="P68:Q68"/>
    <mergeCell ref="J54:K54"/>
    <mergeCell ref="J55:K55"/>
    <mergeCell ref="J56:K56"/>
    <mergeCell ref="J57:K57"/>
    <mergeCell ref="J61:K61"/>
    <mergeCell ref="J62:K62"/>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H12:I12"/>
    <mergeCell ref="H13:I13"/>
    <mergeCell ref="H14:I14"/>
    <mergeCell ref="J18:K18"/>
    <mergeCell ref="J19:K19"/>
    <mergeCell ref="J20:K20"/>
    <mergeCell ref="H10:I10"/>
    <mergeCell ref="J10:K10"/>
    <mergeCell ref="L10:M10"/>
    <mergeCell ref="T10:U10"/>
    <mergeCell ref="H11:I11"/>
    <mergeCell ref="T11:U11"/>
    <mergeCell ref="B7:C8"/>
    <mergeCell ref="D7:E8"/>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47:J47 I90:J92 I129:J135">
    <cfRule type="cellIs" dxfId="54" priority="2" stopIfTrue="1" operator="equal">
      <formula>"Not suitable"</formula>
    </cfRule>
  </conditionalFormatting>
  <conditionalFormatting sqref="S43 S46 S86 S89 S125 S128">
    <cfRule type="cellIs" dxfId="53" priority="1" stopIfTrue="1" operator="equal">
      <formula>"Not satisfied"</formula>
    </cfRule>
  </conditionalFormatting>
  <dataValidations count="2">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WVL983043:WVM983044" xr:uid="{F19F99F6-D2BD-4A83-A9CB-41E66C88289F}">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A81014D9-5BCB-4E5B-8C6C-8CC0213449ED}">
      <formula1>"Core1,Core2,Core3"</formula1>
    </dataValidation>
  </dataValidations>
  <printOptions horizontalCentered="1" verticalCentered="1"/>
  <pageMargins left="0.5" right="0.5" top="0.5" bottom="0.5" header="0" footer="0"/>
  <pageSetup paperSize="9" scale="99" orientation="portrait" r:id="rId1"/>
  <headerFooter alignWithMargins="0"/>
  <rowBreaks count="1" manualBreakCount="1">
    <brk id="48" max="21" man="1"/>
  </row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0C156-80BD-4C01-A4C3-6D6DD7052BCD}">
  <sheetPr>
    <tabColor indexed="45"/>
  </sheetPr>
  <dimension ref="A1:AE178"/>
  <sheetViews>
    <sheetView showZeros="0" view="pageBreakPreview" topLeftCell="A16" zoomScale="145" zoomScaleNormal="100" zoomScaleSheetLayoutView="145" workbookViewId="0">
      <selection activeCell="B30" sqref="B30:Q31"/>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Title!H2</f>
        <v>ADEQUACY CHECK</v>
      </c>
      <c r="I2" s="730"/>
      <c r="J2" s="730"/>
      <c r="K2" s="730"/>
      <c r="L2" s="730"/>
      <c r="M2" s="730"/>
      <c r="N2" s="731"/>
      <c r="O2" s="702" t="str">
        <f>Title!O2</f>
        <v>Date</v>
      </c>
      <c r="P2" s="703"/>
      <c r="Q2" s="704"/>
      <c r="R2" s="732">
        <f>Title!R2</f>
        <v>46106</v>
      </c>
      <c r="S2" s="733"/>
      <c r="T2" s="733"/>
      <c r="U2" s="733"/>
      <c r="V2" s="734"/>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14"/>
      <c r="X4" s="14"/>
    </row>
    <row r="5" spans="1:24" ht="18" customHeight="1">
      <c r="A5" s="708" t="str">
        <f>Title!A5</f>
        <v>Prep. By</v>
      </c>
      <c r="B5" s="709"/>
      <c r="C5" s="25" t="str">
        <f>Title!C5</f>
        <v>AP</v>
      </c>
      <c r="D5" s="708" t="str">
        <f>Title!D5</f>
        <v>Checked By</v>
      </c>
      <c r="E5" s="710"/>
      <c r="F5" s="709"/>
      <c r="G5" s="25" t="str">
        <f>Title!G5</f>
        <v>RB</v>
      </c>
      <c r="H5" s="711" t="s">
        <v>604</v>
      </c>
      <c r="I5" s="712"/>
      <c r="J5" s="712"/>
      <c r="K5" s="712"/>
      <c r="L5" s="712"/>
      <c r="M5" s="712"/>
      <c r="N5" s="713"/>
      <c r="O5" s="714" t="str">
        <f>Title!O5</f>
        <v>Contractor</v>
      </c>
      <c r="P5" s="715"/>
      <c r="Q5" s="716"/>
      <c r="R5" s="705" t="str">
        <f>Title!R5</f>
        <v>HITACHI</v>
      </c>
      <c r="S5" s="706"/>
      <c r="T5" s="706"/>
      <c r="U5" s="706"/>
      <c r="V5" s="707"/>
      <c r="W5" s="14"/>
      <c r="X5" s="14"/>
    </row>
    <row r="6" spans="1:24" ht="18" customHeight="1">
      <c r="A6" s="196"/>
      <c r="V6" s="197"/>
    </row>
    <row r="7" spans="1:24" ht="18" customHeight="1">
      <c r="A7" s="196"/>
      <c r="B7" s="696" t="s">
        <v>120</v>
      </c>
      <c r="C7" s="697"/>
      <c r="D7" s="696" t="s">
        <v>124</v>
      </c>
      <c r="E7" s="698"/>
      <c r="F7" s="267"/>
      <c r="H7" s="639" t="s">
        <v>717</v>
      </c>
      <c r="I7" s="639"/>
      <c r="J7" s="639"/>
      <c r="K7" s="639"/>
      <c r="L7" s="639"/>
      <c r="M7" s="639"/>
      <c r="P7" s="198"/>
      <c r="R7" s="267"/>
      <c r="S7" s="199" t="s">
        <v>398</v>
      </c>
      <c r="T7" s="1051" t="s">
        <v>255</v>
      </c>
      <c r="U7" s="1052"/>
      <c r="V7" s="197"/>
    </row>
    <row r="8" spans="1:24" ht="18" customHeight="1">
      <c r="A8" s="196"/>
      <c r="B8" s="654"/>
      <c r="C8" s="655"/>
      <c r="D8" s="699"/>
      <c r="E8" s="700"/>
      <c r="F8" s="267"/>
      <c r="T8" s="1051" t="s">
        <v>577</v>
      </c>
      <c r="U8" s="1052"/>
      <c r="V8" s="197"/>
    </row>
    <row r="9" spans="1:24" ht="18" customHeight="1">
      <c r="A9" s="196"/>
      <c r="H9" s="662" t="s">
        <v>401</v>
      </c>
      <c r="I9" s="662"/>
      <c r="J9" s="701" t="s">
        <v>402</v>
      </c>
      <c r="K9" s="701"/>
      <c r="L9" s="701" t="s">
        <v>403</v>
      </c>
      <c r="M9" s="701"/>
      <c r="T9" s="1051"/>
      <c r="U9" s="1052"/>
      <c r="V9" s="197"/>
    </row>
    <row r="10" spans="1:24" ht="18" customHeight="1">
      <c r="A10" s="196"/>
      <c r="B10" s="47" t="s">
        <v>404</v>
      </c>
      <c r="H10" s="692">
        <v>2500</v>
      </c>
      <c r="I10" s="693"/>
      <c r="J10" s="656" t="s">
        <v>7</v>
      </c>
      <c r="K10" s="657"/>
      <c r="L10" s="656" t="s">
        <v>7</v>
      </c>
      <c r="M10" s="657"/>
      <c r="N10" s="203" t="s">
        <v>353</v>
      </c>
      <c r="O10" s="125">
        <v>1</v>
      </c>
      <c r="P10" s="27" t="s">
        <v>9</v>
      </c>
      <c r="T10" s="1051"/>
      <c r="U10" s="1052"/>
      <c r="V10" s="197"/>
    </row>
    <row r="11" spans="1:24" ht="18" customHeight="1">
      <c r="A11" s="196"/>
      <c r="B11" s="47" t="s">
        <v>405</v>
      </c>
      <c r="H11" s="656" t="s">
        <v>578</v>
      </c>
      <c r="I11" s="657"/>
      <c r="T11" s="1053"/>
      <c r="U11" s="1053"/>
      <c r="V11" s="197"/>
    </row>
    <row r="12" spans="1:24" ht="18" customHeight="1">
      <c r="A12" s="196"/>
      <c r="B12" s="47" t="s">
        <v>407</v>
      </c>
      <c r="G12" s="120" t="s">
        <v>508</v>
      </c>
      <c r="H12" s="656">
        <v>10</v>
      </c>
      <c r="I12" s="657"/>
      <c r="J12" s="204" t="s">
        <v>344</v>
      </c>
      <c r="T12" s="307"/>
      <c r="U12" s="18"/>
      <c r="V12" s="197"/>
    </row>
    <row r="13" spans="1:24" ht="18" customHeight="1">
      <c r="A13" s="196"/>
      <c r="B13" s="30" t="s">
        <v>579</v>
      </c>
      <c r="G13" s="120" t="s">
        <v>580</v>
      </c>
      <c r="H13" s="656">
        <v>5</v>
      </c>
      <c r="I13" s="657"/>
      <c r="T13" s="307"/>
      <c r="U13" s="18"/>
      <c r="V13" s="197"/>
      <c r="W13" s="30" t="str">
        <f>J47</f>
        <v>Suitable Dimensions</v>
      </c>
    </row>
    <row r="14" spans="1:24" ht="18" customHeight="1">
      <c r="A14" s="196"/>
      <c r="B14" s="47" t="s">
        <v>573</v>
      </c>
      <c r="G14" s="120" t="s">
        <v>504</v>
      </c>
      <c r="H14" s="656">
        <v>10</v>
      </c>
      <c r="I14" s="657"/>
      <c r="J14" s="14"/>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t="str">
        <f>T8</f>
        <v>POINTER</v>
      </c>
      <c r="I19" s="189" t="s">
        <v>138</v>
      </c>
      <c r="J19" s="686">
        <f>'CT-VT Burdens'!Q97</f>
        <v>1.25</v>
      </c>
      <c r="K19" s="687"/>
      <c r="L19" s="210" t="s">
        <v>168</v>
      </c>
      <c r="P19" s="256"/>
      <c r="V19" s="197"/>
    </row>
    <row r="20" spans="1:31" ht="18" customHeight="1">
      <c r="A20" s="196"/>
      <c r="B20" s="96" t="s">
        <v>416</v>
      </c>
      <c r="C20" s="14"/>
      <c r="D20" s="47">
        <f>T9</f>
        <v>0</v>
      </c>
      <c r="E20" s="14"/>
      <c r="G20" s="211"/>
      <c r="H20" s="27"/>
      <c r="I20" s="101" t="s">
        <v>138</v>
      </c>
      <c r="J20" s="688"/>
      <c r="K20" s="689"/>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688"/>
      <c r="K21" s="689"/>
      <c r="L21" s="214" t="s">
        <v>168</v>
      </c>
      <c r="O21" s="27" t="s">
        <v>138</v>
      </c>
      <c r="P21" s="27">
        <f>O10</f>
        <v>1</v>
      </c>
      <c r="Q21" s="27" t="s">
        <v>326</v>
      </c>
      <c r="R21" s="27">
        <f>O10</f>
        <v>1</v>
      </c>
      <c r="S21" s="27" t="s">
        <v>326</v>
      </c>
      <c r="T21" s="27">
        <f>H12</f>
        <v>10</v>
      </c>
      <c r="V21" s="197"/>
    </row>
    <row r="22" spans="1:31" ht="18" customHeight="1">
      <c r="A22" s="196"/>
      <c r="B22" s="196" t="s">
        <v>423</v>
      </c>
      <c r="C22" s="14"/>
      <c r="D22" s="47"/>
      <c r="E22" s="14"/>
      <c r="H22" s="27"/>
      <c r="I22" s="101" t="s">
        <v>138</v>
      </c>
      <c r="J22" s="690">
        <f>'CT-VT Burdens'!S22</f>
        <v>1.44186744</v>
      </c>
      <c r="K22" s="691"/>
      <c r="L22" s="309" t="s">
        <v>168</v>
      </c>
      <c r="O22" s="27" t="s">
        <v>138</v>
      </c>
      <c r="P22" s="637">
        <f>P21*R21*T21</f>
        <v>10</v>
      </c>
      <c r="Q22" s="639"/>
      <c r="R22" s="27" t="s">
        <v>168</v>
      </c>
      <c r="S22" s="27"/>
      <c r="T22" s="27"/>
      <c r="V22" s="197"/>
    </row>
    <row r="23" spans="1:31" ht="18" customHeight="1">
      <c r="A23" s="196"/>
      <c r="B23" s="1" t="s">
        <v>424</v>
      </c>
      <c r="C23" s="2"/>
      <c r="D23" s="2"/>
      <c r="E23" s="2"/>
      <c r="F23" s="208"/>
      <c r="G23" s="208"/>
      <c r="H23" s="236" t="s">
        <v>523</v>
      </c>
      <c r="I23" s="195" t="s">
        <v>138</v>
      </c>
      <c r="J23" s="648">
        <f>SUM(J18:K22)</f>
        <v>2.6998674400000002</v>
      </c>
      <c r="K23" s="649"/>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86">
        <f>H10</f>
        <v>2500</v>
      </c>
      <c r="Q25" s="986"/>
      <c r="R25" s="204" t="s">
        <v>9</v>
      </c>
      <c r="V25" s="197"/>
    </row>
    <row r="26" spans="1:31" ht="18" customHeight="1">
      <c r="A26" s="196"/>
      <c r="B26" s="47" t="s">
        <v>558</v>
      </c>
      <c r="C26" s="47"/>
      <c r="D26" s="47"/>
      <c r="E26" s="47"/>
      <c r="H26" s="27"/>
      <c r="I26" s="28"/>
      <c r="J26" s="211"/>
      <c r="L26" s="47"/>
      <c r="N26" s="120" t="s">
        <v>583</v>
      </c>
      <c r="O26" s="28" t="s">
        <v>138</v>
      </c>
      <c r="P26" s="986">
        <f>H12</f>
        <v>10</v>
      </c>
      <c r="Q26" s="986"/>
      <c r="R26" s="316" t="s">
        <v>168</v>
      </c>
      <c r="V26" s="197"/>
    </row>
    <row r="27" spans="1:31" ht="18" customHeight="1">
      <c r="A27" s="196"/>
      <c r="B27" s="47" t="s">
        <v>559</v>
      </c>
      <c r="C27" s="47"/>
      <c r="D27" s="47"/>
      <c r="E27" s="47"/>
      <c r="H27" s="27"/>
      <c r="I27" s="28"/>
      <c r="J27" s="211"/>
      <c r="L27" s="47"/>
      <c r="N27" s="120" t="s">
        <v>584</v>
      </c>
      <c r="O27" s="28" t="s">
        <v>138</v>
      </c>
      <c r="P27" s="960">
        <f>J23</f>
        <v>2.6998674400000002</v>
      </c>
      <c r="Q27" s="986"/>
      <c r="R27" s="316" t="s">
        <v>168</v>
      </c>
      <c r="V27" s="197"/>
    </row>
    <row r="28" spans="1:31" ht="18" customHeight="1">
      <c r="A28" s="196"/>
      <c r="B28" s="47" t="s">
        <v>560</v>
      </c>
      <c r="C28" s="47"/>
      <c r="D28" s="47"/>
      <c r="E28" s="47"/>
      <c r="H28" s="27"/>
      <c r="I28" s="28"/>
      <c r="J28" s="211"/>
      <c r="L28" s="47"/>
      <c r="N28" s="120" t="s">
        <v>522</v>
      </c>
      <c r="O28" s="28" t="s">
        <v>138</v>
      </c>
      <c r="P28" s="986">
        <f>O10</f>
        <v>1</v>
      </c>
      <c r="Q28" s="986"/>
      <c r="R28" s="204" t="s">
        <v>9</v>
      </c>
      <c r="V28" s="197"/>
    </row>
    <row r="29" spans="1:31" ht="18" customHeight="1">
      <c r="A29" s="196"/>
      <c r="B29" s="47" t="s">
        <v>585</v>
      </c>
      <c r="C29" s="47"/>
      <c r="D29" s="47"/>
      <c r="E29" s="47"/>
      <c r="H29" s="27"/>
      <c r="I29" s="28"/>
      <c r="J29" s="211"/>
      <c r="L29" s="47"/>
      <c r="N29" s="120" t="s">
        <v>506</v>
      </c>
      <c r="O29" s="28" t="s">
        <v>138</v>
      </c>
      <c r="P29" s="986">
        <f>H13</f>
        <v>5</v>
      </c>
      <c r="Q29" s="986"/>
      <c r="R29" s="204"/>
      <c r="V29" s="197"/>
    </row>
    <row r="30" spans="1:31" ht="18" customHeight="1">
      <c r="A30" s="196"/>
      <c r="B30" s="308" t="s">
        <v>587</v>
      </c>
      <c r="C30" s="47"/>
      <c r="D30" s="47"/>
      <c r="E30" s="47"/>
      <c r="H30" s="27"/>
      <c r="I30" s="28"/>
      <c r="J30" s="211"/>
      <c r="L30" s="47"/>
      <c r="O30" s="28" t="s">
        <v>138</v>
      </c>
      <c r="P30" s="960">
        <v>20</v>
      </c>
      <c r="Q30" s="960"/>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656">
        <v>20</v>
      </c>
      <c r="T32" s="657"/>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637">
        <f>J23</f>
        <v>2.6998674400000002</v>
      </c>
      <c r="K35" s="639"/>
      <c r="L35" s="28"/>
      <c r="M35" s="637"/>
      <c r="N35" s="639"/>
      <c r="V35" s="197"/>
    </row>
    <row r="36" spans="1:22" ht="18" customHeight="1">
      <c r="A36" s="196"/>
      <c r="I36" s="28"/>
      <c r="J36" s="637"/>
      <c r="K36" s="639"/>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473">
        <f>P22</f>
        <v>10</v>
      </c>
      <c r="M38" s="257" t="s">
        <v>358</v>
      </c>
      <c r="N38" s="473">
        <f>H14</f>
        <v>10</v>
      </c>
      <c r="O38" s="257" t="s">
        <v>550</v>
      </c>
      <c r="P38" s="473">
        <f>P22</f>
        <v>10</v>
      </c>
      <c r="Q38" s="257" t="s">
        <v>358</v>
      </c>
      <c r="R38" s="313">
        <f>J23</f>
        <v>2.6998674400000002</v>
      </c>
      <c r="S38" s="308" t="s">
        <v>361</v>
      </c>
      <c r="V38" s="197"/>
    </row>
    <row r="39" spans="1:22" ht="18" customHeight="1">
      <c r="A39" s="196"/>
      <c r="I39" s="27" t="s">
        <v>138</v>
      </c>
      <c r="J39" s="640">
        <f>J38*((L38+N38)/(P38+R38))</f>
        <v>7.8740979362537349</v>
      </c>
      <c r="K39" s="640"/>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639">
        <f>H14</f>
        <v>10</v>
      </c>
      <c r="H43" s="639"/>
      <c r="I43" s="27" t="str">
        <f>IF(G43&gt;J43,"&gt;","&lt;")</f>
        <v>&gt;</v>
      </c>
      <c r="J43" s="637">
        <f>J35</f>
        <v>2.6998674400000002</v>
      </c>
      <c r="K43" s="639"/>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637">
        <f>P30</f>
        <v>20</v>
      </c>
      <c r="H46" s="637"/>
      <c r="I46" s="27" t="str">
        <f>IF(G46&gt;J46,"&gt;","&lt;")</f>
        <v>&gt;</v>
      </c>
      <c r="J46" s="637">
        <f>J39</f>
        <v>7.8740979362537349</v>
      </c>
      <c r="K46" s="637"/>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667" t="str">
        <f>B7</f>
        <v>T1</v>
      </c>
      <c r="C50" s="668"/>
      <c r="D50" s="680" t="str">
        <f>D7</f>
        <v>Core5</v>
      </c>
      <c r="E50" s="681"/>
      <c r="F50" s="267"/>
      <c r="H50" s="639" t="str">
        <f>H7</f>
        <v>(Check Tariff Meter + Ammeters)</v>
      </c>
      <c r="I50" s="639"/>
      <c r="J50" s="639"/>
      <c r="K50" s="639"/>
      <c r="L50" s="639"/>
      <c r="M50" s="639"/>
      <c r="P50" s="198"/>
      <c r="R50" s="267"/>
      <c r="S50" s="199" t="s">
        <v>398</v>
      </c>
      <c r="T50" s="1051" t="str">
        <f>T7</f>
        <v>XC-RACK</v>
      </c>
      <c r="U50" s="1052"/>
      <c r="V50" s="197"/>
    </row>
    <row r="51" spans="1:23" ht="18" hidden="1" customHeight="1">
      <c r="A51" s="196"/>
      <c r="B51" s="679">
        <f>B8</f>
        <v>0</v>
      </c>
      <c r="C51" s="679"/>
      <c r="D51" s="682"/>
      <c r="E51" s="683"/>
      <c r="F51" s="267"/>
      <c r="T51" s="1051"/>
      <c r="U51" s="1052"/>
      <c r="V51" s="197"/>
    </row>
    <row r="52" spans="1:23" ht="18" hidden="1" customHeight="1">
      <c r="A52" s="196"/>
      <c r="H52" s="661" t="s">
        <v>401</v>
      </c>
      <c r="I52" s="661"/>
      <c r="J52" s="662" t="s">
        <v>402</v>
      </c>
      <c r="K52" s="662"/>
      <c r="L52" s="701" t="s">
        <v>403</v>
      </c>
      <c r="M52" s="701"/>
      <c r="T52" s="1051"/>
      <c r="U52" s="1052"/>
      <c r="V52" s="197"/>
    </row>
    <row r="53" spans="1:23" ht="18" hidden="1" customHeight="1">
      <c r="A53" s="196"/>
      <c r="B53" s="47" t="s">
        <v>404</v>
      </c>
      <c r="H53" s="667">
        <f>H10</f>
        <v>2500</v>
      </c>
      <c r="I53" s="668"/>
      <c r="J53" s="1030" t="str">
        <f>J10</f>
        <v>-</v>
      </c>
      <c r="K53" s="1031"/>
      <c r="L53" s="667" t="str">
        <f>L10</f>
        <v>-</v>
      </c>
      <c r="M53" s="668"/>
      <c r="N53" s="203" t="s">
        <v>353</v>
      </c>
      <c r="O53" s="501">
        <f>O10</f>
        <v>1</v>
      </c>
      <c r="P53" s="27" t="s">
        <v>9</v>
      </c>
      <c r="T53" s="1051"/>
      <c r="U53" s="1052"/>
      <c r="V53" s="197"/>
    </row>
    <row r="54" spans="1:23" ht="18" hidden="1" customHeight="1">
      <c r="A54" s="196"/>
      <c r="B54" s="47" t="s">
        <v>405</v>
      </c>
      <c r="H54" s="14"/>
      <c r="I54" s="14"/>
      <c r="J54" s="667" t="str">
        <f>H11</f>
        <v>0.2FS5</v>
      </c>
      <c r="K54" s="668"/>
      <c r="L54" s="14"/>
      <c r="M54" s="14"/>
      <c r="V54" s="197"/>
    </row>
    <row r="55" spans="1:23" ht="18" hidden="1" customHeight="1">
      <c r="A55" s="196"/>
      <c r="B55" s="47" t="s">
        <v>407</v>
      </c>
      <c r="I55" s="120" t="s">
        <v>508</v>
      </c>
      <c r="J55" s="656">
        <v>5</v>
      </c>
      <c r="K55" s="657"/>
      <c r="L55" s="204" t="s">
        <v>344</v>
      </c>
      <c r="T55" s="307"/>
      <c r="U55" s="18"/>
      <c r="V55" s="197"/>
    </row>
    <row r="56" spans="1:23" ht="18" hidden="1" customHeight="1">
      <c r="A56" s="196"/>
      <c r="B56" s="30" t="s">
        <v>579</v>
      </c>
      <c r="I56" s="120" t="s">
        <v>580</v>
      </c>
      <c r="J56" s="656">
        <v>10</v>
      </c>
      <c r="K56" s="657"/>
      <c r="T56" s="307"/>
      <c r="U56" s="18"/>
      <c r="V56" s="197"/>
      <c r="W56" s="30" t="str">
        <f>J90</f>
        <v>Suitable Dimensions</v>
      </c>
    </row>
    <row r="57" spans="1:23" ht="18" hidden="1" customHeight="1">
      <c r="A57" s="196"/>
      <c r="B57" s="47" t="s">
        <v>573</v>
      </c>
      <c r="I57" s="120" t="s">
        <v>504</v>
      </c>
      <c r="J57" s="656">
        <v>5</v>
      </c>
      <c r="K57" s="657"/>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hidden="1" customHeight="1">
      <c r="A62" s="196"/>
      <c r="B62" s="96" t="s">
        <v>416</v>
      </c>
      <c r="D62" s="308" t="str">
        <f>D19</f>
        <v>POINTER</v>
      </c>
      <c r="I62" s="189" t="s">
        <v>138</v>
      </c>
      <c r="J62" s="642">
        <f t="shared" si="0"/>
        <v>1.25</v>
      </c>
      <c r="K62" s="643"/>
      <c r="L62" s="210" t="s">
        <v>168</v>
      </c>
      <c r="P62" s="256"/>
      <c r="V62" s="197"/>
    </row>
    <row r="63" spans="1:23" ht="18" hidden="1" customHeight="1">
      <c r="A63" s="196"/>
      <c r="B63" s="96" t="s">
        <v>416</v>
      </c>
      <c r="C63" s="14"/>
      <c r="D63" s="47">
        <f>D20</f>
        <v>0</v>
      </c>
      <c r="E63" s="14"/>
      <c r="G63" s="211"/>
      <c r="H63" s="27"/>
      <c r="I63" s="101" t="s">
        <v>138</v>
      </c>
      <c r="J63" s="644">
        <f t="shared" si="0"/>
        <v>0</v>
      </c>
      <c r="K63" s="645"/>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644">
        <f t="shared" si="0"/>
        <v>0</v>
      </c>
      <c r="K64" s="645"/>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646">
        <f t="shared" si="0"/>
        <v>1.44186744</v>
      </c>
      <c r="K65" s="647"/>
      <c r="L65" s="309" t="s">
        <v>168</v>
      </c>
      <c r="O65" s="27" t="s">
        <v>138</v>
      </c>
      <c r="P65" s="637">
        <f>P64*R64*T64</f>
        <v>5</v>
      </c>
      <c r="Q65" s="639"/>
      <c r="R65" s="27" t="s">
        <v>168</v>
      </c>
      <c r="S65" s="27"/>
      <c r="T65" s="27"/>
      <c r="V65" s="197"/>
    </row>
    <row r="66" spans="1:22" ht="18" hidden="1" customHeight="1">
      <c r="A66" s="196"/>
      <c r="B66" s="1" t="s">
        <v>424</v>
      </c>
      <c r="C66" s="2"/>
      <c r="D66" s="2"/>
      <c r="E66" s="2"/>
      <c r="F66" s="208"/>
      <c r="G66" s="208"/>
      <c r="H66" s="236" t="s">
        <v>523</v>
      </c>
      <c r="I66" s="195" t="s">
        <v>138</v>
      </c>
      <c r="J66" s="648">
        <f t="shared" si="0"/>
        <v>2.6998674400000002</v>
      </c>
      <c r="K66" s="649"/>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86" t="str">
        <f>J53</f>
        <v>-</v>
      </c>
      <c r="Q68" s="986"/>
      <c r="R68" s="204" t="s">
        <v>9</v>
      </c>
      <c r="V68" s="197"/>
    </row>
    <row r="69" spans="1:22" ht="18" hidden="1" customHeight="1">
      <c r="A69" s="196"/>
      <c r="B69" s="47" t="s">
        <v>558</v>
      </c>
      <c r="C69" s="47"/>
      <c r="D69" s="47"/>
      <c r="E69" s="47"/>
      <c r="H69" s="27"/>
      <c r="I69" s="28"/>
      <c r="J69" s="211"/>
      <c r="L69" s="47"/>
      <c r="N69" s="120" t="s">
        <v>583</v>
      </c>
      <c r="O69" s="28" t="s">
        <v>138</v>
      </c>
      <c r="P69" s="986">
        <f>J55</f>
        <v>5</v>
      </c>
      <c r="Q69" s="986"/>
      <c r="R69" s="316" t="s">
        <v>168</v>
      </c>
      <c r="V69" s="197"/>
    </row>
    <row r="70" spans="1:22" ht="18" hidden="1" customHeight="1">
      <c r="A70" s="196"/>
      <c r="B70" s="47" t="s">
        <v>559</v>
      </c>
      <c r="C70" s="47"/>
      <c r="D70" s="47"/>
      <c r="E70" s="47"/>
      <c r="H70" s="27"/>
      <c r="I70" s="28"/>
      <c r="J70" s="211"/>
      <c r="L70" s="47"/>
      <c r="N70" s="120" t="s">
        <v>584</v>
      </c>
      <c r="O70" s="28" t="s">
        <v>138</v>
      </c>
      <c r="P70" s="960">
        <f>J66</f>
        <v>2.6998674400000002</v>
      </c>
      <c r="Q70" s="986"/>
      <c r="R70" s="316" t="s">
        <v>168</v>
      </c>
      <c r="V70" s="197"/>
    </row>
    <row r="71" spans="1:22" ht="18" hidden="1" customHeight="1">
      <c r="A71" s="196"/>
      <c r="B71" s="47" t="s">
        <v>560</v>
      </c>
      <c r="C71" s="47"/>
      <c r="D71" s="47"/>
      <c r="E71" s="47"/>
      <c r="H71" s="27"/>
      <c r="I71" s="28"/>
      <c r="J71" s="211"/>
      <c r="L71" s="47"/>
      <c r="N71" s="120" t="s">
        <v>522</v>
      </c>
      <c r="O71" s="28" t="s">
        <v>138</v>
      </c>
      <c r="P71" s="986">
        <f>O53</f>
        <v>1</v>
      </c>
      <c r="Q71" s="986"/>
      <c r="R71" s="204" t="s">
        <v>9</v>
      </c>
      <c r="V71" s="197"/>
    </row>
    <row r="72" spans="1:22" ht="18" hidden="1" customHeight="1">
      <c r="A72" s="196"/>
      <c r="B72" s="47" t="s">
        <v>585</v>
      </c>
      <c r="C72" s="47"/>
      <c r="D72" s="47"/>
      <c r="E72" s="47"/>
      <c r="H72" s="27"/>
      <c r="I72" s="28"/>
      <c r="J72" s="211"/>
      <c r="L72" s="47"/>
      <c r="N72" s="120" t="s">
        <v>506</v>
      </c>
      <c r="O72" s="28" t="s">
        <v>138</v>
      </c>
      <c r="P72" s="986">
        <v>10</v>
      </c>
      <c r="Q72" s="986"/>
      <c r="R72" s="204"/>
      <c r="V72" s="197"/>
    </row>
    <row r="73" spans="1:22" ht="18" hidden="1" customHeight="1">
      <c r="A73" s="196"/>
      <c r="B73" s="47" t="s">
        <v>588</v>
      </c>
      <c r="C73" s="47"/>
      <c r="D73" s="47"/>
      <c r="E73" s="47"/>
      <c r="H73" s="27"/>
      <c r="I73" s="28"/>
      <c r="J73" s="211"/>
      <c r="L73" s="47"/>
      <c r="O73" s="28" t="s">
        <v>138</v>
      </c>
      <c r="P73" s="960">
        <v>20</v>
      </c>
      <c r="Q73" s="960"/>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705">
        <f>S32</f>
        <v>20</v>
      </c>
      <c r="T75" s="707"/>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637">
        <f>J66</f>
        <v>2.6998674400000002</v>
      </c>
      <c r="K78" s="639"/>
      <c r="L78" s="28"/>
      <c r="M78" s="637"/>
      <c r="N78" s="639"/>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2.6998674400000002</v>
      </c>
      <c r="S81" s="308" t="s">
        <v>361</v>
      </c>
      <c r="V81" s="197"/>
    </row>
    <row r="82" spans="1:22" ht="18" hidden="1" customHeight="1">
      <c r="A82" s="196"/>
      <c r="I82" s="27" t="s">
        <v>138</v>
      </c>
      <c r="J82" s="640">
        <f>J81*((L81+N81)/(P81+R81))</f>
        <v>12.98723656988048</v>
      </c>
      <c r="K82" s="640"/>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639">
        <f>J57</f>
        <v>5</v>
      </c>
      <c r="H86" s="639"/>
      <c r="I86" s="27" t="str">
        <f>IF(G86&gt;J86,"&gt;","&lt;")</f>
        <v>&gt;</v>
      </c>
      <c r="J86" s="637">
        <f>J78</f>
        <v>2.6998674400000002</v>
      </c>
      <c r="K86" s="639"/>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637">
        <f>P73</f>
        <v>20</v>
      </c>
      <c r="H89" s="637"/>
      <c r="I89" s="27" t="str">
        <f>IF(G89&gt;J89,"&gt;","&lt;")</f>
        <v>&gt;</v>
      </c>
      <c r="J89" s="637">
        <f>J82</f>
        <v>12.98723656988048</v>
      </c>
      <c r="K89" s="637"/>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650" t="str">
        <f>B50</f>
        <v>T1</v>
      </c>
      <c r="C95" s="651"/>
      <c r="D95" s="663" t="str">
        <f>D50</f>
        <v>Core5</v>
      </c>
      <c r="E95" s="664"/>
      <c r="F95" s="267"/>
      <c r="H95" s="639" t="str">
        <f>H50</f>
        <v>(Check Tariff Meter + Ammeters)</v>
      </c>
      <c r="I95" s="639"/>
      <c r="J95" s="639"/>
      <c r="K95" s="639"/>
      <c r="L95" s="639"/>
      <c r="M95" s="639"/>
      <c r="P95" s="198"/>
      <c r="V95" s="197"/>
    </row>
    <row r="96" spans="1:22" ht="18" hidden="1" customHeight="1">
      <c r="A96" s="196"/>
      <c r="B96" s="660">
        <f>B51</f>
        <v>0</v>
      </c>
      <c r="C96" s="660"/>
      <c r="D96" s="665"/>
      <c r="E96" s="666"/>
      <c r="F96" s="267"/>
      <c r="V96" s="197"/>
    </row>
    <row r="97" spans="1:23" ht="18" hidden="1" customHeight="1">
      <c r="A97" s="196"/>
      <c r="H97" s="661" t="s">
        <v>401</v>
      </c>
      <c r="I97" s="661"/>
      <c r="J97" s="661" t="s">
        <v>402</v>
      </c>
      <c r="K97" s="661"/>
      <c r="L97" s="662" t="s">
        <v>403</v>
      </c>
      <c r="M97" s="662"/>
      <c r="V97" s="197"/>
    </row>
    <row r="98" spans="1:23" ht="18" hidden="1" customHeight="1">
      <c r="A98" s="196"/>
      <c r="B98" s="47" t="s">
        <v>404</v>
      </c>
      <c r="H98" s="650">
        <f>H53</f>
        <v>2500</v>
      </c>
      <c r="I98" s="651"/>
      <c r="J98" s="650" t="str">
        <f>J53</f>
        <v>-</v>
      </c>
      <c r="K98" s="651"/>
      <c r="L98" s="652" t="str">
        <f>L53</f>
        <v>-</v>
      </c>
      <c r="M98" s="653"/>
      <c r="N98" s="203" t="s">
        <v>353</v>
      </c>
      <c r="O98" s="268">
        <f>O53</f>
        <v>1</v>
      </c>
      <c r="P98" s="27" t="s">
        <v>9</v>
      </c>
      <c r="V98" s="197"/>
    </row>
    <row r="99" spans="1:23" ht="18" hidden="1" customHeight="1">
      <c r="A99" s="196"/>
      <c r="B99" s="47" t="s">
        <v>405</v>
      </c>
      <c r="H99" s="14"/>
      <c r="I99" s="14"/>
      <c r="K99" s="14"/>
      <c r="L99" s="650" t="str">
        <f>J54</f>
        <v>0.2FS5</v>
      </c>
      <c r="M99" s="651"/>
      <c r="N99" s="14"/>
      <c r="V99" s="197"/>
    </row>
    <row r="100" spans="1:23" ht="18" hidden="1" customHeight="1">
      <c r="A100" s="196"/>
      <c r="B100" s="47" t="s">
        <v>407</v>
      </c>
      <c r="I100" s="120"/>
      <c r="K100" s="120" t="s">
        <v>508</v>
      </c>
      <c r="L100" s="656" t="s">
        <v>7</v>
      </c>
      <c r="M100" s="657"/>
      <c r="N100" s="204" t="s">
        <v>344</v>
      </c>
      <c r="T100" s="307"/>
      <c r="U100" s="18"/>
      <c r="V100" s="197"/>
    </row>
    <row r="101" spans="1:23" ht="18" hidden="1" customHeight="1">
      <c r="A101" s="196"/>
      <c r="B101" s="30" t="s">
        <v>579</v>
      </c>
      <c r="I101" s="120"/>
      <c r="K101" s="120" t="s">
        <v>580</v>
      </c>
      <c r="L101" s="656" t="s">
        <v>7</v>
      </c>
      <c r="M101" s="657"/>
      <c r="T101" s="307"/>
      <c r="U101" s="18"/>
      <c r="V101" s="197"/>
      <c r="W101" s="30" t="e">
        <f>J130</f>
        <v>#VALUE!</v>
      </c>
    </row>
    <row r="102" spans="1:23" ht="18" hidden="1" customHeight="1">
      <c r="A102" s="196"/>
      <c r="B102" s="47" t="s">
        <v>573</v>
      </c>
      <c r="I102" s="120"/>
      <c r="K102" s="120" t="s">
        <v>504</v>
      </c>
      <c r="L102" s="656" t="s">
        <v>7</v>
      </c>
      <c r="M102" s="657"/>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648">
        <f t="shared" ref="J106:J111" si="1">J61</f>
        <v>8.0000000000000002E-3</v>
      </c>
      <c r="K106" s="649"/>
      <c r="L106" s="3" t="s">
        <v>168</v>
      </c>
      <c r="N106" s="209" t="s">
        <v>521</v>
      </c>
      <c r="V106" s="197"/>
    </row>
    <row r="107" spans="1:23" ht="18" hidden="1" customHeight="1">
      <c r="A107" s="196"/>
      <c r="B107" s="96" t="s">
        <v>416</v>
      </c>
      <c r="D107" s="308" t="str">
        <f>D62</f>
        <v>POINTER</v>
      </c>
      <c r="I107" s="189" t="s">
        <v>138</v>
      </c>
      <c r="J107" s="642">
        <f t="shared" si="1"/>
        <v>1.25</v>
      </c>
      <c r="K107" s="643"/>
      <c r="L107" s="210" t="s">
        <v>168</v>
      </c>
      <c r="P107" s="256"/>
      <c r="V107" s="197"/>
    </row>
    <row r="108" spans="1:23" ht="18" hidden="1" customHeight="1">
      <c r="A108" s="196"/>
      <c r="B108" s="96" t="s">
        <v>416</v>
      </c>
      <c r="C108" s="14"/>
      <c r="D108" s="47">
        <f>D63</f>
        <v>0</v>
      </c>
      <c r="E108" s="14"/>
      <c r="G108" s="211"/>
      <c r="H108" s="27"/>
      <c r="I108" s="101" t="s">
        <v>138</v>
      </c>
      <c r="J108" s="644">
        <f t="shared" si="1"/>
        <v>0</v>
      </c>
      <c r="K108" s="645"/>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644">
        <f t="shared" si="1"/>
        <v>0</v>
      </c>
      <c r="K109" s="645"/>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646">
        <f t="shared" si="1"/>
        <v>1.44186744</v>
      </c>
      <c r="K110" s="647"/>
      <c r="L110" s="309" t="s">
        <v>168</v>
      </c>
      <c r="O110" s="27" t="s">
        <v>138</v>
      </c>
      <c r="P110" s="637" t="e">
        <f>P109*R109*T109</f>
        <v>#VALUE!</v>
      </c>
      <c r="Q110" s="639"/>
      <c r="R110" s="27" t="s">
        <v>168</v>
      </c>
      <c r="S110" s="27"/>
      <c r="T110" s="27"/>
      <c r="V110" s="197"/>
    </row>
    <row r="111" spans="1:23" ht="18" hidden="1" customHeight="1">
      <c r="A111" s="196"/>
      <c r="B111" s="1" t="s">
        <v>424</v>
      </c>
      <c r="C111" s="2"/>
      <c r="D111" s="2"/>
      <c r="E111" s="2"/>
      <c r="F111" s="208"/>
      <c r="G111" s="208"/>
      <c r="H111" s="236" t="s">
        <v>523</v>
      </c>
      <c r="I111" s="195" t="s">
        <v>138</v>
      </c>
      <c r="J111" s="897">
        <f t="shared" si="1"/>
        <v>2.6998674400000002</v>
      </c>
      <c r="K111" s="649"/>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705">
        <f>S75</f>
        <v>20</v>
      </c>
      <c r="T113" s="707"/>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637" t="e">
        <f>P110</f>
        <v>#VALUE!</v>
      </c>
      <c r="K116" s="639"/>
      <c r="L116" s="28" t="s">
        <v>358</v>
      </c>
      <c r="M116" s="637">
        <f>J111</f>
        <v>2.6998674400000002</v>
      </c>
      <c r="N116" s="639"/>
      <c r="V116" s="197"/>
    </row>
    <row r="117" spans="1:22" ht="18" hidden="1" customHeight="1">
      <c r="A117" s="196"/>
      <c r="I117" s="28" t="s">
        <v>138</v>
      </c>
      <c r="J117" s="637" t="e">
        <f>J116+M116</f>
        <v>#VALUE!</v>
      </c>
      <c r="K117" s="639"/>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2.6998674400000002</v>
      </c>
      <c r="S120" s="308" t="s">
        <v>361</v>
      </c>
      <c r="V120" s="197"/>
    </row>
    <row r="121" spans="1:22" ht="18" hidden="1" customHeight="1">
      <c r="A121" s="196"/>
      <c r="I121" s="27" t="s">
        <v>138</v>
      </c>
      <c r="J121" s="640" t="e">
        <f>J120*((L120+N120)/(P120+R120))</f>
        <v>#VALUE!</v>
      </c>
      <c r="K121" s="640"/>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639" t="str">
        <f>L102</f>
        <v>-</v>
      </c>
      <c r="H125" s="639"/>
      <c r="I125" s="27" t="e">
        <f>IF(G125&gt;J125,"&gt;","&lt;")</f>
        <v>#VALUE!</v>
      </c>
      <c r="J125" s="637" t="e">
        <f>J117</f>
        <v>#VALUE!</v>
      </c>
      <c r="K125" s="639"/>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637">
        <f>S113</f>
        <v>20</v>
      </c>
      <c r="H128" s="637"/>
      <c r="I128" s="27" t="e">
        <f>IF(G128&gt;J128,"&gt;","&lt;")</f>
        <v>#VALUE!</v>
      </c>
      <c r="J128" s="637" t="e">
        <f>J121</f>
        <v>#VALUE!</v>
      </c>
      <c r="K128" s="637"/>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614" t="s">
        <v>97</v>
      </c>
      <c r="B140" s="620"/>
      <c r="C140" s="615"/>
      <c r="D140" s="614" t="s">
        <v>98</v>
      </c>
      <c r="E140" s="620"/>
      <c r="F140" s="615"/>
      <c r="G140" s="614" t="s">
        <v>99</v>
      </c>
      <c r="H140" s="615"/>
      <c r="I140" s="614" t="s">
        <v>100</v>
      </c>
      <c r="J140" s="615"/>
      <c r="K140" s="614" t="s">
        <v>513</v>
      </c>
      <c r="L140" s="615"/>
      <c r="M140" s="614" t="s">
        <v>114</v>
      </c>
      <c r="N140" s="615"/>
      <c r="O140" s="614"/>
      <c r="P140" s="615"/>
      <c r="Q140" s="614" t="s">
        <v>516</v>
      </c>
      <c r="R140" s="615"/>
      <c r="S140" s="614" t="s">
        <v>105</v>
      </c>
      <c r="T140" s="620"/>
      <c r="U140" s="620"/>
      <c r="V140" s="615"/>
    </row>
    <row r="141" spans="1:22" ht="18" customHeight="1">
      <c r="A141" s="616"/>
      <c r="B141" s="621"/>
      <c r="C141" s="617"/>
      <c r="D141" s="616"/>
      <c r="E141" s="621"/>
      <c r="F141" s="617"/>
      <c r="G141" s="616"/>
      <c r="H141" s="617"/>
      <c r="I141" s="616"/>
      <c r="J141" s="617"/>
      <c r="K141" s="616"/>
      <c r="L141" s="617"/>
      <c r="M141" s="616"/>
      <c r="N141" s="617"/>
      <c r="O141" s="616"/>
      <c r="P141" s="617"/>
      <c r="Q141" s="616"/>
      <c r="R141" s="617"/>
      <c r="S141" s="616"/>
      <c r="T141" s="621"/>
      <c r="U141" s="621"/>
      <c r="V141" s="617"/>
    </row>
    <row r="142" spans="1:22" ht="18" customHeight="1">
      <c r="A142" s="616"/>
      <c r="B142" s="621"/>
      <c r="C142" s="617"/>
      <c r="D142" s="616"/>
      <c r="E142" s="621"/>
      <c r="F142" s="617"/>
      <c r="G142" s="616"/>
      <c r="H142" s="617"/>
      <c r="I142" s="616"/>
      <c r="J142" s="617"/>
      <c r="K142" s="616"/>
      <c r="L142" s="617"/>
      <c r="M142" s="616"/>
      <c r="N142" s="617"/>
      <c r="O142" s="616"/>
      <c r="P142" s="617"/>
      <c r="Q142" s="616"/>
      <c r="R142" s="617"/>
      <c r="S142" s="616"/>
      <c r="T142" s="621"/>
      <c r="U142" s="621"/>
      <c r="V142" s="617"/>
    </row>
    <row r="143" spans="1:22" ht="18" customHeight="1">
      <c r="A143" s="618"/>
      <c r="B143" s="622"/>
      <c r="C143" s="619"/>
      <c r="D143" s="618"/>
      <c r="E143" s="622"/>
      <c r="F143" s="619"/>
      <c r="G143" s="618"/>
      <c r="H143" s="619"/>
      <c r="I143" s="618"/>
      <c r="J143" s="619"/>
      <c r="K143" s="618"/>
      <c r="L143" s="619"/>
      <c r="M143" s="618"/>
      <c r="N143" s="619"/>
      <c r="O143" s="618"/>
      <c r="P143" s="619"/>
      <c r="Q143" s="618"/>
      <c r="R143" s="619"/>
      <c r="S143" s="618"/>
      <c r="T143" s="622"/>
      <c r="U143" s="622"/>
      <c r="V143" s="619"/>
    </row>
    <row r="144" spans="1:22" ht="18" customHeight="1">
      <c r="A144" s="623" t="str">
        <f>B95</f>
        <v>T1</v>
      </c>
      <c r="B144" s="623" t="str">
        <f>D95</f>
        <v>Core5</v>
      </c>
      <c r="C144" s="623"/>
      <c r="D144" s="613">
        <f>H98</f>
        <v>2500</v>
      </c>
      <c r="E144" s="613"/>
      <c r="F144" s="624">
        <f>O98</f>
        <v>1</v>
      </c>
      <c r="G144" s="627">
        <f>'CT-VT Burdens'!S19</f>
        <v>80</v>
      </c>
      <c r="H144" s="630">
        <f>'CT-VT Burdens'!S10</f>
        <v>2.5</v>
      </c>
      <c r="I144" s="783" t="str">
        <f>L99</f>
        <v>0.2FS5</v>
      </c>
      <c r="J144" s="783"/>
      <c r="K144" s="612">
        <f>H12</f>
        <v>10</v>
      </c>
      <c r="L144" s="612"/>
      <c r="M144" s="612">
        <f>H14</f>
        <v>10</v>
      </c>
      <c r="N144" s="612"/>
      <c r="O144" s="613" t="s">
        <v>7</v>
      </c>
      <c r="P144" s="613"/>
      <c r="Q144" s="629" t="str">
        <f>CONCATENATE(T7," ",T8," ",T9," ",T10)</f>
        <v xml:space="preserve">XC-RACK POINTER  </v>
      </c>
      <c r="R144" s="629"/>
      <c r="S144" s="628" t="str">
        <f>J47</f>
        <v>Suitable Dimensions</v>
      </c>
      <c r="T144" s="628"/>
      <c r="U144" s="628"/>
      <c r="V144" s="628"/>
    </row>
    <row r="145" spans="1:22" ht="18" customHeight="1">
      <c r="A145" s="623"/>
      <c r="B145" s="623"/>
      <c r="C145" s="623"/>
      <c r="D145" s="613" t="str">
        <f>J98</f>
        <v>-</v>
      </c>
      <c r="E145" s="613"/>
      <c r="F145" s="625"/>
      <c r="G145" s="627"/>
      <c r="H145" s="630"/>
      <c r="I145" s="783"/>
      <c r="J145" s="783"/>
      <c r="K145" s="785" t="s">
        <v>7</v>
      </c>
      <c r="L145" s="612"/>
      <c r="M145" s="785" t="s">
        <v>7</v>
      </c>
      <c r="N145" s="612"/>
      <c r="O145" s="613" t="s">
        <v>7</v>
      </c>
      <c r="P145" s="613"/>
      <c r="Q145" s="629"/>
      <c r="R145" s="629"/>
      <c r="S145" s="961" t="s">
        <v>7</v>
      </c>
      <c r="T145" s="628"/>
      <c r="U145" s="628"/>
      <c r="V145" s="628"/>
    </row>
    <row r="146" spans="1:22" ht="18" customHeight="1">
      <c r="A146" s="623"/>
      <c r="B146" s="623"/>
      <c r="C146" s="623"/>
      <c r="D146" s="613" t="s">
        <v>7</v>
      </c>
      <c r="E146" s="613"/>
      <c r="F146" s="626"/>
      <c r="G146" s="627"/>
      <c r="H146" s="630"/>
      <c r="I146" s="783"/>
      <c r="J146" s="783"/>
      <c r="K146" s="612" t="s">
        <v>7</v>
      </c>
      <c r="L146" s="612"/>
      <c r="M146" s="612" t="s">
        <v>7</v>
      </c>
      <c r="N146" s="612"/>
      <c r="O146" s="613" t="s">
        <v>7</v>
      </c>
      <c r="P146" s="613"/>
      <c r="Q146" s="629"/>
      <c r="R146" s="629"/>
      <c r="S146" s="628" t="s">
        <v>7</v>
      </c>
      <c r="T146" s="628"/>
      <c r="U146" s="628"/>
      <c r="V146" s="628"/>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J121:K121"/>
    <mergeCell ref="G125:H125"/>
    <mergeCell ref="J125:K125"/>
    <mergeCell ref="G128:H128"/>
    <mergeCell ref="J128:K128"/>
    <mergeCell ref="A140:C143"/>
    <mergeCell ref="D140:F143"/>
    <mergeCell ref="G140:H143"/>
    <mergeCell ref="I140:J143"/>
    <mergeCell ref="K140:L143"/>
    <mergeCell ref="P110:Q110"/>
    <mergeCell ref="J111:K111"/>
    <mergeCell ref="S113:T113"/>
    <mergeCell ref="J116:K116"/>
    <mergeCell ref="M116:N116"/>
    <mergeCell ref="J117:K117"/>
    <mergeCell ref="L102:M102"/>
    <mergeCell ref="J106:K106"/>
    <mergeCell ref="J107:K107"/>
    <mergeCell ref="J108:K108"/>
    <mergeCell ref="J109:K109"/>
    <mergeCell ref="J110:K110"/>
    <mergeCell ref="H98:I98"/>
    <mergeCell ref="J98:K98"/>
    <mergeCell ref="L98:M98"/>
    <mergeCell ref="L99:M99"/>
    <mergeCell ref="L100:M100"/>
    <mergeCell ref="L101:M101"/>
    <mergeCell ref="B95:C95"/>
    <mergeCell ref="D95:E96"/>
    <mergeCell ref="H95:M95"/>
    <mergeCell ref="B96:C96"/>
    <mergeCell ref="H97:I97"/>
    <mergeCell ref="J97:K97"/>
    <mergeCell ref="L97:M97"/>
    <mergeCell ref="J78:K78"/>
    <mergeCell ref="M78:N78"/>
    <mergeCell ref="J82:K82"/>
    <mergeCell ref="G86:H86"/>
    <mergeCell ref="J86:K86"/>
    <mergeCell ref="G89:H89"/>
    <mergeCell ref="J89:K89"/>
    <mergeCell ref="P69:Q69"/>
    <mergeCell ref="P70:Q70"/>
    <mergeCell ref="P71:Q71"/>
    <mergeCell ref="P72:Q72"/>
    <mergeCell ref="P73:Q73"/>
    <mergeCell ref="S75:T75"/>
    <mergeCell ref="J63:K63"/>
    <mergeCell ref="J64:K64"/>
    <mergeCell ref="J65:K65"/>
    <mergeCell ref="P65:Q65"/>
    <mergeCell ref="J66:K66"/>
    <mergeCell ref="P68:Q68"/>
    <mergeCell ref="J54:K54"/>
    <mergeCell ref="J55:K55"/>
    <mergeCell ref="J56:K56"/>
    <mergeCell ref="J57:K57"/>
    <mergeCell ref="J61:K61"/>
    <mergeCell ref="J62:K62"/>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H12:I12"/>
    <mergeCell ref="H13:I13"/>
    <mergeCell ref="H14:I14"/>
    <mergeCell ref="J18:K18"/>
    <mergeCell ref="J19:K19"/>
    <mergeCell ref="J20:K20"/>
    <mergeCell ref="H10:I10"/>
    <mergeCell ref="J10:K10"/>
    <mergeCell ref="L10:M10"/>
    <mergeCell ref="T10:U10"/>
    <mergeCell ref="H11:I11"/>
    <mergeCell ref="T11:U11"/>
    <mergeCell ref="B7:C8"/>
    <mergeCell ref="D7:E8"/>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47:J47 I90:J92 I129:J135">
    <cfRule type="cellIs" dxfId="52" priority="2" stopIfTrue="1" operator="equal">
      <formula>"Not suitable"</formula>
    </cfRule>
  </conditionalFormatting>
  <conditionalFormatting sqref="S43 S46 S86 S89 S125 S128">
    <cfRule type="cellIs" dxfId="51" priority="1" stopIfTrue="1" operator="equal">
      <formula>"Not satisfied"</formula>
    </cfRule>
  </conditionalFormatting>
  <dataValidations count="2">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97CA6A39-37C7-4D94-B30C-217DE2E298BE}">
      <formula1>"Core1,Core2,Core3"</formula1>
    </dataValidation>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WVL983043:WVM983044" xr:uid="{73F6B7AE-8734-46A9-B730-0960134F3C7E}">
      <formula1>"Core1,Core2,Core3,Core4,Core5"</formula1>
    </dataValidation>
  </dataValidations>
  <printOptions horizontalCentered="1" verticalCentered="1"/>
  <pageMargins left="0.5" right="0.5" top="0.5" bottom="0.5" header="0" footer="0"/>
  <pageSetup paperSize="9" scale="99" orientation="portrait" r:id="rId1"/>
  <headerFooter alignWithMargins="0"/>
  <rowBreaks count="1" manualBreakCount="1">
    <brk id="48" max="21" man="1"/>
  </rowBreak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45B3A-8B7A-4AED-A39C-170C78FBE669}">
  <sheetPr>
    <tabColor rgb="FF99CCFF"/>
  </sheetPr>
  <dimension ref="A1:Y44"/>
  <sheetViews>
    <sheetView view="pageBreakPreview" topLeftCell="A13" zoomScale="115" zoomScaleNormal="100" zoomScaleSheetLayoutView="115" workbookViewId="0">
      <selection activeCell="E22" sqref="E22:R26"/>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165" t="s">
        <v>119</v>
      </c>
      <c r="F22" s="1165"/>
      <c r="G22" s="1165"/>
      <c r="H22" s="1165"/>
      <c r="I22" s="1165"/>
      <c r="J22" s="1165"/>
      <c r="K22" s="1165"/>
      <c r="L22" s="1165"/>
      <c r="M22" s="1165"/>
      <c r="N22" s="1165"/>
      <c r="O22" s="1165"/>
      <c r="P22" s="1165"/>
      <c r="Q22" s="1165"/>
      <c r="R22" s="1165"/>
      <c r="S22" s="27"/>
      <c r="T22" s="27"/>
      <c r="U22" s="27"/>
      <c r="V22" s="189"/>
      <c r="W22" s="27"/>
      <c r="X22" s="27"/>
    </row>
    <row r="23" spans="1:24" ht="18" customHeight="1">
      <c r="A23" s="69"/>
      <c r="B23" s="27"/>
      <c r="C23" s="27"/>
      <c r="D23" s="27"/>
      <c r="E23" s="1165"/>
      <c r="F23" s="1165"/>
      <c r="G23" s="1165"/>
      <c r="H23" s="1165"/>
      <c r="I23" s="1165"/>
      <c r="J23" s="1165"/>
      <c r="K23" s="1165"/>
      <c r="L23" s="1165"/>
      <c r="M23" s="1165"/>
      <c r="N23" s="1165"/>
      <c r="O23" s="1165"/>
      <c r="P23" s="1165"/>
      <c r="Q23" s="1165"/>
      <c r="R23" s="1165"/>
      <c r="S23" s="27"/>
      <c r="T23" s="27"/>
      <c r="U23" s="27"/>
      <c r="V23" s="189"/>
      <c r="W23" s="27"/>
      <c r="X23" s="27"/>
    </row>
    <row r="24" spans="1:24" ht="18" customHeight="1">
      <c r="A24" s="69"/>
      <c r="C24" s="190"/>
      <c r="D24" s="190"/>
      <c r="E24" s="1165"/>
      <c r="F24" s="1165"/>
      <c r="G24" s="1165"/>
      <c r="H24" s="1165"/>
      <c r="I24" s="1165"/>
      <c r="J24" s="1165"/>
      <c r="K24" s="1165"/>
      <c r="L24" s="1165"/>
      <c r="M24" s="1165"/>
      <c r="N24" s="1165"/>
      <c r="O24" s="1165"/>
      <c r="P24" s="1165"/>
      <c r="Q24" s="1165"/>
      <c r="R24" s="1165"/>
      <c r="S24" s="4"/>
      <c r="T24" s="4"/>
      <c r="U24" s="4"/>
      <c r="V24" s="71"/>
      <c r="W24" s="4"/>
      <c r="X24" s="4"/>
    </row>
    <row r="25" spans="1:24" ht="18" customHeight="1">
      <c r="A25" s="69"/>
      <c r="B25" s="26"/>
      <c r="C25" s="4"/>
      <c r="D25" s="73"/>
      <c r="E25" s="1165"/>
      <c r="F25" s="1165"/>
      <c r="G25" s="1165"/>
      <c r="H25" s="1165"/>
      <c r="I25" s="1165"/>
      <c r="J25" s="1165"/>
      <c r="K25" s="1165"/>
      <c r="L25" s="1165"/>
      <c r="M25" s="1165"/>
      <c r="N25" s="1165"/>
      <c r="O25" s="1165"/>
      <c r="P25" s="1165"/>
      <c r="Q25" s="1165"/>
      <c r="R25" s="1165"/>
      <c r="S25" s="4"/>
      <c r="T25" s="4"/>
      <c r="U25" s="4"/>
      <c r="V25" s="71"/>
      <c r="W25" s="4"/>
      <c r="X25" s="4"/>
    </row>
    <row r="26" spans="1:24" ht="18" customHeight="1">
      <c r="A26" s="69"/>
      <c r="E26" s="1165"/>
      <c r="F26" s="1165"/>
      <c r="G26" s="1165"/>
      <c r="H26" s="1165"/>
      <c r="I26" s="1165"/>
      <c r="J26" s="1165"/>
      <c r="K26" s="1165"/>
      <c r="L26" s="1165"/>
      <c r="M26" s="1165"/>
      <c r="N26" s="1165"/>
      <c r="O26" s="1165"/>
      <c r="P26" s="1165"/>
      <c r="Q26" s="1165"/>
      <c r="R26" s="1165"/>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6"/>
  </mergeCells>
  <printOptions horizontalCentered="1" verticalCentered="1"/>
  <pageMargins left="0.5" right="0.5" top="0.5" bottom="0.5" header="0" footer="0"/>
  <pageSetup paperSize="9" scale="9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92865"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0832A-080B-4CC3-B433-80615AE0A7FF}">
  <sheetPr>
    <tabColor indexed="50"/>
  </sheetPr>
  <dimension ref="A1:AA322"/>
  <sheetViews>
    <sheetView showZeros="0" view="pageBreakPreview" zoomScale="130" zoomScaleNormal="100" zoomScaleSheetLayoutView="130" workbookViewId="0">
      <selection activeCell="M44" sqref="M44"/>
    </sheetView>
  </sheetViews>
  <sheetFormatPr defaultColWidth="4.33203125" defaultRowHeight="18" customHeight="1"/>
  <cols>
    <col min="1" max="9" width="4.33203125" style="30"/>
    <col min="10" max="10" width="4.33203125" style="30" customWidth="1"/>
    <col min="11" max="12" width="4.33203125" style="30"/>
    <col min="13" max="13" width="4.33203125" style="30" customWidth="1"/>
    <col min="14" max="14" width="8.5546875" style="30" bestFit="1" customWidth="1"/>
    <col min="15" max="15" width="4.33203125" style="30" customWidth="1"/>
    <col min="16" max="16" width="4.33203125" style="30"/>
    <col min="17" max="17" width="4.5546875" style="30" bestFit="1" customWidth="1"/>
    <col min="18" max="18" width="4.33203125" style="30"/>
    <col min="19" max="19" width="4.5546875" style="30" bestFit="1" customWidth="1"/>
    <col min="20" max="16384" width="4.33203125" style="30"/>
  </cols>
  <sheetData>
    <row r="1" spans="1:24"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Title!H2</f>
        <v>ADEQUACY CHECK</v>
      </c>
      <c r="I2" s="730"/>
      <c r="J2" s="730"/>
      <c r="K2" s="730"/>
      <c r="L2" s="730"/>
      <c r="M2" s="730"/>
      <c r="N2" s="731"/>
      <c r="O2" s="702" t="str">
        <f>Title!O2</f>
        <v>Date</v>
      </c>
      <c r="P2" s="703"/>
      <c r="Q2" s="704"/>
      <c r="R2" s="732">
        <f>Title!R2</f>
        <v>46106</v>
      </c>
      <c r="S2" s="706"/>
      <c r="T2" s="706"/>
      <c r="U2" s="706"/>
      <c r="V2" s="707"/>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14"/>
      <c r="X4" s="14"/>
    </row>
    <row r="5" spans="1:24" ht="18" customHeight="1">
      <c r="A5" s="708" t="str">
        <f>Title!A5</f>
        <v>Prep. By</v>
      </c>
      <c r="B5" s="709"/>
      <c r="C5" s="25" t="str">
        <f>Title!C5</f>
        <v>AP</v>
      </c>
      <c r="D5" s="708" t="str">
        <f>Title!D5</f>
        <v>Checked By</v>
      </c>
      <c r="E5" s="710"/>
      <c r="F5" s="709"/>
      <c r="G5" s="25" t="str">
        <f>Title!G5</f>
        <v>RB</v>
      </c>
      <c r="H5" s="711" t="s">
        <v>718</v>
      </c>
      <c r="I5" s="712"/>
      <c r="J5" s="712"/>
      <c r="K5" s="712"/>
      <c r="L5" s="712"/>
      <c r="M5" s="712"/>
      <c r="N5" s="713"/>
      <c r="O5" s="714" t="str">
        <f>Title!O5</f>
        <v>Contractor</v>
      </c>
      <c r="P5" s="715"/>
      <c r="Q5" s="716"/>
      <c r="R5" s="705" t="str">
        <f>Title!R5</f>
        <v>HITACHI</v>
      </c>
      <c r="S5" s="706"/>
      <c r="T5" s="706"/>
      <c r="U5" s="706"/>
      <c r="V5" s="707"/>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940" t="s">
        <v>120</v>
      </c>
      <c r="C7" s="941"/>
      <c r="D7" s="944" t="s">
        <v>396</v>
      </c>
      <c r="E7" s="945"/>
      <c r="F7" s="468"/>
      <c r="H7" s="639" t="s">
        <v>518</v>
      </c>
      <c r="I7" s="639"/>
      <c r="J7" s="639"/>
      <c r="K7" s="639"/>
      <c r="L7" s="639"/>
      <c r="M7" s="639"/>
      <c r="P7" s="198"/>
      <c r="S7" s="199" t="s">
        <v>398</v>
      </c>
      <c r="T7" s="940" t="s">
        <v>519</v>
      </c>
      <c r="U7" s="941"/>
      <c r="V7" s="197"/>
    </row>
    <row r="8" spans="1:24" ht="18" customHeight="1">
      <c r="A8" s="469"/>
      <c r="F8" s="468"/>
      <c r="T8" s="940" t="s">
        <v>520</v>
      </c>
      <c r="U8" s="941"/>
      <c r="V8" s="197"/>
    </row>
    <row r="9" spans="1:24" ht="18" customHeight="1">
      <c r="A9" s="196"/>
      <c r="H9" s="662" t="s">
        <v>401</v>
      </c>
      <c r="I9" s="662"/>
      <c r="J9" s="701" t="s">
        <v>402</v>
      </c>
      <c r="K9" s="701"/>
      <c r="L9" s="701" t="s">
        <v>403</v>
      </c>
      <c r="M9" s="701"/>
      <c r="T9" s="940" t="s">
        <v>205</v>
      </c>
      <c r="U9" s="941"/>
      <c r="V9" s="197"/>
    </row>
    <row r="10" spans="1:24" ht="18" customHeight="1">
      <c r="A10" s="196"/>
      <c r="B10" s="47" t="s">
        <v>404</v>
      </c>
      <c r="H10" s="942">
        <v>100</v>
      </c>
      <c r="I10" s="943"/>
      <c r="J10" s="940" t="s">
        <v>7</v>
      </c>
      <c r="K10" s="941"/>
      <c r="L10" s="940" t="s">
        <v>7</v>
      </c>
      <c r="M10" s="941"/>
      <c r="N10" s="203" t="s">
        <v>353</v>
      </c>
      <c r="O10" s="515">
        <v>1</v>
      </c>
      <c r="P10" s="27" t="s">
        <v>9</v>
      </c>
      <c r="R10" s="267"/>
      <c r="S10" s="267"/>
      <c r="V10" s="197"/>
    </row>
    <row r="11" spans="1:24" ht="18" customHeight="1">
      <c r="A11" s="196"/>
      <c r="B11" s="47" t="s">
        <v>405</v>
      </c>
      <c r="H11" s="940" t="s">
        <v>406</v>
      </c>
      <c r="I11" s="941"/>
      <c r="V11" s="197"/>
    </row>
    <row r="12" spans="1:24" ht="18" customHeight="1">
      <c r="A12" s="196"/>
      <c r="B12" s="47" t="s">
        <v>407</v>
      </c>
      <c r="G12" s="120" t="s">
        <v>508</v>
      </c>
      <c r="H12" s="940">
        <v>0.32</v>
      </c>
      <c r="I12" s="941"/>
      <c r="J12" s="204" t="s">
        <v>344</v>
      </c>
      <c r="V12" s="197"/>
    </row>
    <row r="13" spans="1:24" ht="18" customHeight="1">
      <c r="A13" s="196"/>
      <c r="B13" s="47" t="s">
        <v>409</v>
      </c>
      <c r="G13" s="120" t="s">
        <v>509</v>
      </c>
      <c r="H13" s="940">
        <v>145</v>
      </c>
      <c r="I13" s="941"/>
      <c r="J13" s="14" t="s">
        <v>316</v>
      </c>
      <c r="T13" s="307"/>
      <c r="U13" s="18"/>
      <c r="V13" s="197"/>
      <c r="W13" s="30" t="e">
        <f>#REF!</f>
        <v>#REF!</v>
      </c>
    </row>
    <row r="14" spans="1:24" ht="18" customHeight="1">
      <c r="A14" s="196"/>
      <c r="B14" s="14" t="s">
        <v>412</v>
      </c>
      <c r="G14" s="120" t="s">
        <v>413</v>
      </c>
      <c r="H14" s="940">
        <v>50</v>
      </c>
      <c r="I14" s="941"/>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REC670</v>
      </c>
      <c r="E18" s="239"/>
      <c r="F18" s="239"/>
      <c r="G18" s="239"/>
      <c r="H18" s="145"/>
      <c r="I18" s="272" t="s">
        <v>138</v>
      </c>
      <c r="J18" s="946">
        <f>'CT-VT Burdens'!Q48</f>
        <v>0.02</v>
      </c>
      <c r="K18" s="947"/>
      <c r="L18" s="3" t="s">
        <v>168</v>
      </c>
      <c r="N18" s="209" t="s">
        <v>521</v>
      </c>
      <c r="V18" s="197"/>
    </row>
    <row r="19" spans="1:25" ht="18" customHeight="1">
      <c r="A19" s="196"/>
      <c r="B19" s="96" t="s">
        <v>416</v>
      </c>
      <c r="C19" s="14"/>
      <c r="D19" s="47" t="str">
        <f>T8</f>
        <v>REF615</v>
      </c>
      <c r="H19" s="28"/>
      <c r="I19" s="101" t="s">
        <v>138</v>
      </c>
      <c r="J19" s="946">
        <f>'CT-VT Burdens'!Q55</f>
        <v>0.02</v>
      </c>
      <c r="K19" s="947"/>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t="str">
        <f>T9</f>
        <v>FMS</v>
      </c>
      <c r="H20" s="28"/>
      <c r="I20" s="101" t="s">
        <v>138</v>
      </c>
      <c r="J20" s="946">
        <f>'CT-VT Burdens'!Q92</f>
        <v>5.8000000000000003E-2</v>
      </c>
      <c r="K20" s="947"/>
      <c r="L20" s="3" t="s">
        <v>168</v>
      </c>
      <c r="N20" s="27"/>
      <c r="O20" s="27" t="s">
        <v>138</v>
      </c>
      <c r="P20" s="27">
        <f>O10</f>
        <v>1</v>
      </c>
      <c r="Q20" s="27" t="s">
        <v>326</v>
      </c>
      <c r="R20" s="27">
        <f>O10</f>
        <v>1</v>
      </c>
      <c r="S20" s="27" t="s">
        <v>326</v>
      </c>
      <c r="T20" s="27">
        <f>H12</f>
        <v>0.32</v>
      </c>
      <c r="V20" s="197"/>
    </row>
    <row r="21" spans="1:25" ht="18" customHeight="1">
      <c r="A21" s="196"/>
      <c r="B21" s="465" t="s">
        <v>423</v>
      </c>
      <c r="C21" s="271"/>
      <c r="D21" s="271"/>
      <c r="E21" s="271"/>
      <c r="F21" s="219"/>
      <c r="G21" s="219"/>
      <c r="H21" s="202"/>
      <c r="I21" s="220" t="s">
        <v>138</v>
      </c>
      <c r="J21" s="950">
        <f>'CT-VT Burdens'!S22</f>
        <v>1.44186744</v>
      </c>
      <c r="K21" s="951"/>
      <c r="L21" s="309" t="s">
        <v>168</v>
      </c>
      <c r="O21" s="27" t="s">
        <v>138</v>
      </c>
      <c r="P21" s="637">
        <f>P20*R20*T20</f>
        <v>0.32</v>
      </c>
      <c r="Q21" s="639"/>
      <c r="R21" s="27" t="s">
        <v>168</v>
      </c>
      <c r="V21" s="197"/>
    </row>
    <row r="22" spans="1:25" ht="18" customHeight="1">
      <c r="A22" s="196"/>
      <c r="B22" s="1" t="s">
        <v>424</v>
      </c>
      <c r="C22" s="2"/>
      <c r="D22" s="2"/>
      <c r="E22" s="2"/>
      <c r="F22" s="208"/>
      <c r="G22" s="208"/>
      <c r="H22" s="236" t="s">
        <v>523</v>
      </c>
      <c r="I22" s="195" t="s">
        <v>138</v>
      </c>
      <c r="J22" s="648">
        <f>SUM(J18:J21)</f>
        <v>1.5398674400000001</v>
      </c>
      <c r="K22" s="649"/>
      <c r="L22" s="3" t="s">
        <v>168</v>
      </c>
      <c r="V22" s="197"/>
    </row>
    <row r="23" spans="1:25" ht="18" customHeight="1">
      <c r="A23" s="196"/>
      <c r="B23" s="47"/>
      <c r="C23" s="47"/>
      <c r="D23" s="47"/>
      <c r="E23" s="47"/>
      <c r="H23" s="27"/>
      <c r="I23" s="28"/>
      <c r="J23" s="211"/>
      <c r="L23" s="47"/>
      <c r="S23" s="27"/>
      <c r="V23" s="197"/>
    </row>
    <row r="24" spans="1:25" ht="18" customHeight="1">
      <c r="A24" s="196"/>
      <c r="B24" s="117" t="s">
        <v>524</v>
      </c>
      <c r="Q24" s="223"/>
      <c r="R24" s="204"/>
      <c r="V24" s="197"/>
    </row>
    <row r="25" spans="1:25" ht="18" customHeight="1">
      <c r="A25" s="196"/>
      <c r="B25" s="955" t="s">
        <v>428</v>
      </c>
      <c r="C25" s="956"/>
      <c r="D25" s="956"/>
      <c r="E25" s="638">
        <v>1.5</v>
      </c>
      <c r="F25" s="638" t="s">
        <v>326</v>
      </c>
      <c r="G25" s="701" t="s">
        <v>492</v>
      </c>
      <c r="H25" s="701" t="s">
        <v>493</v>
      </c>
      <c r="I25" s="957"/>
      <c r="J25" s="638" t="s">
        <v>326</v>
      </c>
      <c r="K25" s="638" t="s">
        <v>430</v>
      </c>
      <c r="L25" s="638" t="s">
        <v>451</v>
      </c>
      <c r="M25" s="958" t="s">
        <v>358</v>
      </c>
      <c r="N25" s="638" t="s">
        <v>458</v>
      </c>
      <c r="O25" s="638" t="s">
        <v>358</v>
      </c>
      <c r="P25" s="953" t="s">
        <v>459</v>
      </c>
      <c r="Q25" s="953"/>
      <c r="R25" s="953"/>
      <c r="S25" s="952" t="s">
        <v>361</v>
      </c>
      <c r="T25" s="954" t="s">
        <v>433</v>
      </c>
      <c r="V25" s="197"/>
    </row>
    <row r="26" spans="1:25" ht="18" customHeight="1">
      <c r="A26" s="196"/>
      <c r="B26" s="956"/>
      <c r="C26" s="956"/>
      <c r="D26" s="956"/>
      <c r="E26" s="638"/>
      <c r="F26" s="638"/>
      <c r="G26" s="638"/>
      <c r="H26" s="639" t="s">
        <v>494</v>
      </c>
      <c r="I26" s="887"/>
      <c r="J26" s="638"/>
      <c r="K26" s="638"/>
      <c r="L26" s="638"/>
      <c r="M26" s="958"/>
      <c r="N26" s="638"/>
      <c r="O26" s="638"/>
      <c r="P26" s="28" t="s">
        <v>449</v>
      </c>
      <c r="Q26" s="28" t="s">
        <v>326</v>
      </c>
      <c r="R26" s="28" t="s">
        <v>449</v>
      </c>
      <c r="S26" s="952"/>
      <c r="T26" s="954"/>
      <c r="V26" s="112"/>
    </row>
    <row r="27" spans="1:25" ht="18" customHeight="1">
      <c r="A27" s="196"/>
      <c r="C27" s="28"/>
      <c r="D27" s="28"/>
      <c r="E27" s="28"/>
      <c r="F27" s="28"/>
      <c r="G27" s="28"/>
      <c r="H27" s="638"/>
      <c r="I27" s="920"/>
      <c r="J27" s="28"/>
      <c r="K27" s="28"/>
      <c r="L27" s="28"/>
      <c r="M27" s="28"/>
      <c r="N27" s="47"/>
      <c r="O27" s="28"/>
      <c r="V27" s="197"/>
    </row>
    <row r="28" spans="1:25" ht="18" customHeight="1">
      <c r="A28" s="196"/>
      <c r="C28" s="30" t="s">
        <v>525</v>
      </c>
      <c r="R28" s="27" t="s">
        <v>138</v>
      </c>
      <c r="S28" s="639">
        <v>6</v>
      </c>
      <c r="T28" s="639"/>
      <c r="V28" s="197"/>
    </row>
    <row r="29" spans="1:25" ht="18" customHeight="1">
      <c r="A29" s="180"/>
      <c r="B29" s="5"/>
      <c r="C29" s="308" t="s">
        <v>526</v>
      </c>
      <c r="D29" s="14"/>
      <c r="E29" s="14"/>
      <c r="F29" s="14"/>
      <c r="G29" s="14"/>
      <c r="H29" s="291"/>
      <c r="I29" s="120"/>
      <c r="J29" s="291"/>
      <c r="K29" s="291"/>
      <c r="L29" s="14"/>
      <c r="M29" s="14"/>
      <c r="N29" s="14"/>
      <c r="O29" s="14"/>
      <c r="P29" s="14"/>
      <c r="Q29" s="256" t="s">
        <v>492</v>
      </c>
      <c r="R29" s="102" t="s">
        <v>138</v>
      </c>
      <c r="S29" s="638">
        <f>S28*S30</f>
        <v>600</v>
      </c>
      <c r="T29" s="638"/>
      <c r="U29" s="47" t="s">
        <v>9</v>
      </c>
      <c r="V29" s="197"/>
    </row>
    <row r="30" spans="1:25" ht="18" customHeight="1">
      <c r="A30" s="180"/>
      <c r="B30" s="5"/>
      <c r="C30" s="47" t="s">
        <v>527</v>
      </c>
      <c r="D30" s="14"/>
      <c r="E30" s="14"/>
      <c r="F30" s="18"/>
      <c r="G30" s="18"/>
      <c r="H30" s="291"/>
      <c r="I30" s="120"/>
      <c r="J30" s="291"/>
      <c r="K30" s="291"/>
      <c r="L30" s="14"/>
      <c r="M30" s="14"/>
      <c r="N30" s="14"/>
      <c r="O30" s="14"/>
      <c r="P30" s="14"/>
      <c r="Q30" s="256" t="s">
        <v>494</v>
      </c>
      <c r="R30" s="102" t="s">
        <v>138</v>
      </c>
      <c r="S30" s="638">
        <f>H10</f>
        <v>100</v>
      </c>
      <c r="T30" s="638"/>
      <c r="U30" s="14" t="s">
        <v>9</v>
      </c>
      <c r="V30" s="197"/>
    </row>
    <row r="31" spans="1:25" ht="18" customHeight="1">
      <c r="A31" s="180"/>
      <c r="B31" s="5"/>
      <c r="C31" s="47" t="s">
        <v>528</v>
      </c>
      <c r="D31" s="14"/>
      <c r="E31" s="14"/>
      <c r="F31" s="18"/>
      <c r="G31" s="18"/>
      <c r="H31" s="291"/>
      <c r="I31" s="120"/>
      <c r="J31" s="291"/>
      <c r="K31" s="291"/>
      <c r="L31" s="14"/>
      <c r="M31" s="14"/>
      <c r="N31" s="14"/>
      <c r="O31" s="14"/>
      <c r="P31" s="14"/>
      <c r="Q31" s="256" t="s">
        <v>493</v>
      </c>
      <c r="R31" s="102" t="s">
        <v>138</v>
      </c>
      <c r="S31" s="638">
        <f>O10</f>
        <v>1</v>
      </c>
      <c r="T31" s="638"/>
      <c r="U31" s="30" t="s">
        <v>9</v>
      </c>
      <c r="V31" s="197"/>
    </row>
    <row r="32" spans="1:25" ht="18" customHeight="1">
      <c r="A32" s="180"/>
      <c r="B32" s="5"/>
      <c r="C32" s="47" t="s">
        <v>529</v>
      </c>
      <c r="D32" s="14"/>
      <c r="E32" s="14"/>
      <c r="F32" s="18"/>
      <c r="G32" s="18"/>
      <c r="H32" s="291"/>
      <c r="I32" s="120"/>
      <c r="J32" s="291"/>
      <c r="K32" s="291"/>
      <c r="L32" s="14"/>
      <c r="M32" s="14"/>
      <c r="N32" s="14"/>
      <c r="O32" s="14"/>
      <c r="P32" s="14"/>
      <c r="Q32" s="256" t="s">
        <v>157</v>
      </c>
      <c r="R32" s="102" t="s">
        <v>138</v>
      </c>
      <c r="S32" s="959">
        <f>O10</f>
        <v>1</v>
      </c>
      <c r="T32" s="959"/>
      <c r="U32" s="30" t="s">
        <v>9</v>
      </c>
      <c r="V32" s="197"/>
      <c r="W32" s="291"/>
      <c r="X32" s="291"/>
      <c r="Y32" s="291"/>
    </row>
    <row r="33" spans="1:25" ht="18" customHeight="1">
      <c r="A33" s="180"/>
      <c r="B33" s="5"/>
      <c r="C33" s="308" t="s">
        <v>530</v>
      </c>
      <c r="D33" s="14"/>
      <c r="E33" s="14"/>
      <c r="F33" s="18"/>
      <c r="G33" s="18"/>
      <c r="H33" s="291"/>
      <c r="I33" s="120"/>
      <c r="J33" s="291"/>
      <c r="K33" s="291"/>
      <c r="L33" s="14"/>
      <c r="M33" s="14"/>
      <c r="N33" s="14"/>
      <c r="O33" s="14"/>
      <c r="P33" s="14"/>
      <c r="Q33" s="256" t="s">
        <v>431</v>
      </c>
      <c r="R33" s="102" t="s">
        <v>138</v>
      </c>
      <c r="S33" s="641">
        <f>H12</f>
        <v>0.32</v>
      </c>
      <c r="T33" s="638"/>
      <c r="U33" s="30" t="s">
        <v>531</v>
      </c>
      <c r="V33" s="197"/>
      <c r="X33" s="291"/>
      <c r="Y33" s="291"/>
    </row>
    <row r="34" spans="1:25" ht="18" customHeight="1">
      <c r="A34" s="180"/>
      <c r="B34" s="5"/>
      <c r="C34" s="308" t="s">
        <v>532</v>
      </c>
      <c r="D34" s="14"/>
      <c r="E34" s="14"/>
      <c r="F34" s="14"/>
      <c r="G34" s="14"/>
      <c r="H34" s="291"/>
      <c r="I34" s="120"/>
      <c r="J34" s="291"/>
      <c r="K34" s="291"/>
      <c r="L34" s="14"/>
      <c r="M34" s="14"/>
      <c r="N34" s="14"/>
      <c r="O34" s="14"/>
      <c r="P34" s="14"/>
      <c r="Q34" s="256" t="s">
        <v>533</v>
      </c>
      <c r="R34" s="102" t="s">
        <v>138</v>
      </c>
      <c r="S34" s="641">
        <f>J22</f>
        <v>1.5398674400000001</v>
      </c>
      <c r="T34" s="638"/>
      <c r="U34" s="30" t="s">
        <v>531</v>
      </c>
      <c r="V34" s="197"/>
      <c r="X34" s="291"/>
      <c r="Y34" s="291"/>
    </row>
    <row r="35" spans="1:25" ht="18" customHeight="1">
      <c r="A35" s="180"/>
      <c r="B35" s="5"/>
      <c r="C35" s="308" t="s">
        <v>534</v>
      </c>
      <c r="D35" s="14"/>
      <c r="E35" s="14"/>
      <c r="F35" s="14"/>
      <c r="G35" s="14"/>
      <c r="H35" s="291"/>
      <c r="I35" s="120"/>
      <c r="J35" s="291"/>
      <c r="K35" s="291"/>
      <c r="L35" s="14"/>
      <c r="M35" s="14"/>
      <c r="N35" s="14"/>
      <c r="O35" s="14"/>
      <c r="P35" s="14"/>
      <c r="Q35" s="256" t="s">
        <v>535</v>
      </c>
      <c r="R35" s="102" t="s">
        <v>138</v>
      </c>
      <c r="S35" s="641">
        <f>J18</f>
        <v>0.02</v>
      </c>
      <c r="T35" s="638"/>
      <c r="U35" s="308" t="s">
        <v>168</v>
      </c>
      <c r="V35" s="197"/>
    </row>
    <row r="36" spans="1:25" ht="18" customHeight="1">
      <c r="A36" s="311"/>
      <c r="B36" s="291"/>
      <c r="C36" s="47"/>
      <c r="D36" s="14"/>
      <c r="E36" s="14"/>
      <c r="F36" s="14"/>
      <c r="G36" s="14"/>
      <c r="H36" s="291"/>
      <c r="I36" s="120"/>
      <c r="J36" s="291"/>
      <c r="K36" s="291"/>
      <c r="L36" s="14"/>
      <c r="M36" s="14"/>
      <c r="N36" s="291"/>
      <c r="O36" s="291"/>
      <c r="P36" s="14"/>
      <c r="Q36" s="120"/>
      <c r="R36" s="14"/>
      <c r="S36" s="291"/>
      <c r="T36" s="291"/>
      <c r="U36" s="291"/>
      <c r="V36" s="312"/>
      <c r="W36" s="291"/>
      <c r="X36" s="291"/>
      <c r="Y36" s="291"/>
    </row>
    <row r="37" spans="1:25" ht="18" customHeight="1">
      <c r="A37" s="196"/>
      <c r="B37" s="639" t="s">
        <v>428</v>
      </c>
      <c r="C37" s="639"/>
      <c r="D37" s="638">
        <v>1.5</v>
      </c>
      <c r="E37" s="639" t="s">
        <v>326</v>
      </c>
      <c r="F37" s="638">
        <f>S29</f>
        <v>600</v>
      </c>
      <c r="G37" s="638"/>
      <c r="H37" s="639" t="s">
        <v>326</v>
      </c>
      <c r="I37" s="701">
        <f>S31</f>
        <v>1</v>
      </c>
      <c r="J37" s="701"/>
      <c r="K37" s="639" t="s">
        <v>326</v>
      </c>
      <c r="L37" s="639" t="s">
        <v>430</v>
      </c>
      <c r="M37" s="637">
        <f>S33</f>
        <v>0.32</v>
      </c>
      <c r="N37" s="639" t="s">
        <v>358</v>
      </c>
      <c r="O37" s="637">
        <f>S34</f>
        <v>1.5398674400000001</v>
      </c>
      <c r="P37" s="639" t="s">
        <v>358</v>
      </c>
      <c r="Q37" s="793">
        <f>S35</f>
        <v>0.02</v>
      </c>
      <c r="R37" s="701"/>
      <c r="S37" s="701"/>
      <c r="T37" s="639" t="s">
        <v>361</v>
      </c>
      <c r="V37" s="197"/>
    </row>
    <row r="38" spans="1:25" ht="18" customHeight="1">
      <c r="A38" s="196"/>
      <c r="B38" s="639"/>
      <c r="C38" s="639"/>
      <c r="D38" s="638"/>
      <c r="E38" s="639"/>
      <c r="F38" s="638"/>
      <c r="G38" s="638"/>
      <c r="H38" s="639"/>
      <c r="I38" s="639">
        <f>S30</f>
        <v>100</v>
      </c>
      <c r="J38" s="639"/>
      <c r="K38" s="639"/>
      <c r="L38" s="639"/>
      <c r="M38" s="639"/>
      <c r="N38" s="639"/>
      <c r="O38" s="639"/>
      <c r="P38" s="639"/>
      <c r="Q38" s="517">
        <f>S32</f>
        <v>1</v>
      </c>
      <c r="R38" s="27" t="s">
        <v>326</v>
      </c>
      <c r="S38" s="517">
        <f>S32</f>
        <v>1</v>
      </c>
      <c r="T38" s="639"/>
      <c r="V38" s="197"/>
    </row>
    <row r="39" spans="1:25" ht="18" customHeight="1">
      <c r="A39" s="196"/>
      <c r="C39" s="120"/>
      <c r="D39" s="28"/>
      <c r="E39" s="28"/>
      <c r="F39" s="28"/>
      <c r="G39" s="28"/>
      <c r="H39" s="14"/>
      <c r="I39" s="14"/>
      <c r="J39" s="28"/>
      <c r="K39" s="28"/>
      <c r="L39" s="28"/>
      <c r="M39" s="28"/>
      <c r="N39" s="47"/>
      <c r="O39" s="516"/>
      <c r="V39" s="197"/>
    </row>
    <row r="40" spans="1:25" ht="18" customHeight="1">
      <c r="A40" s="196"/>
      <c r="C40" s="27" t="s">
        <v>138</v>
      </c>
      <c r="D40" s="960">
        <f>ROUNDUP(D37*F37*(I37/I38)*(M37+O37+(Q37/(Q38*S38))),2)</f>
        <v>16.920000000000002</v>
      </c>
      <c r="E40" s="960"/>
      <c r="F40" s="298" t="s">
        <v>316</v>
      </c>
      <c r="G40" s="27"/>
      <c r="V40" s="197"/>
    </row>
    <row r="41" spans="1:25" ht="18" customHeight="1">
      <c r="A41" s="196"/>
      <c r="V41" s="197"/>
    </row>
    <row r="42" spans="1:25" ht="18" customHeight="1">
      <c r="A42" s="196"/>
      <c r="V42" s="197"/>
    </row>
    <row r="43" spans="1:25" ht="18" customHeight="1">
      <c r="A43" s="196"/>
      <c r="V43" s="197"/>
    </row>
    <row r="44" spans="1:25" ht="18" customHeight="1">
      <c r="A44" s="196"/>
      <c r="V44" s="197"/>
    </row>
    <row r="45" spans="1:25" ht="18" customHeight="1">
      <c r="A45" s="196"/>
      <c r="V45" s="197"/>
    </row>
    <row r="46" spans="1:25" ht="18" customHeight="1">
      <c r="A46" s="196"/>
      <c r="V46" s="197"/>
    </row>
    <row r="47" spans="1:25" ht="18" customHeight="1">
      <c r="A47" s="465"/>
      <c r="B47" s="219"/>
      <c r="C47" s="219"/>
      <c r="D47" s="219"/>
      <c r="E47" s="219"/>
      <c r="F47" s="219"/>
      <c r="G47" s="219"/>
      <c r="H47" s="219"/>
      <c r="I47" s="219"/>
      <c r="J47" s="219"/>
      <c r="K47" s="219"/>
      <c r="L47" s="219"/>
      <c r="M47" s="219"/>
      <c r="N47" s="219"/>
      <c r="O47" s="219"/>
      <c r="P47" s="219"/>
      <c r="Q47" s="219"/>
      <c r="R47" s="219"/>
      <c r="S47" s="219"/>
      <c r="T47" s="219"/>
      <c r="U47" s="219"/>
      <c r="V47" s="466"/>
    </row>
    <row r="48" spans="1:25" ht="18"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5" ht="18" customHeight="1">
      <c r="A49" s="238"/>
      <c r="B49" s="547" t="s">
        <v>536</v>
      </c>
      <c r="C49" s="239"/>
      <c r="D49" s="239"/>
      <c r="E49" s="239"/>
      <c r="F49" s="239"/>
      <c r="G49" s="239"/>
      <c r="H49" s="239"/>
      <c r="I49" s="239"/>
      <c r="J49" s="239"/>
      <c r="K49" s="239"/>
      <c r="L49" s="239"/>
      <c r="M49" s="239"/>
      <c r="N49" s="239"/>
      <c r="O49" s="239"/>
      <c r="P49" s="239"/>
      <c r="Q49" s="239"/>
      <c r="R49" s="239"/>
      <c r="S49" s="239"/>
      <c r="T49" s="239"/>
      <c r="U49" s="239"/>
      <c r="V49" s="240"/>
    </row>
    <row r="50" spans="1:25" ht="18" customHeight="1">
      <c r="A50" s="196"/>
      <c r="V50" s="197"/>
    </row>
    <row r="51" spans="1:25" ht="18" customHeight="1">
      <c r="A51" s="196"/>
      <c r="B51" s="955" t="s">
        <v>428</v>
      </c>
      <c r="C51" s="956"/>
      <c r="D51" s="956"/>
      <c r="E51" s="638">
        <v>20</v>
      </c>
      <c r="F51" s="638" t="s">
        <v>326</v>
      </c>
      <c r="G51" s="701" t="s">
        <v>492</v>
      </c>
      <c r="H51" s="701" t="s">
        <v>493</v>
      </c>
      <c r="I51" s="957"/>
      <c r="J51" s="638" t="s">
        <v>326</v>
      </c>
      <c r="K51" s="638" t="s">
        <v>430</v>
      </c>
      <c r="L51" s="638" t="s">
        <v>451</v>
      </c>
      <c r="M51" s="958" t="s">
        <v>358</v>
      </c>
      <c r="N51" s="638" t="s">
        <v>458</v>
      </c>
      <c r="O51" s="638" t="s">
        <v>358</v>
      </c>
      <c r="P51" s="953" t="s">
        <v>459</v>
      </c>
      <c r="Q51" s="953"/>
      <c r="R51" s="953"/>
      <c r="S51" s="952" t="s">
        <v>361</v>
      </c>
      <c r="T51" s="954" t="s">
        <v>433</v>
      </c>
      <c r="V51" s="197"/>
    </row>
    <row r="52" spans="1:25" ht="18" customHeight="1">
      <c r="A52" s="196"/>
      <c r="B52" s="956"/>
      <c r="C52" s="956"/>
      <c r="D52" s="956"/>
      <c r="E52" s="638"/>
      <c r="F52" s="638"/>
      <c r="G52" s="638"/>
      <c r="H52" s="639" t="s">
        <v>494</v>
      </c>
      <c r="I52" s="887"/>
      <c r="J52" s="638"/>
      <c r="K52" s="638"/>
      <c r="L52" s="638"/>
      <c r="M52" s="958"/>
      <c r="N52" s="638"/>
      <c r="O52" s="638"/>
      <c r="P52" s="28" t="s">
        <v>449</v>
      </c>
      <c r="Q52" s="28" t="s">
        <v>326</v>
      </c>
      <c r="R52" s="28" t="s">
        <v>449</v>
      </c>
      <c r="S52" s="952"/>
      <c r="T52" s="954"/>
      <c r="V52" s="112"/>
    </row>
    <row r="53" spans="1:25" ht="18" customHeight="1">
      <c r="A53" s="196"/>
      <c r="C53" s="28"/>
      <c r="D53" s="28"/>
      <c r="E53" s="28"/>
      <c r="F53" s="28"/>
      <c r="G53" s="28"/>
      <c r="H53" s="638"/>
      <c r="I53" s="920"/>
      <c r="J53" s="28"/>
      <c r="K53" s="28"/>
      <c r="L53" s="28"/>
      <c r="M53" s="28"/>
      <c r="N53" s="47"/>
      <c r="O53" s="28"/>
      <c r="V53" s="197"/>
    </row>
    <row r="54" spans="1:25" ht="18" customHeight="1">
      <c r="A54" s="196"/>
      <c r="C54" s="30" t="s">
        <v>537</v>
      </c>
      <c r="R54" s="27" t="s">
        <v>138</v>
      </c>
      <c r="S54" s="639">
        <v>1.2</v>
      </c>
      <c r="T54" s="639"/>
      <c r="V54" s="197"/>
    </row>
    <row r="55" spans="1:25" ht="18" customHeight="1">
      <c r="A55" s="180"/>
      <c r="B55" s="5"/>
      <c r="C55" s="308" t="s">
        <v>526</v>
      </c>
      <c r="D55" s="14"/>
      <c r="E55" s="14"/>
      <c r="F55" s="14"/>
      <c r="G55" s="14"/>
      <c r="H55" s="291"/>
      <c r="I55" s="120"/>
      <c r="J55" s="291"/>
      <c r="K55" s="291"/>
      <c r="L55" s="14"/>
      <c r="M55" s="14"/>
      <c r="N55" s="14"/>
      <c r="O55" s="14"/>
      <c r="P55" s="14"/>
      <c r="Q55" s="256" t="s">
        <v>492</v>
      </c>
      <c r="R55" s="102" t="s">
        <v>138</v>
      </c>
      <c r="S55" s="638">
        <f>S54*S56</f>
        <v>120</v>
      </c>
      <c r="T55" s="638"/>
      <c r="U55" s="47" t="s">
        <v>9</v>
      </c>
      <c r="V55" s="197"/>
    </row>
    <row r="56" spans="1:25" ht="18" customHeight="1">
      <c r="A56" s="180"/>
      <c r="B56" s="5"/>
      <c r="C56" s="47" t="s">
        <v>527</v>
      </c>
      <c r="D56" s="14"/>
      <c r="E56" s="14"/>
      <c r="F56" s="18"/>
      <c r="G56" s="18"/>
      <c r="H56" s="291"/>
      <c r="I56" s="120"/>
      <c r="J56" s="291"/>
      <c r="K56" s="291"/>
      <c r="L56" s="14"/>
      <c r="M56" s="14"/>
      <c r="N56" s="14"/>
      <c r="O56" s="14"/>
      <c r="P56" s="14"/>
      <c r="Q56" s="256" t="s">
        <v>494</v>
      </c>
      <c r="R56" s="102" t="s">
        <v>138</v>
      </c>
      <c r="S56" s="638">
        <f>H10</f>
        <v>100</v>
      </c>
      <c r="T56" s="638"/>
      <c r="U56" s="14" t="s">
        <v>9</v>
      </c>
      <c r="V56" s="197"/>
    </row>
    <row r="57" spans="1:25" ht="18" customHeight="1">
      <c r="A57" s="180"/>
      <c r="B57" s="5"/>
      <c r="C57" s="47" t="s">
        <v>528</v>
      </c>
      <c r="D57" s="14"/>
      <c r="E57" s="14"/>
      <c r="F57" s="18"/>
      <c r="G57" s="18"/>
      <c r="H57" s="291"/>
      <c r="I57" s="120"/>
      <c r="J57" s="291"/>
      <c r="K57" s="291"/>
      <c r="L57" s="14"/>
      <c r="M57" s="14"/>
      <c r="N57" s="14"/>
      <c r="O57" s="14"/>
      <c r="P57" s="14"/>
      <c r="Q57" s="256" t="s">
        <v>493</v>
      </c>
      <c r="R57" s="102" t="s">
        <v>138</v>
      </c>
      <c r="S57" s="638">
        <f>O10</f>
        <v>1</v>
      </c>
      <c r="T57" s="638"/>
      <c r="U57" s="30" t="s">
        <v>9</v>
      </c>
      <c r="V57" s="197"/>
    </row>
    <row r="58" spans="1:25" ht="18" customHeight="1">
      <c r="A58" s="180"/>
      <c r="B58" s="5"/>
      <c r="C58" s="47" t="s">
        <v>529</v>
      </c>
      <c r="D58" s="14"/>
      <c r="E58" s="14"/>
      <c r="F58" s="18"/>
      <c r="G58" s="18"/>
      <c r="H58" s="291"/>
      <c r="I58" s="120"/>
      <c r="J58" s="291"/>
      <c r="K58" s="291"/>
      <c r="L58" s="14"/>
      <c r="M58" s="14"/>
      <c r="N58" s="14"/>
      <c r="O58" s="14"/>
      <c r="P58" s="14"/>
      <c r="Q58" s="256" t="s">
        <v>157</v>
      </c>
      <c r="R58" s="102" t="s">
        <v>138</v>
      </c>
      <c r="S58" s="959">
        <f>S32</f>
        <v>1</v>
      </c>
      <c r="T58" s="959"/>
      <c r="U58" s="30" t="s">
        <v>9</v>
      </c>
      <c r="V58" s="197"/>
      <c r="W58" s="291"/>
      <c r="X58" s="291"/>
      <c r="Y58" s="291"/>
    </row>
    <row r="59" spans="1:25" ht="18" customHeight="1">
      <c r="A59" s="180"/>
      <c r="B59" s="5"/>
      <c r="C59" s="308" t="s">
        <v>530</v>
      </c>
      <c r="D59" s="14"/>
      <c r="E59" s="14"/>
      <c r="F59" s="18"/>
      <c r="G59" s="18"/>
      <c r="H59" s="291"/>
      <c r="I59" s="120"/>
      <c r="J59" s="291"/>
      <c r="K59" s="291"/>
      <c r="L59" s="14"/>
      <c r="M59" s="14"/>
      <c r="N59" s="14"/>
      <c r="O59" s="14"/>
      <c r="P59" s="14"/>
      <c r="Q59" s="256" t="s">
        <v>431</v>
      </c>
      <c r="R59" s="102" t="s">
        <v>138</v>
      </c>
      <c r="S59" s="641">
        <f>H12</f>
        <v>0.32</v>
      </c>
      <c r="T59" s="638"/>
      <c r="U59" s="30" t="s">
        <v>531</v>
      </c>
      <c r="V59" s="197"/>
      <c r="X59" s="291"/>
      <c r="Y59" s="291"/>
    </row>
    <row r="60" spans="1:25" ht="18" customHeight="1">
      <c r="A60" s="180"/>
      <c r="B60" s="5"/>
      <c r="C60" s="308" t="s">
        <v>532</v>
      </c>
      <c r="D60" s="14"/>
      <c r="E60" s="14"/>
      <c r="F60" s="14"/>
      <c r="G60" s="14"/>
      <c r="H60" s="291"/>
      <c r="I60" s="120"/>
      <c r="J60" s="291"/>
      <c r="K60" s="291"/>
      <c r="L60" s="14"/>
      <c r="M60" s="14"/>
      <c r="N60" s="14"/>
      <c r="O60" s="14"/>
      <c r="P60" s="14"/>
      <c r="Q60" s="256" t="s">
        <v>533</v>
      </c>
      <c r="R60" s="102" t="s">
        <v>138</v>
      </c>
      <c r="S60" s="641">
        <f>J22</f>
        <v>1.5398674400000001</v>
      </c>
      <c r="T60" s="638"/>
      <c r="U60" s="30" t="s">
        <v>531</v>
      </c>
      <c r="V60" s="197"/>
      <c r="X60" s="291"/>
      <c r="Y60" s="291"/>
    </row>
    <row r="61" spans="1:25" ht="18" customHeight="1">
      <c r="A61" s="180"/>
      <c r="B61" s="5"/>
      <c r="C61" s="308" t="s">
        <v>534</v>
      </c>
      <c r="D61" s="14"/>
      <c r="E61" s="14"/>
      <c r="F61" s="14"/>
      <c r="G61" s="14"/>
      <c r="H61" s="291"/>
      <c r="I61" s="120"/>
      <c r="J61" s="291"/>
      <c r="K61" s="291"/>
      <c r="L61" s="14"/>
      <c r="M61" s="14"/>
      <c r="N61" s="14"/>
      <c r="O61" s="14"/>
      <c r="P61" s="14"/>
      <c r="Q61" s="256" t="s">
        <v>535</v>
      </c>
      <c r="R61" s="102" t="s">
        <v>138</v>
      </c>
      <c r="S61" s="637">
        <f>J18</f>
        <v>0.02</v>
      </c>
      <c r="T61" s="638"/>
      <c r="U61" s="308" t="s">
        <v>168</v>
      </c>
      <c r="V61" s="197"/>
    </row>
    <row r="62" spans="1:25" ht="18" customHeight="1">
      <c r="A62" s="311"/>
      <c r="B62" s="291"/>
      <c r="C62" s="47"/>
      <c r="D62" s="14"/>
      <c r="E62" s="14"/>
      <c r="F62" s="14"/>
      <c r="G62" s="14"/>
      <c r="H62" s="291"/>
      <c r="I62" s="120"/>
      <c r="J62" s="291"/>
      <c r="K62" s="291"/>
      <c r="L62" s="14"/>
      <c r="M62" s="14"/>
      <c r="N62" s="291"/>
      <c r="O62" s="291"/>
      <c r="P62" s="14"/>
      <c r="Q62" s="120"/>
      <c r="R62" s="14"/>
      <c r="S62" s="291"/>
      <c r="T62" s="291"/>
      <c r="U62" s="291"/>
      <c r="V62" s="312"/>
      <c r="W62" s="291"/>
      <c r="X62" s="291"/>
      <c r="Y62" s="291"/>
    </row>
    <row r="63" spans="1:25" ht="18" customHeight="1">
      <c r="A63" s="196"/>
      <c r="B63" s="639" t="s">
        <v>428</v>
      </c>
      <c r="C63" s="639"/>
      <c r="D63" s="638">
        <f>E51</f>
        <v>20</v>
      </c>
      <c r="E63" s="639" t="s">
        <v>326</v>
      </c>
      <c r="F63" s="638">
        <f>S55</f>
        <v>120</v>
      </c>
      <c r="G63" s="638"/>
      <c r="H63" s="639" t="s">
        <v>326</v>
      </c>
      <c r="I63" s="701">
        <f>S57</f>
        <v>1</v>
      </c>
      <c r="J63" s="701"/>
      <c r="K63" s="639" t="s">
        <v>326</v>
      </c>
      <c r="L63" s="639" t="s">
        <v>430</v>
      </c>
      <c r="M63" s="637">
        <f>S59</f>
        <v>0.32</v>
      </c>
      <c r="N63" s="639" t="s">
        <v>358</v>
      </c>
      <c r="O63" s="637">
        <f>S60</f>
        <v>1.5398674400000001</v>
      </c>
      <c r="P63" s="639" t="s">
        <v>358</v>
      </c>
      <c r="Q63" s="793">
        <f>S61</f>
        <v>0.02</v>
      </c>
      <c r="R63" s="701"/>
      <c r="S63" s="701"/>
      <c r="T63" s="639" t="s">
        <v>361</v>
      </c>
      <c r="V63" s="197"/>
    </row>
    <row r="64" spans="1:25" ht="18" customHeight="1">
      <c r="A64" s="196"/>
      <c r="B64" s="639"/>
      <c r="C64" s="639"/>
      <c r="D64" s="638"/>
      <c r="E64" s="639"/>
      <c r="F64" s="638"/>
      <c r="G64" s="638"/>
      <c r="H64" s="639"/>
      <c r="I64" s="639">
        <f>S56</f>
        <v>100</v>
      </c>
      <c r="J64" s="639"/>
      <c r="K64" s="639"/>
      <c r="L64" s="639"/>
      <c r="M64" s="639"/>
      <c r="N64" s="639"/>
      <c r="O64" s="639"/>
      <c r="P64" s="639"/>
      <c r="Q64" s="517">
        <f>S58</f>
        <v>1</v>
      </c>
      <c r="R64" s="27" t="s">
        <v>326</v>
      </c>
      <c r="S64" s="517">
        <f>S58</f>
        <v>1</v>
      </c>
      <c r="T64" s="639"/>
      <c r="V64" s="197"/>
    </row>
    <row r="65" spans="1:27" ht="18" customHeight="1">
      <c r="A65" s="196"/>
      <c r="C65" s="120"/>
      <c r="D65" s="28"/>
      <c r="E65" s="28"/>
      <c r="F65" s="28"/>
      <c r="G65" s="28"/>
      <c r="H65" s="14"/>
      <c r="I65" s="14"/>
      <c r="J65" s="28"/>
      <c r="K65" s="28"/>
      <c r="L65" s="28"/>
      <c r="M65" s="28"/>
      <c r="N65" s="47"/>
      <c r="O65" s="516"/>
      <c r="V65" s="197"/>
    </row>
    <row r="66" spans="1:27" ht="18" customHeight="1">
      <c r="A66" s="196"/>
      <c r="C66" s="27" t="s">
        <v>138</v>
      </c>
      <c r="D66" s="960">
        <f>ROUNDUP(D63*F63*(I63/I64)*(M63+O63+(Q63/(Q64*S64))),2)</f>
        <v>45.12</v>
      </c>
      <c r="E66" s="960"/>
      <c r="F66" s="298" t="s">
        <v>316</v>
      </c>
      <c r="G66" s="27"/>
      <c r="V66" s="197"/>
    </row>
    <row r="67" spans="1:27" ht="18" customHeight="1">
      <c r="A67" s="196"/>
      <c r="V67" s="197"/>
    </row>
    <row r="68" spans="1:27" ht="18" customHeight="1">
      <c r="A68" s="196"/>
      <c r="D68" s="30" t="s">
        <v>538</v>
      </c>
      <c r="L68" s="30" t="s">
        <v>539</v>
      </c>
      <c r="M68" s="519" t="s">
        <v>540</v>
      </c>
      <c r="N68" s="30" t="str">
        <f>CONCATENATE(Y68,X68,D40,Z68,D66,AA68)</f>
        <v>max(16.92,45.12)</v>
      </c>
      <c r="V68" s="197"/>
      <c r="X68" s="30" t="s">
        <v>430</v>
      </c>
      <c r="Y68" s="30" t="s">
        <v>541</v>
      </c>
      <c r="Z68" s="30" t="s">
        <v>542</v>
      </c>
      <c r="AA68" s="30" t="s">
        <v>361</v>
      </c>
    </row>
    <row r="69" spans="1:27" ht="18" customHeight="1">
      <c r="A69" s="196"/>
      <c r="D69" s="14"/>
      <c r="E69"/>
      <c r="F69"/>
      <c r="G69" s="27"/>
      <c r="H69" s="14"/>
      <c r="I69"/>
      <c r="J69"/>
      <c r="K69"/>
      <c r="L69" s="30" t="s">
        <v>539</v>
      </c>
      <c r="M69" s="519" t="s">
        <v>540</v>
      </c>
      <c r="N69" s="489">
        <f>MAX(D66,D40)</f>
        <v>45.12</v>
      </c>
      <c r="V69" s="197"/>
    </row>
    <row r="70" spans="1:27" ht="18" customHeight="1">
      <c r="A70" s="196"/>
      <c r="D70"/>
      <c r="E70" s="939"/>
      <c r="F70" s="639"/>
      <c r="G70" s="27"/>
      <c r="H70" s="637"/>
      <c r="I70" s="639"/>
      <c r="J70"/>
      <c r="K70"/>
      <c r="L70" s="308">
        <f>H13</f>
        <v>145</v>
      </c>
      <c r="M70" s="519" t="s">
        <v>540</v>
      </c>
      <c r="N70" s="489">
        <f>N69</f>
        <v>45.12</v>
      </c>
      <c r="V70" s="197"/>
    </row>
    <row r="71" spans="1:27" ht="18" customHeight="1">
      <c r="A71" s="196"/>
      <c r="D71"/>
      <c r="E71" s="518"/>
      <c r="F71" s="27"/>
      <c r="G71" s="27"/>
      <c r="H71" s="223"/>
      <c r="I71" s="27"/>
      <c r="J71"/>
      <c r="K71"/>
      <c r="L71" s="308"/>
      <c r="M71" s="519"/>
      <c r="N71" s="489"/>
      <c r="V71" s="197"/>
    </row>
    <row r="72" spans="1:27" ht="18" customHeight="1">
      <c r="A72" s="196"/>
      <c r="D72"/>
      <c r="E72"/>
      <c r="F72" s="256" t="s">
        <v>489</v>
      </c>
      <c r="G72"/>
      <c r="H72" s="18" t="str">
        <f>IF(L70&gt;N70,"Suitably Dimensioned","Under Dimensioned")</f>
        <v>Suitably Dimensioned</v>
      </c>
      <c r="I72"/>
      <c r="J72"/>
      <c r="K72"/>
      <c r="L72"/>
      <c r="V72" s="197"/>
    </row>
    <row r="73" spans="1:27" ht="18" customHeight="1">
      <c r="A73" s="196"/>
      <c r="V73" s="197"/>
    </row>
    <row r="74" spans="1:27" ht="18" customHeight="1">
      <c r="A74" s="196"/>
      <c r="V74" s="197"/>
    </row>
    <row r="75" spans="1:27" ht="18" customHeight="1">
      <c r="A75" s="196"/>
      <c r="V75" s="197"/>
    </row>
    <row r="76" spans="1:27" ht="18" customHeight="1">
      <c r="A76" s="196"/>
      <c r="V76" s="197"/>
    </row>
    <row r="77" spans="1:27" ht="18" customHeight="1">
      <c r="A77" s="196"/>
      <c r="V77" s="197"/>
    </row>
    <row r="78" spans="1:27" ht="18" customHeight="1">
      <c r="A78" s="196"/>
      <c r="V78" s="197"/>
    </row>
    <row r="79" spans="1:27" ht="18" customHeight="1">
      <c r="A79" s="196"/>
      <c r="V79" s="197"/>
    </row>
    <row r="80" spans="1:27"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196"/>
      <c r="V87" s="197"/>
    </row>
    <row r="88" spans="1:22" ht="18" customHeight="1">
      <c r="A88" s="196"/>
      <c r="V88" s="197"/>
    </row>
    <row r="89" spans="1:22" ht="18" customHeight="1">
      <c r="A89" s="196"/>
      <c r="V89" s="197"/>
    </row>
    <row r="90" spans="1:22" ht="18" customHeight="1">
      <c r="A90" s="196"/>
      <c r="V90" s="197"/>
    </row>
    <row r="91" spans="1:22" ht="18" hidden="1" customHeight="1">
      <c r="A91" s="196"/>
      <c r="V91" s="197"/>
    </row>
    <row r="92" spans="1:22" ht="18" hidden="1" customHeight="1">
      <c r="A92" s="196"/>
      <c r="V92" s="197"/>
    </row>
    <row r="93" spans="1:22" ht="18" hidden="1" customHeight="1">
      <c r="A93" s="196"/>
      <c r="V93" s="197"/>
    </row>
    <row r="94" spans="1:22" ht="18" hidden="1" customHeight="1">
      <c r="A94" s="196"/>
      <c r="V94" s="197"/>
    </row>
    <row r="95" spans="1:22" ht="18" hidden="1" customHeight="1">
      <c r="A95" s="196"/>
      <c r="V95" s="197"/>
    </row>
    <row r="96" spans="1:22" ht="18" hidden="1" customHeight="1">
      <c r="A96" s="196"/>
      <c r="V96" s="197"/>
    </row>
    <row r="97" spans="1:23" ht="18" hidden="1" customHeight="1">
      <c r="A97" s="196"/>
      <c r="V97" s="197"/>
    </row>
    <row r="98" spans="1:23" ht="18" hidden="1" customHeight="1">
      <c r="A98" s="196"/>
      <c r="V98" s="197"/>
    </row>
    <row r="99" spans="1:23" ht="18" hidden="1" customHeight="1">
      <c r="A99" s="196"/>
      <c r="V99" s="197"/>
    </row>
    <row r="100" spans="1:23" ht="18" hidden="1" customHeight="1">
      <c r="A100" s="196"/>
      <c r="V100" s="197"/>
    </row>
    <row r="101" spans="1:23" ht="18" hidden="1" customHeight="1">
      <c r="A101" s="196"/>
      <c r="V101" s="197"/>
    </row>
    <row r="102" spans="1:23" ht="18" hidden="1" customHeight="1">
      <c r="A102" s="196"/>
      <c r="V102" s="197"/>
    </row>
    <row r="103" spans="1:23" s="14" customFormat="1" ht="18" hidden="1" customHeight="1">
      <c r="A103" s="206"/>
      <c r="B103" s="207"/>
      <c r="C103" s="207"/>
      <c r="D103" s="207"/>
      <c r="E103" s="207"/>
      <c r="F103" s="207"/>
      <c r="G103" s="207"/>
      <c r="H103" s="207"/>
      <c r="I103" s="207"/>
      <c r="J103" s="207"/>
      <c r="K103" s="207"/>
      <c r="L103" s="207"/>
      <c r="M103" s="207"/>
      <c r="N103" s="207"/>
      <c r="O103" s="207"/>
      <c r="P103" s="207"/>
      <c r="Q103" s="236"/>
      <c r="R103" s="194"/>
      <c r="S103" s="237"/>
      <c r="T103" s="207"/>
      <c r="U103" s="207"/>
      <c r="V103" s="140" t="s">
        <v>563</v>
      </c>
    </row>
    <row r="104" spans="1:23" ht="18" hidden="1" customHeight="1">
      <c r="A104" s="238"/>
      <c r="B104" s="239"/>
      <c r="C104" s="239"/>
      <c r="D104" s="239"/>
      <c r="E104" s="239"/>
      <c r="F104" s="239"/>
      <c r="G104" s="239"/>
      <c r="H104" s="239"/>
      <c r="I104" s="239"/>
      <c r="J104" s="239"/>
      <c r="K104" s="239"/>
      <c r="L104" s="239"/>
      <c r="M104" s="239"/>
      <c r="N104" s="239"/>
      <c r="O104" s="239"/>
      <c r="P104" s="239"/>
      <c r="Q104" s="239"/>
      <c r="R104" s="239"/>
      <c r="S104" s="239"/>
      <c r="T104" s="239"/>
      <c r="U104" s="239"/>
      <c r="V104" s="240"/>
    </row>
    <row r="105" spans="1:23" ht="18" hidden="1" customHeight="1">
      <c r="A105" s="196"/>
      <c r="B105" s="650" t="str">
        <f>B7</f>
        <v>T1</v>
      </c>
      <c r="C105" s="651"/>
      <c r="D105" s="660" t="str">
        <f>D7</f>
        <v>Core1</v>
      </c>
      <c r="E105" s="623"/>
      <c r="F105" s="468"/>
      <c r="H105" s="639" t="str">
        <f>H7</f>
        <v>(OC+BCPU+FMS)</v>
      </c>
      <c r="I105" s="639"/>
      <c r="J105" s="639"/>
      <c r="K105" s="639"/>
      <c r="L105" s="639"/>
      <c r="M105" s="639"/>
      <c r="P105" s="198"/>
      <c r="S105" s="199" t="s">
        <v>398</v>
      </c>
      <c r="T105" s="658" t="str">
        <f>T7</f>
        <v>REC670</v>
      </c>
      <c r="U105" s="659"/>
      <c r="V105" s="197"/>
    </row>
    <row r="106" spans="1:23" ht="18" hidden="1" customHeight="1">
      <c r="A106" s="469"/>
      <c r="F106" s="468"/>
      <c r="T106" s="658" t="str">
        <f>T8</f>
        <v>REF615</v>
      </c>
      <c r="U106" s="659"/>
      <c r="V106" s="197"/>
    </row>
    <row r="107" spans="1:23" ht="18" hidden="1" customHeight="1">
      <c r="A107" s="196"/>
      <c r="H107" s="661" t="s">
        <v>401</v>
      </c>
      <c r="I107" s="661"/>
      <c r="J107" s="662" t="s">
        <v>402</v>
      </c>
      <c r="K107" s="662"/>
      <c r="L107" s="701" t="s">
        <v>403</v>
      </c>
      <c r="M107" s="701"/>
      <c r="T107" s="658" t="str">
        <f>T9</f>
        <v>FMS</v>
      </c>
      <c r="U107" s="659"/>
      <c r="V107" s="197"/>
    </row>
    <row r="108" spans="1:23" ht="18" hidden="1" customHeight="1">
      <c r="A108" s="196"/>
      <c r="B108" s="47" t="s">
        <v>404</v>
      </c>
      <c r="H108" s="650">
        <f>H10</f>
        <v>100</v>
      </c>
      <c r="I108" s="651"/>
      <c r="J108" s="652" t="str">
        <f>J10</f>
        <v>-</v>
      </c>
      <c r="K108" s="653"/>
      <c r="L108" s="650" t="str">
        <f>L10</f>
        <v>-</v>
      </c>
      <c r="M108" s="651"/>
      <c r="N108" s="203" t="s">
        <v>353</v>
      </c>
      <c r="O108" s="268">
        <f>O10</f>
        <v>1</v>
      </c>
      <c r="P108" s="27" t="s">
        <v>9</v>
      </c>
      <c r="R108" s="267"/>
      <c r="S108" s="267"/>
      <c r="V108" s="197"/>
    </row>
    <row r="109" spans="1:23" ht="18" hidden="1" customHeight="1">
      <c r="A109" s="196"/>
      <c r="B109" s="47" t="s">
        <v>405</v>
      </c>
      <c r="J109" s="650" t="str">
        <f>H11</f>
        <v>PX</v>
      </c>
      <c r="K109" s="651"/>
      <c r="V109" s="197"/>
    </row>
    <row r="110" spans="1:23" ht="18" hidden="1" customHeight="1">
      <c r="A110" s="196"/>
      <c r="B110" s="47" t="s">
        <v>407</v>
      </c>
      <c r="I110" s="120" t="s">
        <v>508</v>
      </c>
      <c r="J110" s="940">
        <v>12</v>
      </c>
      <c r="K110" s="941"/>
      <c r="L110" s="204" t="s">
        <v>344</v>
      </c>
      <c r="V110" s="197"/>
    </row>
    <row r="111" spans="1:23" ht="18" hidden="1" customHeight="1">
      <c r="A111" s="196"/>
      <c r="B111" s="47" t="s">
        <v>409</v>
      </c>
      <c r="I111" s="120" t="s">
        <v>509</v>
      </c>
      <c r="J111" s="940">
        <v>1200</v>
      </c>
      <c r="K111" s="941"/>
      <c r="L111" s="14" t="s">
        <v>316</v>
      </c>
      <c r="T111" s="307"/>
      <c r="U111" s="18"/>
      <c r="V111" s="197"/>
      <c r="W111" s="30" t="e">
        <f>G159</f>
        <v>#VALUE!</v>
      </c>
    </row>
    <row r="112" spans="1:23" ht="18" hidden="1" customHeight="1">
      <c r="A112" s="196"/>
      <c r="B112" s="14" t="s">
        <v>412</v>
      </c>
      <c r="I112" s="120" t="s">
        <v>413</v>
      </c>
      <c r="J112" s="940">
        <v>50</v>
      </c>
      <c r="K112" s="941"/>
      <c r="L112" s="14" t="s">
        <v>414</v>
      </c>
      <c r="V112" s="197"/>
    </row>
    <row r="113" spans="1:22" ht="18" hidden="1" customHeight="1">
      <c r="A113" s="196"/>
      <c r="V113" s="197"/>
    </row>
    <row r="114" spans="1:22" ht="18" hidden="1" customHeight="1">
      <c r="A114" s="205" t="s">
        <v>415</v>
      </c>
      <c r="V114" s="197"/>
    </row>
    <row r="115" spans="1:22" ht="18" hidden="1" customHeight="1">
      <c r="A115" s="196"/>
      <c r="V115" s="197"/>
    </row>
    <row r="116" spans="1:22" ht="18" hidden="1" customHeight="1">
      <c r="A116" s="196"/>
      <c r="B116" s="141" t="s">
        <v>416</v>
      </c>
      <c r="C116" s="285"/>
      <c r="D116" s="146" t="str">
        <f>T105</f>
        <v>REC670</v>
      </c>
      <c r="E116" s="239"/>
      <c r="F116" s="239"/>
      <c r="G116" s="239"/>
      <c r="H116" s="145"/>
      <c r="I116" s="272" t="s">
        <v>138</v>
      </c>
      <c r="J116" s="648">
        <f>J18</f>
        <v>0.02</v>
      </c>
      <c r="K116" s="649"/>
      <c r="L116" s="3" t="s">
        <v>168</v>
      </c>
      <c r="N116" s="209" t="s">
        <v>521</v>
      </c>
      <c r="V116" s="197"/>
    </row>
    <row r="117" spans="1:22" ht="18" hidden="1" customHeight="1">
      <c r="A117" s="196"/>
      <c r="B117" s="96" t="s">
        <v>416</v>
      </c>
      <c r="C117" s="14"/>
      <c r="D117" s="47" t="str">
        <f>T106</f>
        <v>REF615</v>
      </c>
      <c r="H117" s="28"/>
      <c r="I117" s="101" t="s">
        <v>138</v>
      </c>
      <c r="J117" s="648">
        <f>J19</f>
        <v>0.02</v>
      </c>
      <c r="K117" s="649"/>
      <c r="L117" s="3" t="s">
        <v>168</v>
      </c>
      <c r="N117" s="120" t="s">
        <v>502</v>
      </c>
      <c r="O117" s="27" t="s">
        <v>138</v>
      </c>
      <c r="P117" s="27" t="s">
        <v>522</v>
      </c>
      <c r="Q117" s="27" t="s">
        <v>326</v>
      </c>
      <c r="R117" s="27" t="s">
        <v>522</v>
      </c>
      <c r="S117" s="27" t="s">
        <v>326</v>
      </c>
      <c r="T117" s="27" t="s">
        <v>431</v>
      </c>
      <c r="V117" s="197"/>
    </row>
    <row r="118" spans="1:22" ht="18" hidden="1" customHeight="1">
      <c r="A118" s="196"/>
      <c r="B118" s="96" t="s">
        <v>416</v>
      </c>
      <c r="C118" s="14"/>
      <c r="D118" s="47" t="str">
        <f>T107</f>
        <v>FMS</v>
      </c>
      <c r="H118" s="28"/>
      <c r="I118" s="101" t="s">
        <v>138</v>
      </c>
      <c r="J118" s="648">
        <f>J20</f>
        <v>5.8000000000000003E-2</v>
      </c>
      <c r="K118" s="649"/>
      <c r="L118" s="3" t="s">
        <v>168</v>
      </c>
      <c r="N118" s="27"/>
      <c r="O118" s="27" t="s">
        <v>138</v>
      </c>
      <c r="P118" s="27">
        <f>O108</f>
        <v>1</v>
      </c>
      <c r="Q118" s="27" t="s">
        <v>326</v>
      </c>
      <c r="R118" s="27">
        <f>O108</f>
        <v>1</v>
      </c>
      <c r="S118" s="27" t="s">
        <v>326</v>
      </c>
      <c r="T118" s="27">
        <f>J110</f>
        <v>12</v>
      </c>
      <c r="V118" s="197"/>
    </row>
    <row r="119" spans="1:22" ht="18" hidden="1" customHeight="1">
      <c r="A119" s="196"/>
      <c r="B119" s="465" t="s">
        <v>423</v>
      </c>
      <c r="C119" s="271"/>
      <c r="D119" s="271"/>
      <c r="E119" s="271"/>
      <c r="F119" s="219"/>
      <c r="G119" s="219"/>
      <c r="H119" s="202"/>
      <c r="I119" s="220" t="s">
        <v>138</v>
      </c>
      <c r="J119" s="646">
        <f>J21</f>
        <v>1.44186744</v>
      </c>
      <c r="K119" s="647"/>
      <c r="L119" s="309" t="s">
        <v>168</v>
      </c>
      <c r="O119" s="27" t="s">
        <v>138</v>
      </c>
      <c r="P119" s="637">
        <f>P118*R118*T118</f>
        <v>12</v>
      </c>
      <c r="Q119" s="639"/>
      <c r="R119" s="27" t="s">
        <v>168</v>
      </c>
      <c r="V119" s="197"/>
    </row>
    <row r="120" spans="1:22" ht="18" hidden="1" customHeight="1">
      <c r="A120" s="196"/>
      <c r="B120" s="1" t="s">
        <v>424</v>
      </c>
      <c r="C120" s="2"/>
      <c r="D120" s="2"/>
      <c r="E120" s="2"/>
      <c r="F120" s="208"/>
      <c r="G120" s="208"/>
      <c r="H120" s="236" t="s">
        <v>523</v>
      </c>
      <c r="I120" s="195" t="s">
        <v>138</v>
      </c>
      <c r="J120" s="648">
        <f>SUM(J116:J119)</f>
        <v>1.5398674400000001</v>
      </c>
      <c r="K120" s="649"/>
      <c r="L120" s="3" t="s">
        <v>168</v>
      </c>
      <c r="V120" s="197"/>
    </row>
    <row r="121" spans="1:22" ht="18" hidden="1" customHeight="1">
      <c r="A121" s="196"/>
      <c r="B121" s="47"/>
      <c r="C121" s="47"/>
      <c r="D121" s="47"/>
      <c r="E121" s="47"/>
      <c r="H121" s="27"/>
      <c r="I121" s="28"/>
      <c r="J121" s="211"/>
      <c r="L121" s="47"/>
      <c r="S121" s="27"/>
      <c r="V121" s="197"/>
    </row>
    <row r="122" spans="1:22" ht="18" hidden="1" customHeight="1">
      <c r="A122" s="964" t="s">
        <v>547</v>
      </c>
      <c r="B122" s="965"/>
      <c r="C122" s="965"/>
      <c r="D122" s="965"/>
      <c r="E122" s="965"/>
      <c r="F122" s="965"/>
      <c r="G122" s="965"/>
      <c r="H122" s="965"/>
      <c r="I122" s="965"/>
      <c r="J122" s="965"/>
      <c r="K122" s="965"/>
      <c r="L122" s="965"/>
      <c r="M122" s="965"/>
      <c r="N122" s="965"/>
      <c r="O122" s="965"/>
      <c r="P122" s="965"/>
      <c r="Q122" s="965"/>
      <c r="R122" s="965"/>
      <c r="S122" s="965"/>
      <c r="T122" s="965"/>
      <c r="U122" s="965"/>
      <c r="V122" s="966"/>
    </row>
    <row r="123" spans="1:22" ht="18" hidden="1" customHeight="1">
      <c r="A123" s="967"/>
      <c r="B123" s="965"/>
      <c r="C123" s="965"/>
      <c r="D123" s="965"/>
      <c r="E123" s="965"/>
      <c r="F123" s="965"/>
      <c r="G123" s="965"/>
      <c r="H123" s="965"/>
      <c r="I123" s="965"/>
      <c r="J123" s="965"/>
      <c r="K123" s="965"/>
      <c r="L123" s="965"/>
      <c r="M123" s="965"/>
      <c r="N123" s="965"/>
      <c r="O123" s="965"/>
      <c r="P123" s="965"/>
      <c r="Q123" s="965"/>
      <c r="R123" s="965"/>
      <c r="S123" s="965"/>
      <c r="T123" s="965"/>
      <c r="U123" s="965"/>
      <c r="V123" s="966"/>
    </row>
    <row r="124" spans="1:22" ht="18" hidden="1" customHeight="1">
      <c r="A124" s="196"/>
      <c r="Q124" s="223"/>
      <c r="R124" s="204"/>
      <c r="V124" s="197"/>
    </row>
    <row r="125" spans="1:22" ht="18" hidden="1" customHeight="1">
      <c r="A125" s="196"/>
      <c r="C125" s="14" t="s">
        <v>484</v>
      </c>
      <c r="D125" s="28" t="s">
        <v>138</v>
      </c>
      <c r="E125" s="28" t="s">
        <v>548</v>
      </c>
      <c r="F125" s="120" t="s">
        <v>504</v>
      </c>
      <c r="G125" s="28" t="s">
        <v>358</v>
      </c>
      <c r="H125" s="120" t="s">
        <v>502</v>
      </c>
      <c r="I125" s="28" t="s">
        <v>549</v>
      </c>
      <c r="J125" s="28" t="s">
        <v>506</v>
      </c>
      <c r="K125" s="28" t="s">
        <v>550</v>
      </c>
      <c r="L125" s="28" t="s">
        <v>522</v>
      </c>
      <c r="M125" s="28" t="s">
        <v>326</v>
      </c>
      <c r="N125" s="28">
        <v>1.3</v>
      </c>
      <c r="O125" s="47" t="s">
        <v>361</v>
      </c>
      <c r="V125" s="197"/>
    </row>
    <row r="126" spans="1:22" ht="18" hidden="1" customHeight="1">
      <c r="A126" s="196" t="s">
        <v>551</v>
      </c>
      <c r="C126" s="14"/>
      <c r="D126" s="28"/>
      <c r="E126" s="14"/>
      <c r="F126" s="14"/>
      <c r="G126" s="14"/>
      <c r="H126" s="14"/>
      <c r="I126" s="14"/>
      <c r="J126" s="14"/>
      <c r="K126" s="14"/>
      <c r="L126" s="14"/>
      <c r="M126" s="14"/>
      <c r="N126" s="14"/>
      <c r="O126" s="14"/>
      <c r="V126" s="197"/>
    </row>
    <row r="127" spans="1:22" ht="18" hidden="1" customHeight="1">
      <c r="A127" s="196"/>
      <c r="C127" s="120" t="s">
        <v>504</v>
      </c>
      <c r="D127" s="28" t="s">
        <v>138</v>
      </c>
      <c r="E127" s="28" t="s">
        <v>548</v>
      </c>
      <c r="F127" s="28">
        <v>1.3</v>
      </c>
      <c r="G127" s="28" t="s">
        <v>326</v>
      </c>
      <c r="H127" s="638" t="s">
        <v>484</v>
      </c>
      <c r="I127" s="920"/>
      <c r="J127" s="28" t="s">
        <v>326</v>
      </c>
      <c r="K127" s="28" t="s">
        <v>522</v>
      </c>
      <c r="L127" s="28" t="s">
        <v>552</v>
      </c>
      <c r="M127" s="28" t="s">
        <v>506</v>
      </c>
      <c r="N127" s="47" t="s">
        <v>553</v>
      </c>
      <c r="O127" s="120" t="s">
        <v>502</v>
      </c>
      <c r="V127" s="197"/>
    </row>
    <row r="128" spans="1:22" ht="18" hidden="1" customHeight="1">
      <c r="A128" s="196"/>
      <c r="V128" s="197"/>
    </row>
    <row r="129" spans="1:25" ht="18" hidden="1" customHeight="1">
      <c r="A129" s="180"/>
      <c r="B129" s="5"/>
      <c r="C129" s="47" t="s">
        <v>554</v>
      </c>
      <c r="D129" s="14"/>
      <c r="E129" s="14"/>
      <c r="F129" s="14"/>
      <c r="G129" s="14"/>
      <c r="H129" s="291"/>
      <c r="I129" s="120"/>
      <c r="J129" s="291"/>
      <c r="K129" s="291"/>
      <c r="L129" s="14"/>
      <c r="M129" s="14"/>
      <c r="N129" s="14"/>
      <c r="O129" s="14"/>
      <c r="P129" s="14"/>
      <c r="Q129" s="120" t="s">
        <v>555</v>
      </c>
      <c r="R129" s="102" t="s">
        <v>138</v>
      </c>
      <c r="S129" s="638">
        <f>S29</f>
        <v>600</v>
      </c>
      <c r="T129" s="638"/>
      <c r="U129" s="47" t="s">
        <v>9</v>
      </c>
      <c r="V129" s="197"/>
    </row>
    <row r="130" spans="1:25" ht="18" hidden="1" customHeight="1">
      <c r="A130" s="180"/>
      <c r="B130" s="5"/>
      <c r="C130" s="47" t="s">
        <v>556</v>
      </c>
      <c r="D130" s="14"/>
      <c r="E130" s="14"/>
      <c r="F130" s="18"/>
      <c r="G130" s="18"/>
      <c r="H130" s="291"/>
      <c r="I130" s="120"/>
      <c r="J130" s="291"/>
      <c r="K130" s="291"/>
      <c r="L130" s="14"/>
      <c r="M130" s="14"/>
      <c r="N130" s="14"/>
      <c r="O130" s="14"/>
      <c r="P130" s="14"/>
      <c r="Q130" s="120" t="s">
        <v>434</v>
      </c>
      <c r="R130" s="102" t="s">
        <v>138</v>
      </c>
      <c r="S130" s="638" t="str">
        <f>J108</f>
        <v>-</v>
      </c>
      <c r="T130" s="638"/>
      <c r="U130" s="14" t="s">
        <v>9</v>
      </c>
      <c r="V130" s="197"/>
    </row>
    <row r="131" spans="1:25" ht="18" hidden="1" customHeight="1">
      <c r="A131" s="180"/>
      <c r="B131" s="5"/>
      <c r="C131" s="47" t="s">
        <v>557</v>
      </c>
      <c r="D131" s="14"/>
      <c r="E131" s="14"/>
      <c r="F131" s="18"/>
      <c r="G131" s="18"/>
      <c r="H131" s="291"/>
      <c r="I131" s="120"/>
      <c r="J131" s="291"/>
      <c r="K131" s="291"/>
      <c r="L131" s="14"/>
      <c r="M131" s="14"/>
      <c r="N131" s="14"/>
      <c r="O131" s="14"/>
      <c r="P131" s="14"/>
      <c r="Q131" s="120" t="s">
        <v>484</v>
      </c>
      <c r="R131" s="102" t="s">
        <v>138</v>
      </c>
      <c r="S131" s="638">
        <f>J111</f>
        <v>1200</v>
      </c>
      <c r="T131" s="638"/>
      <c r="U131" s="14" t="s">
        <v>316</v>
      </c>
      <c r="V131" s="197"/>
    </row>
    <row r="132" spans="1:25" ht="18" hidden="1" customHeight="1">
      <c r="A132" s="180"/>
      <c r="B132" s="5"/>
      <c r="C132" s="47" t="s">
        <v>558</v>
      </c>
      <c r="D132" s="14"/>
      <c r="E132" s="14"/>
      <c r="F132" s="18"/>
      <c r="G132" s="18"/>
      <c r="H132" s="291"/>
      <c r="I132" s="120"/>
      <c r="J132" s="291"/>
      <c r="K132" s="291"/>
      <c r="L132" s="14"/>
      <c r="M132" s="14"/>
      <c r="N132" s="14"/>
      <c r="O132" s="14"/>
      <c r="P132" s="14"/>
      <c r="Q132" s="120" t="s">
        <v>502</v>
      </c>
      <c r="R132" s="102" t="s">
        <v>138</v>
      </c>
      <c r="S132" s="641">
        <f>P119</f>
        <v>12</v>
      </c>
      <c r="T132" s="638"/>
      <c r="U132" s="14" t="s">
        <v>168</v>
      </c>
      <c r="V132" s="197"/>
      <c r="W132" s="291"/>
      <c r="X132" s="291"/>
      <c r="Y132" s="291"/>
    </row>
    <row r="133" spans="1:25" ht="18" hidden="1" customHeight="1">
      <c r="A133" s="180"/>
      <c r="B133" s="5"/>
      <c r="C133" s="47" t="s">
        <v>559</v>
      </c>
      <c r="D133" s="14"/>
      <c r="E133" s="14"/>
      <c r="F133" s="18"/>
      <c r="G133" s="18"/>
      <c r="H133" s="291"/>
      <c r="I133" s="120"/>
      <c r="J133" s="291"/>
      <c r="K133" s="291"/>
      <c r="L133" s="14"/>
      <c r="M133" s="14"/>
      <c r="N133" s="14"/>
      <c r="O133" s="14"/>
      <c r="P133" s="14"/>
      <c r="Q133" s="120" t="s">
        <v>523</v>
      </c>
      <c r="R133" s="102" t="s">
        <v>138</v>
      </c>
      <c r="S133" s="641">
        <f>J120</f>
        <v>1.5398674400000001</v>
      </c>
      <c r="T133" s="638"/>
      <c r="U133" s="14" t="s">
        <v>168</v>
      </c>
      <c r="V133" s="197"/>
      <c r="X133" s="291"/>
      <c r="Y133" s="291"/>
    </row>
    <row r="134" spans="1:25" ht="18" hidden="1" customHeight="1">
      <c r="A134" s="180"/>
      <c r="B134" s="5"/>
      <c r="C134" s="47" t="s">
        <v>560</v>
      </c>
      <c r="D134" s="14"/>
      <c r="E134" s="14"/>
      <c r="F134" s="14"/>
      <c r="G134" s="14"/>
      <c r="H134" s="291"/>
      <c r="I134" s="120"/>
      <c r="J134" s="291"/>
      <c r="K134" s="291"/>
      <c r="L134" s="14"/>
      <c r="M134" s="14"/>
      <c r="N134" s="14"/>
      <c r="O134" s="14"/>
      <c r="P134" s="14"/>
      <c r="Q134" s="120" t="s">
        <v>522</v>
      </c>
      <c r="R134" s="102" t="s">
        <v>138</v>
      </c>
      <c r="S134" s="638">
        <f>O108</f>
        <v>1</v>
      </c>
      <c r="T134" s="638"/>
      <c r="U134" s="14" t="s">
        <v>9</v>
      </c>
      <c r="V134" s="197"/>
      <c r="X134" s="291"/>
      <c r="Y134" s="291"/>
    </row>
    <row r="135" spans="1:25" ht="18" hidden="1" customHeight="1">
      <c r="A135" s="180"/>
      <c r="B135" s="5"/>
      <c r="C135" s="47" t="s">
        <v>561</v>
      </c>
      <c r="D135" s="14"/>
      <c r="E135" s="14"/>
      <c r="F135" s="14"/>
      <c r="G135" s="14"/>
      <c r="H135" s="291"/>
      <c r="I135" s="120"/>
      <c r="J135" s="291"/>
      <c r="K135" s="291"/>
      <c r="L135" s="14"/>
      <c r="M135" s="14"/>
      <c r="N135" s="14"/>
      <c r="O135" s="14"/>
      <c r="P135" s="14"/>
      <c r="Q135" s="120" t="s">
        <v>506</v>
      </c>
      <c r="R135" s="102" t="s">
        <v>138</v>
      </c>
      <c r="S135" s="638">
        <v>20</v>
      </c>
      <c r="T135" s="638"/>
      <c r="U135" s="47"/>
      <c r="V135" s="197"/>
    </row>
    <row r="136" spans="1:25" ht="18" hidden="1" customHeight="1">
      <c r="A136" s="311"/>
      <c r="B136" s="291"/>
      <c r="C136" s="47" t="s">
        <v>562</v>
      </c>
      <c r="D136" s="14"/>
      <c r="E136" s="14"/>
      <c r="F136" s="14"/>
      <c r="G136" s="14"/>
      <c r="H136" s="291"/>
      <c r="I136" s="120"/>
      <c r="J136" s="291"/>
      <c r="K136" s="291"/>
      <c r="L136" s="14"/>
      <c r="M136" s="14"/>
      <c r="N136" s="291"/>
      <c r="O136" s="291"/>
      <c r="P136" s="14"/>
      <c r="Q136" s="120" t="s">
        <v>504</v>
      </c>
      <c r="R136" s="14"/>
      <c r="S136" s="291"/>
      <c r="T136" s="291"/>
      <c r="U136" s="291"/>
      <c r="V136" s="312"/>
      <c r="W136" s="291"/>
      <c r="X136" s="291"/>
      <c r="Y136" s="291"/>
    </row>
    <row r="137" spans="1:25" ht="18" hidden="1" customHeight="1">
      <c r="A137" s="196"/>
      <c r="V137" s="197"/>
    </row>
    <row r="138" spans="1:25" ht="18" hidden="1" customHeight="1">
      <c r="A138" s="196"/>
      <c r="C138" s="120" t="s">
        <v>504</v>
      </c>
      <c r="D138" s="28" t="s">
        <v>138</v>
      </c>
      <c r="E138" s="28" t="s">
        <v>548</v>
      </c>
      <c r="F138" s="28">
        <v>1.3</v>
      </c>
      <c r="G138" s="28" t="s">
        <v>326</v>
      </c>
      <c r="H138" s="638" t="s">
        <v>484</v>
      </c>
      <c r="I138" s="920"/>
      <c r="J138" s="28" t="s">
        <v>326</v>
      </c>
      <c r="K138" s="28" t="s">
        <v>522</v>
      </c>
      <c r="L138" s="28" t="s">
        <v>552</v>
      </c>
      <c r="M138" s="28" t="s">
        <v>506</v>
      </c>
      <c r="N138" s="47" t="s">
        <v>553</v>
      </c>
      <c r="O138" s="120" t="s">
        <v>502</v>
      </c>
      <c r="V138" s="197"/>
    </row>
    <row r="139" spans="1:25" ht="18" hidden="1" customHeight="1">
      <c r="A139" s="196"/>
      <c r="C139" s="120" t="s">
        <v>504</v>
      </c>
      <c r="D139" s="28" t="s">
        <v>138</v>
      </c>
      <c r="E139" s="28" t="s">
        <v>548</v>
      </c>
      <c r="F139" s="28">
        <v>1.3</v>
      </c>
      <c r="G139" s="28" t="s">
        <v>326</v>
      </c>
      <c r="H139" s="638">
        <f>S131</f>
        <v>1200</v>
      </c>
      <c r="I139" s="920"/>
      <c r="J139" s="28" t="s">
        <v>326</v>
      </c>
      <c r="K139" s="28">
        <f>S134</f>
        <v>1</v>
      </c>
      <c r="L139" s="28" t="s">
        <v>552</v>
      </c>
      <c r="M139" s="28">
        <f>S135</f>
        <v>20</v>
      </c>
      <c r="N139" s="47" t="s">
        <v>553</v>
      </c>
      <c r="O139" s="516">
        <f>S132</f>
        <v>12</v>
      </c>
      <c r="V139" s="197"/>
    </row>
    <row r="140" spans="1:25" ht="18" hidden="1" customHeight="1">
      <c r="A140" s="196"/>
      <c r="D140" s="27" t="s">
        <v>138</v>
      </c>
      <c r="E140" s="639">
        <f>((F139*H139*K139)/M139)-O139</f>
        <v>66</v>
      </c>
      <c r="F140" s="639"/>
      <c r="G140" s="27" t="s">
        <v>168</v>
      </c>
      <c r="V140" s="197"/>
    </row>
    <row r="141" spans="1:25" ht="18" hidden="1" customHeight="1">
      <c r="A141" s="196"/>
      <c r="D141" s="27"/>
      <c r="E141" s="27"/>
      <c r="F141" s="27"/>
      <c r="G141" s="27"/>
      <c r="V141" s="197"/>
    </row>
    <row r="142" spans="1:25" ht="18" hidden="1" customHeight="1">
      <c r="A142" s="196"/>
      <c r="D142" s="27"/>
      <c r="E142" s="27"/>
      <c r="F142" s="27"/>
      <c r="G142" s="27"/>
      <c r="V142" s="197"/>
    </row>
    <row r="143" spans="1:25" ht="18" hidden="1" customHeight="1">
      <c r="A143" s="196"/>
      <c r="D143" s="27"/>
      <c r="E143" s="27"/>
      <c r="F143" s="27"/>
      <c r="G143" s="27"/>
      <c r="V143" s="197"/>
    </row>
    <row r="144" spans="1:25" ht="18" hidden="1" customHeight="1">
      <c r="A144" s="196"/>
      <c r="D144" s="27"/>
      <c r="E144" s="27"/>
      <c r="F144" s="27"/>
      <c r="G144" s="27"/>
      <c r="V144" s="197"/>
    </row>
    <row r="145" spans="1:22" ht="18" hidden="1" customHeight="1">
      <c r="A145" s="196"/>
      <c r="D145" s="27"/>
      <c r="E145" s="27"/>
      <c r="F145" s="27"/>
      <c r="G145" s="27"/>
      <c r="V145" s="197"/>
    </row>
    <row r="146" spans="1:22" ht="18" hidden="1" customHeight="1">
      <c r="A146" s="196"/>
      <c r="V146" s="197"/>
    </row>
    <row r="147" spans="1:22" s="14" customFormat="1" ht="18" hidden="1" customHeight="1">
      <c r="A147" s="206"/>
      <c r="B147" s="207"/>
      <c r="C147" s="207"/>
      <c r="D147" s="207"/>
      <c r="E147" s="207"/>
      <c r="F147" s="207"/>
      <c r="G147" s="207"/>
      <c r="H147" s="207"/>
      <c r="I147" s="207"/>
      <c r="J147" s="207"/>
      <c r="K147" s="207"/>
      <c r="L147" s="207"/>
      <c r="M147" s="207"/>
      <c r="N147" s="207"/>
      <c r="O147" s="207"/>
      <c r="P147" s="207"/>
      <c r="Q147" s="236"/>
      <c r="R147" s="194"/>
      <c r="S147" s="237"/>
      <c r="T147" s="207"/>
      <c r="U147" s="207"/>
      <c r="V147" s="140" t="s">
        <v>563</v>
      </c>
    </row>
    <row r="148" spans="1:22" ht="18" hidden="1" customHeight="1">
      <c r="A148" s="238"/>
      <c r="B148" s="239"/>
      <c r="C148" s="239"/>
      <c r="D148" s="239"/>
      <c r="E148" s="239"/>
      <c r="F148" s="239"/>
      <c r="G148" s="239"/>
      <c r="H148" s="239"/>
      <c r="I148" s="239"/>
      <c r="J148" s="239"/>
      <c r="K148" s="239"/>
      <c r="L148" s="239"/>
      <c r="M148" s="239"/>
      <c r="N148" s="239"/>
      <c r="O148" s="239"/>
      <c r="P148" s="239"/>
      <c r="Q148" s="239"/>
      <c r="R148" s="239"/>
      <c r="S148" s="239"/>
      <c r="T148" s="239"/>
      <c r="U148" s="239"/>
      <c r="V148" s="240"/>
    </row>
    <row r="149" spans="1:22" ht="18" hidden="1" customHeight="1">
      <c r="A149" s="196"/>
      <c r="E149" s="256" t="s">
        <v>123</v>
      </c>
      <c r="F149" s="27" t="s">
        <v>138</v>
      </c>
      <c r="G149" s="638" t="s">
        <v>555</v>
      </c>
      <c r="H149" s="638"/>
      <c r="I149" s="203" t="s">
        <v>353</v>
      </c>
      <c r="J149" s="639" t="s">
        <v>434</v>
      </c>
      <c r="K149" s="639"/>
      <c r="V149" s="197"/>
    </row>
    <row r="150" spans="1:22" ht="18" hidden="1" customHeight="1">
      <c r="A150" s="196"/>
      <c r="F150" s="27" t="s">
        <v>138</v>
      </c>
      <c r="G150" s="639">
        <f>S129</f>
        <v>600</v>
      </c>
      <c r="H150" s="639"/>
      <c r="I150" s="203" t="s">
        <v>353</v>
      </c>
      <c r="J150" s="639" t="str">
        <f>S130</f>
        <v>-</v>
      </c>
      <c r="K150" s="639"/>
      <c r="V150" s="197"/>
    </row>
    <row r="151" spans="1:22" ht="18" hidden="1" customHeight="1">
      <c r="A151" s="196"/>
      <c r="F151" s="27" t="s">
        <v>138</v>
      </c>
      <c r="G151" s="637" t="e">
        <f>G150/J150</f>
        <v>#VALUE!</v>
      </c>
      <c r="H151" s="637"/>
      <c r="I151" s="27"/>
      <c r="J151" s="27"/>
      <c r="K151" s="27"/>
      <c r="V151" s="197"/>
    </row>
    <row r="152" spans="1:22" ht="18" hidden="1" customHeight="1">
      <c r="A152" s="196"/>
      <c r="V152" s="197"/>
    </row>
    <row r="153" spans="1:22" ht="18" hidden="1" customHeight="1">
      <c r="A153" s="196"/>
      <c r="E153" s="256" t="s">
        <v>564</v>
      </c>
      <c r="F153" s="27" t="s">
        <v>138</v>
      </c>
      <c r="G153" s="27" t="s">
        <v>506</v>
      </c>
      <c r="H153" s="27" t="s">
        <v>565</v>
      </c>
      <c r="I153" s="120" t="s">
        <v>502</v>
      </c>
      <c r="J153" s="28" t="s">
        <v>358</v>
      </c>
      <c r="K153" s="120" t="s">
        <v>504</v>
      </c>
      <c r="L153" s="28" t="s">
        <v>550</v>
      </c>
      <c r="M153" s="120" t="s">
        <v>502</v>
      </c>
      <c r="N153" s="28" t="s">
        <v>358</v>
      </c>
      <c r="O153" s="120" t="s">
        <v>523</v>
      </c>
      <c r="P153" s="308" t="s">
        <v>361</v>
      </c>
      <c r="V153" s="197"/>
    </row>
    <row r="154" spans="1:22" ht="18" hidden="1" customHeight="1">
      <c r="A154" s="196"/>
      <c r="F154" s="27" t="s">
        <v>138</v>
      </c>
      <c r="G154" s="254">
        <f>S135</f>
        <v>20</v>
      </c>
      <c r="H154" s="257" t="s">
        <v>565</v>
      </c>
      <c r="I154" s="313">
        <f>S132</f>
        <v>12</v>
      </c>
      <c r="J154" s="257" t="s">
        <v>358</v>
      </c>
      <c r="K154" s="313">
        <f>E140</f>
        <v>66</v>
      </c>
      <c r="L154" s="257" t="s">
        <v>550</v>
      </c>
      <c r="M154" s="313">
        <f>S132</f>
        <v>12</v>
      </c>
      <c r="N154" s="257" t="s">
        <v>358</v>
      </c>
      <c r="O154" s="313">
        <f>S133</f>
        <v>1.5398674400000001</v>
      </c>
      <c r="P154" s="474" t="s">
        <v>361</v>
      </c>
      <c r="V154" s="197"/>
    </row>
    <row r="155" spans="1:22" ht="18" hidden="1" customHeight="1">
      <c r="A155" s="196"/>
      <c r="F155" s="27" t="s">
        <v>138</v>
      </c>
      <c r="G155" s="637">
        <f>G154*((I154+K154)/(M154+O154))</f>
        <v>115.21530819359336</v>
      </c>
      <c r="H155" s="637"/>
      <c r="V155" s="197"/>
    </row>
    <row r="156" spans="1:22" ht="18" hidden="1" customHeight="1">
      <c r="A156" s="196"/>
      <c r="V156" s="197"/>
    </row>
    <row r="157" spans="1:22" ht="18" hidden="1" customHeight="1">
      <c r="A157" s="196"/>
      <c r="E157" s="256" t="s">
        <v>566</v>
      </c>
      <c r="F157" s="27" t="e">
        <f>IF(D158&gt;G158,"&gt;","&lt;")</f>
        <v>#VALUE!</v>
      </c>
      <c r="G157" s="308" t="s">
        <v>123</v>
      </c>
      <c r="V157" s="197"/>
    </row>
    <row r="158" spans="1:22" ht="18" hidden="1" customHeight="1">
      <c r="A158" s="196"/>
      <c r="D158" s="637">
        <f>G155</f>
        <v>115.21530819359336</v>
      </c>
      <c r="E158" s="637"/>
      <c r="F158" s="27" t="e">
        <f>F157</f>
        <v>#VALUE!</v>
      </c>
      <c r="G158" s="637" t="e">
        <f>G151</f>
        <v>#VALUE!</v>
      </c>
      <c r="H158" s="637"/>
      <c r="V158" s="197"/>
    </row>
    <row r="159" spans="1:22" ht="18" hidden="1" customHeight="1">
      <c r="A159" s="196"/>
      <c r="E159" s="256" t="s">
        <v>489</v>
      </c>
      <c r="G159" s="18" t="e">
        <f>IF(F157="&gt;","Suitably Dimentioned","Under Dimentioned")</f>
        <v>#VALUE!</v>
      </c>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ht="18" hidden="1" customHeight="1">
      <c r="A174" s="196"/>
      <c r="V174" s="197"/>
    </row>
    <row r="175" spans="1:22" ht="18" hidden="1" customHeight="1">
      <c r="A175" s="196"/>
      <c r="V175" s="197"/>
    </row>
    <row r="176" spans="1:22" ht="18" hidden="1" customHeight="1">
      <c r="A176" s="196"/>
      <c r="V176" s="197"/>
    </row>
    <row r="177" spans="1:22" ht="18" hidden="1" customHeight="1">
      <c r="A177" s="196"/>
      <c r="V177" s="197"/>
    </row>
    <row r="178" spans="1:22" ht="18" hidden="1" customHeight="1">
      <c r="A178" s="196"/>
      <c r="V178" s="197"/>
    </row>
    <row r="179" spans="1:22" ht="18" hidden="1" customHeight="1">
      <c r="A179" s="196"/>
      <c r="V179" s="197"/>
    </row>
    <row r="180" spans="1:22" ht="18" hidden="1" customHeight="1">
      <c r="A180" s="196"/>
      <c r="V180" s="197"/>
    </row>
    <row r="181" spans="1:22" ht="18" hidden="1" customHeight="1">
      <c r="A181" s="196"/>
      <c r="V181" s="197"/>
    </row>
    <row r="182" spans="1:22" ht="18" hidden="1" customHeight="1">
      <c r="A182" s="196"/>
      <c r="V182" s="197"/>
    </row>
    <row r="183" spans="1:22" ht="18" hidden="1" customHeight="1">
      <c r="A183" s="196"/>
      <c r="V183" s="197"/>
    </row>
    <row r="184" spans="1:22" ht="18" hidden="1" customHeight="1">
      <c r="A184" s="196"/>
      <c r="V184" s="197"/>
    </row>
    <row r="185" spans="1:22" ht="18" hidden="1" customHeight="1">
      <c r="A185" s="196"/>
      <c r="V185" s="197"/>
    </row>
    <row r="186" spans="1:22" ht="18" hidden="1" customHeight="1">
      <c r="A186" s="196"/>
      <c r="V186" s="197"/>
    </row>
    <row r="187" spans="1:22" ht="18" hidden="1" customHeight="1">
      <c r="A187" s="196"/>
      <c r="V187" s="197"/>
    </row>
    <row r="188" spans="1:22" ht="18" hidden="1" customHeight="1">
      <c r="A188" s="196"/>
      <c r="V188" s="197"/>
    </row>
    <row r="189" spans="1:22" ht="18" hidden="1" customHeight="1">
      <c r="A189" s="196"/>
      <c r="V189" s="197"/>
    </row>
    <row r="190" spans="1:22" ht="18" hidden="1" customHeight="1">
      <c r="A190" s="196"/>
      <c r="V190" s="197"/>
    </row>
    <row r="191" spans="1:22" s="14" customFormat="1" ht="18" hidden="1" customHeight="1">
      <c r="A191" s="206"/>
      <c r="B191" s="207"/>
      <c r="C191" s="207"/>
      <c r="D191" s="207"/>
      <c r="E191" s="207"/>
      <c r="F191" s="207"/>
      <c r="G191" s="207"/>
      <c r="H191" s="207"/>
      <c r="I191" s="207"/>
      <c r="J191" s="207"/>
      <c r="K191" s="207"/>
      <c r="L191" s="207"/>
      <c r="M191" s="207"/>
      <c r="N191" s="207"/>
      <c r="O191" s="207"/>
      <c r="P191" s="207"/>
      <c r="Q191" s="236"/>
      <c r="R191" s="194"/>
      <c r="S191" s="237"/>
      <c r="T191" s="207"/>
      <c r="U191" s="207"/>
      <c r="V191" s="140" t="s">
        <v>563</v>
      </c>
    </row>
    <row r="192" spans="1:22" ht="18" hidden="1" customHeight="1">
      <c r="A192" s="238"/>
      <c r="B192" s="239"/>
      <c r="C192" s="239"/>
      <c r="D192" s="239"/>
      <c r="E192" s="239"/>
      <c r="F192" s="239"/>
      <c r="G192" s="239"/>
      <c r="H192" s="239"/>
      <c r="I192" s="239"/>
      <c r="J192" s="239"/>
      <c r="K192" s="239"/>
      <c r="L192" s="239"/>
      <c r="M192" s="239"/>
      <c r="N192" s="239"/>
      <c r="O192" s="239"/>
      <c r="P192" s="239"/>
      <c r="Q192" s="239"/>
      <c r="R192" s="239"/>
      <c r="S192" s="239"/>
      <c r="T192" s="239"/>
      <c r="U192" s="239"/>
      <c r="V192" s="240"/>
    </row>
    <row r="193" spans="1:23" ht="18" hidden="1" customHeight="1">
      <c r="A193" s="196"/>
      <c r="B193" s="650" t="str">
        <f>B105</f>
        <v>T1</v>
      </c>
      <c r="C193" s="651"/>
      <c r="D193" s="660" t="str">
        <f>D105</f>
        <v>Core1</v>
      </c>
      <c r="E193" s="623"/>
      <c r="F193" s="468"/>
      <c r="H193" s="639" t="str">
        <f>H105</f>
        <v>(OC+BCPU+FMS)</v>
      </c>
      <c r="I193" s="639"/>
      <c r="J193" s="639"/>
      <c r="K193" s="639"/>
      <c r="L193" s="639"/>
      <c r="M193" s="639"/>
      <c r="P193" s="198"/>
      <c r="S193" s="199" t="s">
        <v>398</v>
      </c>
      <c r="T193" s="658" t="str">
        <f>T105</f>
        <v>REC670</v>
      </c>
      <c r="U193" s="659"/>
      <c r="V193" s="197"/>
    </row>
    <row r="194" spans="1:23" ht="18" hidden="1" customHeight="1">
      <c r="A194" s="469"/>
      <c r="F194" s="468"/>
      <c r="T194" s="658" t="str">
        <f>T106</f>
        <v>REF615</v>
      </c>
      <c r="U194" s="659"/>
      <c r="V194" s="197"/>
    </row>
    <row r="195" spans="1:23" ht="18" hidden="1" customHeight="1">
      <c r="A195" s="196"/>
      <c r="H195" s="661" t="s">
        <v>401</v>
      </c>
      <c r="I195" s="661"/>
      <c r="J195" s="661" t="s">
        <v>402</v>
      </c>
      <c r="K195" s="661"/>
      <c r="L195" s="662" t="s">
        <v>403</v>
      </c>
      <c r="M195" s="662"/>
      <c r="T195" s="658" t="str">
        <f>T107</f>
        <v>FMS</v>
      </c>
      <c r="U195" s="659"/>
      <c r="V195" s="197"/>
    </row>
    <row r="196" spans="1:23" ht="18" hidden="1" customHeight="1">
      <c r="A196" s="196"/>
      <c r="B196" s="47" t="s">
        <v>404</v>
      </c>
      <c r="H196" s="650">
        <f>H108</f>
        <v>100</v>
      </c>
      <c r="I196" s="651"/>
      <c r="J196" s="650" t="str">
        <f>J108</f>
        <v>-</v>
      </c>
      <c r="K196" s="651"/>
      <c r="L196" s="652" t="str">
        <f>L108</f>
        <v>-</v>
      </c>
      <c r="M196" s="653"/>
      <c r="N196" s="203" t="s">
        <v>353</v>
      </c>
      <c r="O196" s="268">
        <f>O108</f>
        <v>1</v>
      </c>
      <c r="P196" s="27" t="s">
        <v>9</v>
      </c>
      <c r="R196" s="267"/>
      <c r="S196" s="267"/>
      <c r="V196" s="197"/>
    </row>
    <row r="197" spans="1:23" ht="18" hidden="1" customHeight="1">
      <c r="A197" s="196"/>
      <c r="B197" s="47" t="s">
        <v>405</v>
      </c>
      <c r="L197" s="650" t="str">
        <f>J109</f>
        <v>PX</v>
      </c>
      <c r="M197" s="651"/>
      <c r="V197" s="197"/>
    </row>
    <row r="198" spans="1:23" ht="18" hidden="1" customHeight="1">
      <c r="A198" s="196"/>
      <c r="B198" s="47" t="s">
        <v>407</v>
      </c>
      <c r="K198" s="120" t="s">
        <v>508</v>
      </c>
      <c r="L198" s="940">
        <v>8</v>
      </c>
      <c r="M198" s="941"/>
      <c r="N198" s="204" t="s">
        <v>344</v>
      </c>
      <c r="V198" s="197"/>
    </row>
    <row r="199" spans="1:23" ht="18" hidden="1" customHeight="1">
      <c r="A199" s="196"/>
      <c r="B199" s="47" t="s">
        <v>409</v>
      </c>
      <c r="K199" s="120" t="s">
        <v>509</v>
      </c>
      <c r="L199" s="940">
        <v>800</v>
      </c>
      <c r="M199" s="941"/>
      <c r="N199" s="14" t="s">
        <v>316</v>
      </c>
      <c r="V199" s="197"/>
      <c r="W199" s="30" t="e">
        <f>G247</f>
        <v>#VALUE!</v>
      </c>
    </row>
    <row r="200" spans="1:23" ht="18" hidden="1" customHeight="1">
      <c r="A200" s="196"/>
      <c r="B200" s="14" t="s">
        <v>412</v>
      </c>
      <c r="K200" s="120" t="s">
        <v>413</v>
      </c>
      <c r="L200" s="940">
        <v>75</v>
      </c>
      <c r="M200" s="941"/>
      <c r="N200" s="14" t="s">
        <v>414</v>
      </c>
      <c r="V200" s="197"/>
    </row>
    <row r="201" spans="1:23" ht="18" hidden="1" customHeight="1">
      <c r="A201" s="196"/>
      <c r="V201" s="197"/>
    </row>
    <row r="202" spans="1:23" ht="18" hidden="1" customHeight="1">
      <c r="A202" s="205" t="s">
        <v>415</v>
      </c>
      <c r="V202" s="197"/>
    </row>
    <row r="203" spans="1:23" ht="18" hidden="1" customHeight="1">
      <c r="A203" s="196"/>
      <c r="V203" s="197"/>
    </row>
    <row r="204" spans="1:23" ht="18" hidden="1" customHeight="1">
      <c r="A204" s="196"/>
      <c r="B204" s="141" t="s">
        <v>416</v>
      </c>
      <c r="C204" s="285"/>
      <c r="D204" s="146" t="str">
        <f>T193</f>
        <v>REC670</v>
      </c>
      <c r="E204" s="239"/>
      <c r="F204" s="239"/>
      <c r="G204" s="239"/>
      <c r="H204" s="145"/>
      <c r="I204" s="272" t="s">
        <v>138</v>
      </c>
      <c r="J204" s="648">
        <f>J116</f>
        <v>0.02</v>
      </c>
      <c r="K204" s="649"/>
      <c r="L204" s="3" t="s">
        <v>168</v>
      </c>
      <c r="N204" s="209" t="s">
        <v>521</v>
      </c>
      <c r="V204" s="197"/>
    </row>
    <row r="205" spans="1:23" ht="18" hidden="1" customHeight="1">
      <c r="A205" s="196"/>
      <c r="B205" s="96" t="s">
        <v>416</v>
      </c>
      <c r="C205" s="14"/>
      <c r="D205" s="47" t="str">
        <f>T194</f>
        <v>REF615</v>
      </c>
      <c r="H205" s="28"/>
      <c r="I205" s="101" t="s">
        <v>138</v>
      </c>
      <c r="J205" s="648">
        <f>J117</f>
        <v>0.02</v>
      </c>
      <c r="K205" s="649"/>
      <c r="L205" s="3" t="s">
        <v>168</v>
      </c>
      <c r="N205" s="120" t="s">
        <v>502</v>
      </c>
      <c r="O205" s="27" t="s">
        <v>138</v>
      </c>
      <c r="P205" s="27" t="s">
        <v>522</v>
      </c>
      <c r="Q205" s="27" t="s">
        <v>326</v>
      </c>
      <c r="R205" s="27" t="s">
        <v>522</v>
      </c>
      <c r="S205" s="27" t="s">
        <v>326</v>
      </c>
      <c r="T205" s="27" t="s">
        <v>431</v>
      </c>
      <c r="V205" s="197"/>
    </row>
    <row r="206" spans="1:23" ht="18" hidden="1" customHeight="1">
      <c r="A206" s="196"/>
      <c r="B206" s="96" t="s">
        <v>416</v>
      </c>
      <c r="C206" s="14"/>
      <c r="D206" s="47" t="str">
        <f>T195</f>
        <v>FMS</v>
      </c>
      <c r="H206" s="28"/>
      <c r="I206" s="101" t="s">
        <v>138</v>
      </c>
      <c r="J206" s="648">
        <f>J118</f>
        <v>5.8000000000000003E-2</v>
      </c>
      <c r="K206" s="649"/>
      <c r="L206" s="3" t="s">
        <v>168</v>
      </c>
      <c r="N206" s="27"/>
      <c r="O206" s="27" t="s">
        <v>138</v>
      </c>
      <c r="P206" s="27">
        <f>O196</f>
        <v>1</v>
      </c>
      <c r="Q206" s="27" t="s">
        <v>326</v>
      </c>
      <c r="R206" s="27">
        <f>O196</f>
        <v>1</v>
      </c>
      <c r="S206" s="27" t="s">
        <v>326</v>
      </c>
      <c r="T206" s="27">
        <f>L198</f>
        <v>8</v>
      </c>
      <c r="V206" s="197"/>
    </row>
    <row r="207" spans="1:23" ht="18" hidden="1" customHeight="1">
      <c r="A207" s="196"/>
      <c r="B207" s="465" t="s">
        <v>423</v>
      </c>
      <c r="C207" s="271"/>
      <c r="D207" s="271"/>
      <c r="E207" s="271"/>
      <c r="F207" s="219"/>
      <c r="G207" s="219"/>
      <c r="H207" s="202"/>
      <c r="I207" s="220" t="s">
        <v>138</v>
      </c>
      <c r="J207" s="646">
        <f>J119</f>
        <v>1.44186744</v>
      </c>
      <c r="K207" s="647"/>
      <c r="L207" s="309" t="s">
        <v>168</v>
      </c>
      <c r="O207" s="27" t="s">
        <v>138</v>
      </c>
      <c r="P207" s="637">
        <f>P206*R206*T206</f>
        <v>8</v>
      </c>
      <c r="Q207" s="639"/>
      <c r="R207" s="27" t="s">
        <v>168</v>
      </c>
      <c r="V207" s="197"/>
    </row>
    <row r="208" spans="1:23" ht="18" hidden="1" customHeight="1">
      <c r="A208" s="196"/>
      <c r="B208" s="1" t="s">
        <v>424</v>
      </c>
      <c r="C208" s="2"/>
      <c r="D208" s="2"/>
      <c r="E208" s="2"/>
      <c r="F208" s="208"/>
      <c r="G208" s="208"/>
      <c r="H208" s="236" t="s">
        <v>523</v>
      </c>
      <c r="I208" s="195" t="s">
        <v>138</v>
      </c>
      <c r="J208" s="648">
        <f>SUM(J204:J207)</f>
        <v>1.5398674400000001</v>
      </c>
      <c r="K208" s="649"/>
      <c r="L208" s="3" t="s">
        <v>168</v>
      </c>
      <c r="V208" s="197"/>
    </row>
    <row r="209" spans="1:25" ht="18" hidden="1" customHeight="1">
      <c r="A209" s="196"/>
      <c r="B209" s="47"/>
      <c r="C209" s="47"/>
      <c r="D209" s="47"/>
      <c r="E209" s="47"/>
      <c r="H209" s="27"/>
      <c r="I209" s="28"/>
      <c r="J209" s="211"/>
      <c r="L209" s="47"/>
      <c r="S209" s="27"/>
      <c r="V209" s="197"/>
    </row>
    <row r="210" spans="1:25" ht="18" hidden="1" customHeight="1">
      <c r="A210" s="964" t="s">
        <v>547</v>
      </c>
      <c r="B210" s="965"/>
      <c r="C210" s="965"/>
      <c r="D210" s="965"/>
      <c r="E210" s="965"/>
      <c r="F210" s="965"/>
      <c r="G210" s="965"/>
      <c r="H210" s="965"/>
      <c r="I210" s="965"/>
      <c r="J210" s="965"/>
      <c r="K210" s="965"/>
      <c r="L210" s="965"/>
      <c r="M210" s="965"/>
      <c r="N210" s="965"/>
      <c r="O210" s="965"/>
      <c r="P210" s="965"/>
      <c r="Q210" s="965"/>
      <c r="R210" s="965"/>
      <c r="S210" s="965"/>
      <c r="T210" s="965"/>
      <c r="U210" s="965"/>
      <c r="V210" s="966"/>
    </row>
    <row r="211" spans="1:25" ht="18" hidden="1" customHeight="1">
      <c r="A211" s="967"/>
      <c r="B211" s="965"/>
      <c r="C211" s="965"/>
      <c r="D211" s="965"/>
      <c r="E211" s="965"/>
      <c r="F211" s="965"/>
      <c r="G211" s="965"/>
      <c r="H211" s="965"/>
      <c r="I211" s="965"/>
      <c r="J211" s="965"/>
      <c r="K211" s="965"/>
      <c r="L211" s="965"/>
      <c r="M211" s="965"/>
      <c r="N211" s="965"/>
      <c r="O211" s="965"/>
      <c r="P211" s="965"/>
      <c r="Q211" s="965"/>
      <c r="R211" s="965"/>
      <c r="S211" s="965"/>
      <c r="T211" s="965"/>
      <c r="U211" s="965"/>
      <c r="V211" s="966"/>
    </row>
    <row r="212" spans="1:25" ht="18" hidden="1" customHeight="1">
      <c r="A212" s="196"/>
      <c r="Q212" s="223"/>
      <c r="R212" s="204"/>
      <c r="V212" s="197"/>
    </row>
    <row r="213" spans="1:25" ht="18" hidden="1" customHeight="1">
      <c r="A213" s="196"/>
      <c r="C213" s="14" t="s">
        <v>484</v>
      </c>
      <c r="D213" s="28" t="s">
        <v>138</v>
      </c>
      <c r="E213" s="28" t="s">
        <v>548</v>
      </c>
      <c r="F213" s="120" t="s">
        <v>504</v>
      </c>
      <c r="G213" s="28" t="s">
        <v>358</v>
      </c>
      <c r="H213" s="120" t="s">
        <v>502</v>
      </c>
      <c r="I213" s="28" t="s">
        <v>549</v>
      </c>
      <c r="J213" s="28" t="s">
        <v>506</v>
      </c>
      <c r="K213" s="28" t="s">
        <v>550</v>
      </c>
      <c r="L213" s="28" t="s">
        <v>522</v>
      </c>
      <c r="M213" s="28" t="s">
        <v>326</v>
      </c>
      <c r="N213" s="28">
        <v>1.3</v>
      </c>
      <c r="O213" s="47" t="s">
        <v>361</v>
      </c>
      <c r="V213" s="197"/>
    </row>
    <row r="214" spans="1:25" ht="18" hidden="1" customHeight="1">
      <c r="A214" s="196" t="s">
        <v>551</v>
      </c>
      <c r="C214" s="14"/>
      <c r="D214" s="28"/>
      <c r="E214" s="14"/>
      <c r="F214" s="14"/>
      <c r="G214" s="14"/>
      <c r="H214" s="14"/>
      <c r="I214" s="14"/>
      <c r="J214" s="14"/>
      <c r="K214" s="14"/>
      <c r="L214" s="14"/>
      <c r="M214" s="14"/>
      <c r="N214" s="14"/>
      <c r="O214" s="14"/>
      <c r="V214" s="197"/>
    </row>
    <row r="215" spans="1:25" ht="18" hidden="1" customHeight="1">
      <c r="A215" s="196"/>
      <c r="C215" s="120" t="s">
        <v>504</v>
      </c>
      <c r="D215" s="28" t="s">
        <v>138</v>
      </c>
      <c r="E215" s="28" t="s">
        <v>548</v>
      </c>
      <c r="F215" s="28">
        <v>1.3</v>
      </c>
      <c r="G215" s="28" t="s">
        <v>326</v>
      </c>
      <c r="H215" s="638" t="s">
        <v>484</v>
      </c>
      <c r="I215" s="920"/>
      <c r="J215" s="28" t="s">
        <v>326</v>
      </c>
      <c r="K215" s="28" t="s">
        <v>522</v>
      </c>
      <c r="L215" s="28" t="s">
        <v>552</v>
      </c>
      <c r="M215" s="28" t="s">
        <v>506</v>
      </c>
      <c r="N215" s="47" t="s">
        <v>553</v>
      </c>
      <c r="O215" s="120" t="s">
        <v>502</v>
      </c>
      <c r="V215" s="197"/>
    </row>
    <row r="216" spans="1:25" ht="18" hidden="1" customHeight="1">
      <c r="A216" s="196"/>
      <c r="V216" s="197"/>
    </row>
    <row r="217" spans="1:25" ht="18" hidden="1" customHeight="1">
      <c r="A217" s="180"/>
      <c r="B217" s="5"/>
      <c r="C217" s="47" t="s">
        <v>554</v>
      </c>
      <c r="D217" s="14"/>
      <c r="E217" s="14"/>
      <c r="F217" s="14"/>
      <c r="G217" s="14"/>
      <c r="H217" s="291"/>
      <c r="I217" s="120"/>
      <c r="J217" s="291"/>
      <c r="K217" s="291"/>
      <c r="L217" s="14"/>
      <c r="M217" s="14"/>
      <c r="N217" s="14"/>
      <c r="O217" s="14"/>
      <c r="P217" s="14"/>
      <c r="Q217" s="120" t="s">
        <v>555</v>
      </c>
      <c r="R217" s="102" t="s">
        <v>138</v>
      </c>
      <c r="S217" s="638">
        <f>S129</f>
        <v>600</v>
      </c>
      <c r="T217" s="638"/>
      <c r="U217" s="47" t="s">
        <v>9</v>
      </c>
      <c r="V217" s="197"/>
    </row>
    <row r="218" spans="1:25" ht="18" hidden="1" customHeight="1">
      <c r="A218" s="180"/>
      <c r="B218" s="5"/>
      <c r="C218" s="47" t="s">
        <v>556</v>
      </c>
      <c r="D218" s="14"/>
      <c r="E218" s="14"/>
      <c r="F218" s="18"/>
      <c r="G218" s="18"/>
      <c r="H218" s="291"/>
      <c r="I218" s="120"/>
      <c r="J218" s="291"/>
      <c r="K218" s="291"/>
      <c r="L218" s="14"/>
      <c r="M218" s="14"/>
      <c r="N218" s="14"/>
      <c r="O218" s="14"/>
      <c r="P218" s="14"/>
      <c r="Q218" s="120" t="s">
        <v>434</v>
      </c>
      <c r="R218" s="102" t="s">
        <v>138</v>
      </c>
      <c r="S218" s="638" t="str">
        <f>L196</f>
        <v>-</v>
      </c>
      <c r="T218" s="638"/>
      <c r="U218" s="14" t="s">
        <v>9</v>
      </c>
      <c r="V218" s="197"/>
    </row>
    <row r="219" spans="1:25" ht="18" hidden="1" customHeight="1">
      <c r="A219" s="180"/>
      <c r="B219" s="5"/>
      <c r="C219" s="47" t="s">
        <v>557</v>
      </c>
      <c r="D219" s="14"/>
      <c r="E219" s="14"/>
      <c r="F219" s="18"/>
      <c r="G219" s="18"/>
      <c r="H219" s="291"/>
      <c r="I219" s="120"/>
      <c r="J219" s="291"/>
      <c r="K219" s="291"/>
      <c r="L219" s="14"/>
      <c r="M219" s="14"/>
      <c r="N219" s="14"/>
      <c r="O219" s="14"/>
      <c r="P219" s="14"/>
      <c r="Q219" s="120" t="s">
        <v>484</v>
      </c>
      <c r="R219" s="102" t="s">
        <v>138</v>
      </c>
      <c r="S219" s="638">
        <f>L199</f>
        <v>800</v>
      </c>
      <c r="T219" s="638"/>
      <c r="U219" s="14" t="s">
        <v>316</v>
      </c>
      <c r="V219" s="197"/>
    </row>
    <row r="220" spans="1:25" ht="18" hidden="1" customHeight="1">
      <c r="A220" s="180"/>
      <c r="B220" s="5"/>
      <c r="C220" s="47" t="s">
        <v>558</v>
      </c>
      <c r="D220" s="14"/>
      <c r="E220" s="14"/>
      <c r="F220" s="18"/>
      <c r="G220" s="18"/>
      <c r="H220" s="291"/>
      <c r="I220" s="120"/>
      <c r="J220" s="291"/>
      <c r="K220" s="291"/>
      <c r="L220" s="14"/>
      <c r="M220" s="14"/>
      <c r="N220" s="14"/>
      <c r="O220" s="14"/>
      <c r="P220" s="14"/>
      <c r="Q220" s="120" t="s">
        <v>502</v>
      </c>
      <c r="R220" s="102" t="s">
        <v>138</v>
      </c>
      <c r="S220" s="641">
        <f>P207</f>
        <v>8</v>
      </c>
      <c r="T220" s="638"/>
      <c r="U220" s="14" t="s">
        <v>168</v>
      </c>
      <c r="V220" s="197"/>
      <c r="W220" s="291"/>
      <c r="X220" s="291"/>
      <c r="Y220" s="291"/>
    </row>
    <row r="221" spans="1:25" ht="18" hidden="1" customHeight="1">
      <c r="A221" s="180"/>
      <c r="B221" s="5"/>
      <c r="C221" s="47" t="s">
        <v>559</v>
      </c>
      <c r="D221" s="14"/>
      <c r="E221" s="14"/>
      <c r="F221" s="18"/>
      <c r="G221" s="18"/>
      <c r="H221" s="291"/>
      <c r="I221" s="120"/>
      <c r="J221" s="291"/>
      <c r="K221" s="291"/>
      <c r="L221" s="14"/>
      <c r="M221" s="14"/>
      <c r="N221" s="14"/>
      <c r="O221" s="14"/>
      <c r="P221" s="14"/>
      <c r="Q221" s="120" t="s">
        <v>523</v>
      </c>
      <c r="R221" s="102" t="s">
        <v>138</v>
      </c>
      <c r="S221" s="641">
        <f>J208</f>
        <v>1.5398674400000001</v>
      </c>
      <c r="T221" s="638"/>
      <c r="U221" s="14" t="s">
        <v>168</v>
      </c>
      <c r="V221" s="197"/>
      <c r="X221" s="291"/>
      <c r="Y221" s="291"/>
    </row>
    <row r="222" spans="1:25" ht="18" hidden="1" customHeight="1">
      <c r="A222" s="180"/>
      <c r="B222" s="5"/>
      <c r="C222" s="47" t="s">
        <v>560</v>
      </c>
      <c r="D222" s="14"/>
      <c r="E222" s="14"/>
      <c r="F222" s="14"/>
      <c r="G222" s="14"/>
      <c r="H222" s="291"/>
      <c r="I222" s="120"/>
      <c r="J222" s="291"/>
      <c r="K222" s="291"/>
      <c r="L222" s="14"/>
      <c r="M222" s="14"/>
      <c r="N222" s="14"/>
      <c r="O222" s="14"/>
      <c r="P222" s="14"/>
      <c r="Q222" s="120" t="s">
        <v>522</v>
      </c>
      <c r="R222" s="102" t="s">
        <v>138</v>
      </c>
      <c r="S222" s="638">
        <f>O196</f>
        <v>1</v>
      </c>
      <c r="T222" s="638"/>
      <c r="U222" s="14" t="s">
        <v>9</v>
      </c>
      <c r="V222" s="197"/>
      <c r="X222" s="291"/>
      <c r="Y222" s="291"/>
    </row>
    <row r="223" spans="1:25" ht="18" hidden="1" customHeight="1">
      <c r="A223" s="180"/>
      <c r="B223" s="5"/>
      <c r="C223" s="47" t="s">
        <v>561</v>
      </c>
      <c r="D223" s="14"/>
      <c r="E223" s="14"/>
      <c r="F223" s="14"/>
      <c r="G223" s="14"/>
      <c r="H223" s="291"/>
      <c r="I223" s="120"/>
      <c r="J223" s="291"/>
      <c r="K223" s="291"/>
      <c r="L223" s="14"/>
      <c r="M223" s="14"/>
      <c r="N223" s="14"/>
      <c r="O223" s="14"/>
      <c r="P223" s="14"/>
      <c r="Q223" s="120" t="s">
        <v>506</v>
      </c>
      <c r="R223" s="102" t="s">
        <v>138</v>
      </c>
      <c r="S223" s="638">
        <v>20</v>
      </c>
      <c r="T223" s="638"/>
      <c r="U223" s="47"/>
      <c r="V223" s="197"/>
    </row>
    <row r="224" spans="1:25" ht="18" hidden="1" customHeight="1">
      <c r="A224" s="311"/>
      <c r="B224" s="291"/>
      <c r="C224" s="47" t="s">
        <v>562</v>
      </c>
      <c r="D224" s="14"/>
      <c r="E224" s="14"/>
      <c r="F224" s="14"/>
      <c r="G224" s="14"/>
      <c r="H224" s="291"/>
      <c r="I224" s="120"/>
      <c r="J224" s="291"/>
      <c r="K224" s="291"/>
      <c r="L224" s="14"/>
      <c r="M224" s="14"/>
      <c r="N224" s="291"/>
      <c r="O224" s="291"/>
      <c r="P224" s="14"/>
      <c r="Q224" s="120" t="s">
        <v>504</v>
      </c>
      <c r="R224" s="14"/>
      <c r="S224" s="291"/>
      <c r="T224" s="291"/>
      <c r="U224" s="291"/>
      <c r="V224" s="312"/>
      <c r="W224" s="291"/>
      <c r="X224" s="291"/>
      <c r="Y224" s="291"/>
    </row>
    <row r="225" spans="1:22" ht="18" hidden="1" customHeight="1">
      <c r="A225" s="196"/>
      <c r="V225" s="197"/>
    </row>
    <row r="226" spans="1:22" ht="18" hidden="1" customHeight="1">
      <c r="A226" s="196"/>
      <c r="C226" s="120" t="s">
        <v>504</v>
      </c>
      <c r="D226" s="28" t="s">
        <v>138</v>
      </c>
      <c r="E226" s="28" t="s">
        <v>548</v>
      </c>
      <c r="F226" s="28">
        <v>1.3</v>
      </c>
      <c r="G226" s="28" t="s">
        <v>326</v>
      </c>
      <c r="H226" s="638" t="s">
        <v>484</v>
      </c>
      <c r="I226" s="920"/>
      <c r="J226" s="28" t="s">
        <v>326</v>
      </c>
      <c r="K226" s="28" t="s">
        <v>522</v>
      </c>
      <c r="L226" s="28" t="s">
        <v>552</v>
      </c>
      <c r="M226" s="28" t="s">
        <v>506</v>
      </c>
      <c r="N226" s="47" t="s">
        <v>553</v>
      </c>
      <c r="O226" s="120" t="s">
        <v>502</v>
      </c>
      <c r="V226" s="197"/>
    </row>
    <row r="227" spans="1:22" ht="18" hidden="1" customHeight="1">
      <c r="A227" s="196"/>
      <c r="C227" s="120" t="s">
        <v>504</v>
      </c>
      <c r="D227" s="28" t="s">
        <v>138</v>
      </c>
      <c r="E227" s="28" t="s">
        <v>548</v>
      </c>
      <c r="F227" s="28">
        <v>1.3</v>
      </c>
      <c r="G227" s="28" t="s">
        <v>326</v>
      </c>
      <c r="H227" s="638">
        <f>S219</f>
        <v>800</v>
      </c>
      <c r="I227" s="920"/>
      <c r="J227" s="28" t="s">
        <v>326</v>
      </c>
      <c r="K227" s="28">
        <f>S222</f>
        <v>1</v>
      </c>
      <c r="L227" s="28" t="s">
        <v>552</v>
      </c>
      <c r="M227" s="28">
        <f>S223</f>
        <v>20</v>
      </c>
      <c r="N227" s="47" t="s">
        <v>553</v>
      </c>
      <c r="O227" s="516">
        <f>S220</f>
        <v>8</v>
      </c>
      <c r="V227" s="197"/>
    </row>
    <row r="228" spans="1:22" ht="18" hidden="1" customHeight="1">
      <c r="A228" s="196"/>
      <c r="D228" s="27" t="s">
        <v>138</v>
      </c>
      <c r="E228" s="639">
        <f>((F227*H227*K227)/M227)-O227</f>
        <v>44</v>
      </c>
      <c r="F228" s="639"/>
      <c r="G228" s="27" t="s">
        <v>168</v>
      </c>
      <c r="V228" s="197"/>
    </row>
    <row r="229" spans="1:22" ht="18" hidden="1" customHeight="1">
      <c r="A229" s="196"/>
      <c r="D229" s="27"/>
      <c r="E229" s="27"/>
      <c r="F229" s="27"/>
      <c r="G229" s="27"/>
      <c r="V229" s="197"/>
    </row>
    <row r="230" spans="1:22" ht="18" hidden="1" customHeight="1">
      <c r="A230" s="196"/>
      <c r="D230" s="27"/>
      <c r="E230" s="27"/>
      <c r="F230" s="27"/>
      <c r="G230" s="27"/>
      <c r="V230" s="197"/>
    </row>
    <row r="231" spans="1:22" ht="18" hidden="1" customHeight="1">
      <c r="A231" s="196"/>
      <c r="D231" s="27"/>
      <c r="E231" s="27"/>
      <c r="F231" s="27"/>
      <c r="G231" s="27"/>
      <c r="V231" s="197"/>
    </row>
    <row r="232" spans="1:22" ht="18" hidden="1" customHeight="1">
      <c r="A232" s="196"/>
      <c r="D232" s="27"/>
      <c r="E232" s="27"/>
      <c r="F232" s="27"/>
      <c r="G232" s="27"/>
      <c r="V232" s="197"/>
    </row>
    <row r="233" spans="1:22" ht="18" hidden="1" customHeight="1">
      <c r="A233" s="196"/>
      <c r="D233" s="27"/>
      <c r="E233" s="27"/>
      <c r="F233" s="27"/>
      <c r="G233" s="27"/>
      <c r="V233" s="197"/>
    </row>
    <row r="234" spans="1:22" ht="18" hidden="1" customHeight="1">
      <c r="A234" s="196"/>
      <c r="V234" s="197"/>
    </row>
    <row r="235" spans="1:22" s="14" customFormat="1" ht="18" hidden="1" customHeight="1">
      <c r="A235" s="206"/>
      <c r="B235" s="207"/>
      <c r="C235" s="207"/>
      <c r="D235" s="207"/>
      <c r="E235" s="207"/>
      <c r="F235" s="207"/>
      <c r="G235" s="207"/>
      <c r="H235" s="207"/>
      <c r="I235" s="207"/>
      <c r="J235" s="207"/>
      <c r="K235" s="207"/>
      <c r="L235" s="207"/>
      <c r="M235" s="207"/>
      <c r="N235" s="207"/>
      <c r="O235" s="207"/>
      <c r="P235" s="207"/>
      <c r="Q235" s="236"/>
      <c r="R235" s="194"/>
      <c r="S235" s="237"/>
      <c r="T235" s="207"/>
      <c r="U235" s="207"/>
      <c r="V235" s="140" t="s">
        <v>563</v>
      </c>
    </row>
    <row r="236" spans="1:22" ht="18" hidden="1" customHeight="1">
      <c r="A236" s="238"/>
      <c r="B236" s="239"/>
      <c r="C236" s="239"/>
      <c r="D236" s="239"/>
      <c r="E236" s="239"/>
      <c r="F236" s="239"/>
      <c r="G236" s="239"/>
      <c r="H236" s="239"/>
      <c r="I236" s="239"/>
      <c r="J236" s="239"/>
      <c r="K236" s="239"/>
      <c r="L236" s="239"/>
      <c r="M236" s="239"/>
      <c r="N236" s="239"/>
      <c r="O236" s="239"/>
      <c r="P236" s="239"/>
      <c r="Q236" s="239"/>
      <c r="R236" s="239"/>
      <c r="S236" s="239"/>
      <c r="T236" s="239"/>
      <c r="U236" s="239"/>
      <c r="V236" s="240"/>
    </row>
    <row r="237" spans="1:22" ht="18" hidden="1" customHeight="1">
      <c r="A237" s="196"/>
      <c r="E237" s="256" t="s">
        <v>123</v>
      </c>
      <c r="F237" s="27" t="s">
        <v>138</v>
      </c>
      <c r="G237" s="638" t="s">
        <v>555</v>
      </c>
      <c r="H237" s="638"/>
      <c r="I237" s="203" t="s">
        <v>353</v>
      </c>
      <c r="J237" s="639" t="s">
        <v>434</v>
      </c>
      <c r="K237" s="639"/>
      <c r="V237" s="197"/>
    </row>
    <row r="238" spans="1:22" ht="18" hidden="1" customHeight="1">
      <c r="A238" s="196"/>
      <c r="F238" s="27" t="s">
        <v>138</v>
      </c>
      <c r="G238" s="639">
        <f>S217</f>
        <v>600</v>
      </c>
      <c r="H238" s="639"/>
      <c r="I238" s="203" t="s">
        <v>353</v>
      </c>
      <c r="J238" s="639" t="str">
        <f>S218</f>
        <v>-</v>
      </c>
      <c r="K238" s="639"/>
      <c r="V238" s="197"/>
    </row>
    <row r="239" spans="1:22" ht="18" hidden="1" customHeight="1">
      <c r="A239" s="196"/>
      <c r="F239" s="27" t="s">
        <v>138</v>
      </c>
      <c r="G239" s="637" t="e">
        <f>G238/J238</f>
        <v>#VALUE!</v>
      </c>
      <c r="H239" s="637"/>
      <c r="I239" s="27"/>
      <c r="J239" s="27"/>
      <c r="K239" s="27"/>
      <c r="V239" s="197"/>
    </row>
    <row r="240" spans="1:22" ht="18" hidden="1" customHeight="1">
      <c r="A240" s="196"/>
      <c r="V240" s="197"/>
    </row>
    <row r="241" spans="1:22" ht="18" hidden="1" customHeight="1">
      <c r="A241" s="196"/>
      <c r="E241" s="256" t="s">
        <v>564</v>
      </c>
      <c r="F241" s="27" t="s">
        <v>138</v>
      </c>
      <c r="G241" s="27" t="s">
        <v>506</v>
      </c>
      <c r="H241" s="27" t="s">
        <v>565</v>
      </c>
      <c r="I241" s="120" t="s">
        <v>502</v>
      </c>
      <c r="J241" s="28" t="s">
        <v>358</v>
      </c>
      <c r="K241" s="120" t="s">
        <v>504</v>
      </c>
      <c r="L241" s="28" t="s">
        <v>550</v>
      </c>
      <c r="M241" s="120" t="s">
        <v>502</v>
      </c>
      <c r="N241" s="28" t="s">
        <v>358</v>
      </c>
      <c r="O241" s="120" t="s">
        <v>523</v>
      </c>
      <c r="P241" s="308" t="s">
        <v>361</v>
      </c>
      <c r="V241" s="197"/>
    </row>
    <row r="242" spans="1:22" ht="18" hidden="1" customHeight="1">
      <c r="A242" s="196"/>
      <c r="F242" s="27" t="s">
        <v>138</v>
      </c>
      <c r="G242" s="254">
        <f>S223</f>
        <v>20</v>
      </c>
      <c r="H242" s="257" t="s">
        <v>565</v>
      </c>
      <c r="I242" s="313">
        <f>S220</f>
        <v>8</v>
      </c>
      <c r="J242" s="257" t="s">
        <v>358</v>
      </c>
      <c r="K242" s="313">
        <f>E228</f>
        <v>44</v>
      </c>
      <c r="L242" s="257" t="s">
        <v>550</v>
      </c>
      <c r="M242" s="313">
        <f>S220</f>
        <v>8</v>
      </c>
      <c r="N242" s="257" t="s">
        <v>358</v>
      </c>
      <c r="O242" s="313">
        <f>S221</f>
        <v>1.5398674400000001</v>
      </c>
      <c r="P242" s="474" t="s">
        <v>361</v>
      </c>
      <c r="V242" s="197"/>
    </row>
    <row r="243" spans="1:22" ht="18" hidden="1" customHeight="1">
      <c r="A243" s="196"/>
      <c r="F243" s="27" t="s">
        <v>138</v>
      </c>
      <c r="G243" s="637">
        <f>G242*((I242+K242)/(M242+O242))</f>
        <v>109.01618985179526</v>
      </c>
      <c r="H243" s="637"/>
      <c r="V243" s="197"/>
    </row>
    <row r="244" spans="1:22" ht="18" hidden="1" customHeight="1">
      <c r="A244" s="196"/>
      <c r="V244" s="197"/>
    </row>
    <row r="245" spans="1:22" ht="18" hidden="1" customHeight="1">
      <c r="A245" s="196"/>
      <c r="E245" s="256" t="s">
        <v>566</v>
      </c>
      <c r="F245" s="27" t="e">
        <f>IF(D246&gt;G246,"&gt;","&lt;")</f>
        <v>#VALUE!</v>
      </c>
      <c r="G245" s="308" t="s">
        <v>123</v>
      </c>
      <c r="V245" s="197"/>
    </row>
    <row r="246" spans="1:22" ht="18" hidden="1" customHeight="1">
      <c r="A246" s="196"/>
      <c r="D246" s="637">
        <f>G243</f>
        <v>109.01618985179526</v>
      </c>
      <c r="E246" s="637"/>
      <c r="F246" s="27" t="e">
        <f>F245</f>
        <v>#VALUE!</v>
      </c>
      <c r="G246" s="637" t="e">
        <f>G239</f>
        <v>#VALUE!</v>
      </c>
      <c r="H246" s="637"/>
      <c r="V246" s="197"/>
    </row>
    <row r="247" spans="1:22" ht="18" hidden="1" customHeight="1">
      <c r="A247" s="196"/>
      <c r="E247" s="256" t="s">
        <v>489</v>
      </c>
      <c r="G247" s="18" t="e">
        <f>IF(F245="&gt;","Suitably Dimentioned","Under Dimentioned")</f>
        <v>#VALUE!</v>
      </c>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ht="18" hidden="1" customHeight="1">
      <c r="A262" s="196"/>
      <c r="V262" s="197"/>
    </row>
    <row r="263" spans="1:22" ht="18" hidden="1" customHeight="1">
      <c r="A263" s="196"/>
      <c r="V263" s="197"/>
    </row>
    <row r="264" spans="1:22" ht="18" hidden="1" customHeight="1">
      <c r="A264" s="196"/>
      <c r="V264" s="197"/>
    </row>
    <row r="265" spans="1:22" ht="18" hidden="1" customHeight="1">
      <c r="A265" s="196"/>
      <c r="V265" s="197"/>
    </row>
    <row r="266" spans="1:22" ht="18" hidden="1" customHeight="1">
      <c r="A266" s="196"/>
      <c r="V266" s="197"/>
    </row>
    <row r="267" spans="1:22" ht="18" hidden="1" customHeight="1">
      <c r="A267" s="196"/>
      <c r="V267" s="197"/>
    </row>
    <row r="268" spans="1:22" ht="18" hidden="1" customHeight="1">
      <c r="A268" s="196"/>
      <c r="V268" s="197"/>
    </row>
    <row r="269" spans="1:22" ht="18" hidden="1" customHeight="1">
      <c r="A269" s="196"/>
      <c r="V269" s="197"/>
    </row>
    <row r="270" spans="1:22" ht="18" hidden="1" customHeight="1">
      <c r="A270" s="196"/>
      <c r="V270" s="197"/>
    </row>
    <row r="271" spans="1:22" ht="18" hidden="1" customHeight="1">
      <c r="A271" s="196"/>
      <c r="V271" s="197"/>
    </row>
    <row r="272" spans="1:22" ht="18" hidden="1" customHeight="1">
      <c r="A272" s="196"/>
      <c r="V272" s="197"/>
    </row>
    <row r="273" spans="1:22" ht="18" hidden="1" customHeight="1">
      <c r="A273" s="196"/>
      <c r="V273" s="197"/>
    </row>
    <row r="274" spans="1:22" ht="18" hidden="1" customHeight="1">
      <c r="A274" s="196"/>
      <c r="V274" s="197"/>
    </row>
    <row r="275" spans="1:22" ht="18" hidden="1" customHeight="1">
      <c r="A275" s="196"/>
      <c r="V275" s="197"/>
    </row>
    <row r="276" spans="1:22" ht="18" hidden="1" customHeight="1">
      <c r="A276" s="196"/>
      <c r="V276" s="197"/>
    </row>
    <row r="277" spans="1:22" ht="18" hidden="1" customHeight="1">
      <c r="A277" s="196"/>
      <c r="V277" s="197"/>
    </row>
    <row r="278" spans="1:22" ht="18" hidden="1" customHeight="1">
      <c r="A278" s="196"/>
      <c r="V278" s="197"/>
    </row>
    <row r="279" spans="1:22" s="14" customFormat="1" ht="18" customHeight="1">
      <c r="A279" s="206"/>
      <c r="B279" s="207"/>
      <c r="C279" s="207"/>
      <c r="D279" s="207"/>
      <c r="E279" s="207"/>
      <c r="F279" s="207"/>
      <c r="G279" s="207"/>
      <c r="H279" s="207"/>
      <c r="I279" s="207"/>
      <c r="J279" s="207"/>
      <c r="K279" s="207"/>
      <c r="L279" s="207"/>
      <c r="M279" s="207"/>
      <c r="N279" s="207"/>
      <c r="O279" s="207"/>
      <c r="P279" s="207"/>
      <c r="Q279" s="236"/>
      <c r="R279" s="194"/>
      <c r="S279" s="237"/>
      <c r="T279" s="207"/>
      <c r="U279" s="207"/>
      <c r="V279" s="140"/>
    </row>
    <row r="280" spans="1:22" ht="18" customHeight="1">
      <c r="A280" s="238"/>
      <c r="B280" s="239"/>
      <c r="C280" s="239"/>
      <c r="D280" s="239"/>
      <c r="E280" s="239"/>
      <c r="F280" s="239"/>
      <c r="G280" s="239"/>
      <c r="H280" s="239"/>
      <c r="I280" s="239"/>
      <c r="J280" s="239"/>
      <c r="K280" s="239"/>
      <c r="L280" s="239"/>
      <c r="M280" s="239"/>
      <c r="N280" s="239"/>
      <c r="O280" s="239"/>
      <c r="P280" s="239"/>
      <c r="Q280" s="239"/>
      <c r="R280" s="239"/>
      <c r="S280" s="239"/>
      <c r="T280" s="239"/>
      <c r="U280" s="239"/>
      <c r="V280" s="240"/>
    </row>
    <row r="281" spans="1:22" ht="18" customHeight="1">
      <c r="A281" s="274" t="s">
        <v>543</v>
      </c>
      <c r="B281" s="14"/>
      <c r="C281" s="14"/>
      <c r="D281" s="120"/>
      <c r="E281" s="120"/>
      <c r="F281" s="18"/>
      <c r="G281" s="18"/>
      <c r="H281" s="14"/>
      <c r="I281" s="14"/>
      <c r="J281" s="14"/>
      <c r="K281" s="14"/>
      <c r="L281" s="14"/>
      <c r="M281" s="14"/>
      <c r="N281" s="14"/>
      <c r="O281" s="14"/>
      <c r="P281" s="28"/>
      <c r="Q281" s="120"/>
      <c r="R281" s="47"/>
      <c r="S281" s="218"/>
      <c r="T281" s="271"/>
      <c r="U281" s="14"/>
      <c r="V281" s="97"/>
    </row>
    <row r="282" spans="1:22" customFormat="1" ht="18" customHeight="1">
      <c r="A282" s="782" t="s">
        <v>97</v>
      </c>
      <c r="B282" s="782"/>
      <c r="C282" s="612"/>
      <c r="D282" s="782" t="s">
        <v>98</v>
      </c>
      <c r="E282" s="782"/>
      <c r="F282" s="782"/>
      <c r="G282" s="782" t="s">
        <v>99</v>
      </c>
      <c r="H282" s="782"/>
      <c r="I282" s="782" t="s">
        <v>100</v>
      </c>
      <c r="J282" s="782"/>
      <c r="K282" s="782" t="s">
        <v>513</v>
      </c>
      <c r="L282" s="782"/>
      <c r="M282" s="782" t="s">
        <v>514</v>
      </c>
      <c r="N282" s="782"/>
      <c r="O282" s="782" t="s">
        <v>515</v>
      </c>
      <c r="P282" s="782"/>
      <c r="Q282" s="782" t="s">
        <v>516</v>
      </c>
      <c r="R282" s="782"/>
      <c r="S282" s="782" t="s">
        <v>105</v>
      </c>
      <c r="T282" s="782"/>
      <c r="U282" s="782"/>
      <c r="V282" s="782"/>
    </row>
    <row r="283" spans="1:22" customFormat="1" ht="18" customHeight="1">
      <c r="A283" s="782"/>
      <c r="B283" s="782"/>
      <c r="C283" s="612"/>
      <c r="D283" s="782"/>
      <c r="E283" s="782"/>
      <c r="F283" s="782"/>
      <c r="G283" s="782"/>
      <c r="H283" s="782"/>
      <c r="I283" s="782"/>
      <c r="J283" s="782"/>
      <c r="K283" s="782"/>
      <c r="L283" s="782"/>
      <c r="M283" s="782"/>
      <c r="N283" s="782"/>
      <c r="O283" s="782"/>
      <c r="P283" s="782"/>
      <c r="Q283" s="782"/>
      <c r="R283" s="782"/>
      <c r="S283" s="782"/>
      <c r="T283" s="782"/>
      <c r="U283" s="782"/>
      <c r="V283" s="782"/>
    </row>
    <row r="284" spans="1:22" customFormat="1" ht="18" customHeight="1">
      <c r="A284" s="782"/>
      <c r="B284" s="782"/>
      <c r="C284" s="612"/>
      <c r="D284" s="782"/>
      <c r="E284" s="782"/>
      <c r="F284" s="782"/>
      <c r="G284" s="782"/>
      <c r="H284" s="782"/>
      <c r="I284" s="782"/>
      <c r="J284" s="782"/>
      <c r="K284" s="782"/>
      <c r="L284" s="782"/>
      <c r="M284" s="782"/>
      <c r="N284" s="782"/>
      <c r="O284" s="782"/>
      <c r="P284" s="782"/>
      <c r="Q284" s="782"/>
      <c r="R284" s="782"/>
      <c r="S284" s="782"/>
      <c r="T284" s="782"/>
      <c r="U284" s="782"/>
      <c r="V284" s="782"/>
    </row>
    <row r="285" spans="1:22" customFormat="1" ht="18" customHeight="1">
      <c r="A285" s="782"/>
      <c r="B285" s="782"/>
      <c r="C285" s="612"/>
      <c r="D285" s="782"/>
      <c r="E285" s="782"/>
      <c r="F285" s="782"/>
      <c r="G285" s="782"/>
      <c r="H285" s="782"/>
      <c r="I285" s="782"/>
      <c r="J285" s="782"/>
      <c r="K285" s="782"/>
      <c r="L285" s="782"/>
      <c r="M285" s="782"/>
      <c r="N285" s="782"/>
      <c r="O285" s="782"/>
      <c r="P285" s="782"/>
      <c r="Q285" s="782"/>
      <c r="R285" s="782"/>
      <c r="S285" s="782"/>
      <c r="T285" s="782"/>
      <c r="U285" s="782"/>
      <c r="V285" s="782"/>
    </row>
    <row r="286" spans="1:22" customFormat="1" ht="18" customHeight="1">
      <c r="A286" s="623" t="str">
        <f>B7</f>
        <v>T1</v>
      </c>
      <c r="B286" s="623" t="str">
        <f>D7</f>
        <v>Core1</v>
      </c>
      <c r="C286" s="623"/>
      <c r="D286" s="613">
        <f>H10</f>
        <v>100</v>
      </c>
      <c r="E286" s="613"/>
      <c r="F286" s="624">
        <f>O10</f>
        <v>1</v>
      </c>
      <c r="G286" s="613">
        <f>'CT-VT Burdens'!S19</f>
        <v>80</v>
      </c>
      <c r="H286" s="783">
        <f>'CT-VT Burdens'!S10</f>
        <v>2.5</v>
      </c>
      <c r="I286" s="783" t="str">
        <f>H11</f>
        <v>PX</v>
      </c>
      <c r="J286" s="783"/>
      <c r="K286" s="612">
        <f>H12</f>
        <v>0.32</v>
      </c>
      <c r="L286" s="612"/>
      <c r="M286" s="612">
        <f>H13</f>
        <v>145</v>
      </c>
      <c r="N286" s="612"/>
      <c r="O286" s="613">
        <f>H14</f>
        <v>50</v>
      </c>
      <c r="P286" s="613"/>
      <c r="Q286" s="629" t="str">
        <f>CONCATENATE(T7,T8,T9)</f>
        <v>REC670REF615FMS</v>
      </c>
      <c r="R286" s="629"/>
      <c r="S286" s="786" t="s">
        <v>544</v>
      </c>
      <c r="T286" s="613"/>
      <c r="U286" s="613"/>
      <c r="V286" s="613"/>
    </row>
    <row r="287" spans="1:22" customFormat="1" ht="18" customHeight="1">
      <c r="A287" s="623"/>
      <c r="B287" s="623"/>
      <c r="C287" s="623"/>
      <c r="D287" s="786" t="s">
        <v>7</v>
      </c>
      <c r="E287" s="613"/>
      <c r="F287" s="625"/>
      <c r="G287" s="613"/>
      <c r="H287" s="613"/>
      <c r="I287" s="783"/>
      <c r="J287" s="783"/>
      <c r="K287" s="785" t="s">
        <v>7</v>
      </c>
      <c r="L287" s="612"/>
      <c r="M287" s="785" t="s">
        <v>7</v>
      </c>
      <c r="N287" s="612"/>
      <c r="O287" s="786" t="s">
        <v>7</v>
      </c>
      <c r="P287" s="613"/>
      <c r="Q287" s="629"/>
      <c r="R287" s="629"/>
      <c r="S287" s="786" t="s">
        <v>7</v>
      </c>
      <c r="T287" s="613"/>
      <c r="U287" s="613"/>
      <c r="V287" s="613"/>
    </row>
    <row r="288" spans="1:22" customFormat="1" ht="18" customHeight="1">
      <c r="A288" s="623"/>
      <c r="B288" s="623"/>
      <c r="C288" s="623"/>
      <c r="D288" s="786" t="s">
        <v>7</v>
      </c>
      <c r="E288" s="613"/>
      <c r="F288" s="626"/>
      <c r="G288" s="613"/>
      <c r="H288" s="613"/>
      <c r="I288" s="783"/>
      <c r="J288" s="783"/>
      <c r="K288" s="785" t="s">
        <v>7</v>
      </c>
      <c r="L288" s="612"/>
      <c r="M288" s="785" t="s">
        <v>7</v>
      </c>
      <c r="N288" s="612"/>
      <c r="O288" s="786" t="s">
        <v>7</v>
      </c>
      <c r="P288" s="613"/>
      <c r="Q288" s="629"/>
      <c r="R288" s="629"/>
      <c r="S288" s="613" t="s">
        <v>7</v>
      </c>
      <c r="T288" s="613"/>
      <c r="U288" s="613"/>
      <c r="V288" s="613"/>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196"/>
      <c r="V314" s="197"/>
    </row>
    <row r="315" spans="1:22" ht="18" customHeight="1">
      <c r="A315" s="196"/>
      <c r="V315" s="197"/>
    </row>
    <row r="316" spans="1:22" ht="18" customHeight="1">
      <c r="A316" s="196"/>
      <c r="V316" s="197"/>
    </row>
    <row r="317" spans="1:22" ht="18" customHeight="1">
      <c r="A317" s="196"/>
      <c r="V317" s="197"/>
    </row>
    <row r="318" spans="1:22" ht="18" customHeight="1">
      <c r="A318" s="196"/>
      <c r="V318" s="197"/>
    </row>
    <row r="319" spans="1:22" ht="18" customHeight="1">
      <c r="A319" s="196"/>
      <c r="V319" s="197"/>
    </row>
    <row r="320" spans="1:22" ht="18" customHeight="1">
      <c r="A320" s="196"/>
      <c r="V320" s="197"/>
    </row>
    <row r="321" spans="1:22" ht="18" customHeight="1">
      <c r="A321" s="196"/>
      <c r="V321" s="197"/>
    </row>
    <row r="322" spans="1:22" s="14" customFormat="1" ht="18" customHeight="1">
      <c r="A322" s="206"/>
      <c r="B322" s="207"/>
      <c r="C322" s="207"/>
      <c r="D322" s="207"/>
      <c r="E322" s="207"/>
      <c r="F322" s="207"/>
      <c r="G322" s="207"/>
      <c r="H322" s="207"/>
      <c r="I322" s="207"/>
      <c r="J322" s="207"/>
      <c r="K322" s="207"/>
      <c r="L322" s="207"/>
      <c r="M322" s="207"/>
      <c r="N322" s="207"/>
      <c r="O322" s="207"/>
      <c r="P322" s="207"/>
      <c r="Q322" s="236"/>
      <c r="R322" s="194"/>
      <c r="S322" s="237"/>
      <c r="T322" s="207"/>
      <c r="U322" s="207"/>
      <c r="V322" s="140"/>
    </row>
  </sheetData>
  <mergeCells count="236">
    <mergeCell ref="K288:L288"/>
    <mergeCell ref="M288:N288"/>
    <mergeCell ref="O288:P288"/>
    <mergeCell ref="S288:V288"/>
    <mergeCell ref="I286:J288"/>
    <mergeCell ref="K286:L286"/>
    <mergeCell ref="M286:N286"/>
    <mergeCell ref="O286:P286"/>
    <mergeCell ref="Q286:R288"/>
    <mergeCell ref="S286:V286"/>
    <mergeCell ref="K287:L287"/>
    <mergeCell ref="M287:N287"/>
    <mergeCell ref="O287:P287"/>
    <mergeCell ref="S287:V287"/>
    <mergeCell ref="A286:A288"/>
    <mergeCell ref="B286:C288"/>
    <mergeCell ref="D286:E286"/>
    <mergeCell ref="F286:F288"/>
    <mergeCell ref="G286:G288"/>
    <mergeCell ref="H286:H288"/>
    <mergeCell ref="D287:E287"/>
    <mergeCell ref="D288:E288"/>
    <mergeCell ref="I282:J285"/>
    <mergeCell ref="K282:L285"/>
    <mergeCell ref="M282:N285"/>
    <mergeCell ref="O282:P285"/>
    <mergeCell ref="Q282:R285"/>
    <mergeCell ref="S282:V285"/>
    <mergeCell ref="G243:H243"/>
    <mergeCell ref="D246:E246"/>
    <mergeCell ref="G246:H246"/>
    <mergeCell ref="A282:C285"/>
    <mergeCell ref="D282:F285"/>
    <mergeCell ref="G282:H285"/>
    <mergeCell ref="E228:F228"/>
    <mergeCell ref="G237:H237"/>
    <mergeCell ref="J237:K237"/>
    <mergeCell ref="G238:H238"/>
    <mergeCell ref="J238:K238"/>
    <mergeCell ref="G239:H239"/>
    <mergeCell ref="S220:T220"/>
    <mergeCell ref="S221:T221"/>
    <mergeCell ref="S222:T222"/>
    <mergeCell ref="S223:T223"/>
    <mergeCell ref="H226:I226"/>
    <mergeCell ref="H227:I227"/>
    <mergeCell ref="J208:K208"/>
    <mergeCell ref="A210:V211"/>
    <mergeCell ref="H215:I215"/>
    <mergeCell ref="S217:T217"/>
    <mergeCell ref="S218:T218"/>
    <mergeCell ref="S219:T219"/>
    <mergeCell ref="L200:M200"/>
    <mergeCell ref="J204:K204"/>
    <mergeCell ref="J205:K205"/>
    <mergeCell ref="J206:K206"/>
    <mergeCell ref="J207:K207"/>
    <mergeCell ref="P207:Q207"/>
    <mergeCell ref="H196:I196"/>
    <mergeCell ref="J196:K196"/>
    <mergeCell ref="L196:M196"/>
    <mergeCell ref="L197:M197"/>
    <mergeCell ref="L198:M198"/>
    <mergeCell ref="L199:M199"/>
    <mergeCell ref="T193:U193"/>
    <mergeCell ref="T194:U194"/>
    <mergeCell ref="H195:I195"/>
    <mergeCell ref="J195:K195"/>
    <mergeCell ref="L195:M195"/>
    <mergeCell ref="T195:U195"/>
    <mergeCell ref="G155:H155"/>
    <mergeCell ref="D158:E158"/>
    <mergeCell ref="G158:H158"/>
    <mergeCell ref="B193:C193"/>
    <mergeCell ref="D193:E193"/>
    <mergeCell ref="H193:M193"/>
    <mergeCell ref="E140:F140"/>
    <mergeCell ref="G149:H149"/>
    <mergeCell ref="J149:K149"/>
    <mergeCell ref="G150:H150"/>
    <mergeCell ref="J150:K150"/>
    <mergeCell ref="G151:H151"/>
    <mergeCell ref="S132:T132"/>
    <mergeCell ref="S133:T133"/>
    <mergeCell ref="S134:T134"/>
    <mergeCell ref="S135:T135"/>
    <mergeCell ref="H138:I138"/>
    <mergeCell ref="H139:I139"/>
    <mergeCell ref="J120:K120"/>
    <mergeCell ref="A122:V123"/>
    <mergeCell ref="H127:I127"/>
    <mergeCell ref="S129:T129"/>
    <mergeCell ref="S130:T130"/>
    <mergeCell ref="S131:T131"/>
    <mergeCell ref="J112:K112"/>
    <mergeCell ref="J116:K116"/>
    <mergeCell ref="J117:K117"/>
    <mergeCell ref="J118:K118"/>
    <mergeCell ref="J119:K119"/>
    <mergeCell ref="P119:Q119"/>
    <mergeCell ref="H108:I108"/>
    <mergeCell ref="J108:K108"/>
    <mergeCell ref="L108:M108"/>
    <mergeCell ref="J109:K109"/>
    <mergeCell ref="J110:K110"/>
    <mergeCell ref="J111:K111"/>
    <mergeCell ref="B105:C105"/>
    <mergeCell ref="D105:E105"/>
    <mergeCell ref="H105:M105"/>
    <mergeCell ref="T105:U105"/>
    <mergeCell ref="T106:U106"/>
    <mergeCell ref="H107:I107"/>
    <mergeCell ref="J107:K107"/>
    <mergeCell ref="L107:M107"/>
    <mergeCell ref="T107:U107"/>
    <mergeCell ref="D66:E66"/>
    <mergeCell ref="E70:F70"/>
    <mergeCell ref="H70:I70"/>
    <mergeCell ref="I63:J63"/>
    <mergeCell ref="K63:K64"/>
    <mergeCell ref="L63:L64"/>
    <mergeCell ref="M63:M64"/>
    <mergeCell ref="N63:N64"/>
    <mergeCell ref="O63:O64"/>
    <mergeCell ref="S57:T57"/>
    <mergeCell ref="S58:T58"/>
    <mergeCell ref="S59:T59"/>
    <mergeCell ref="S60:T60"/>
    <mergeCell ref="S61:T61"/>
    <mergeCell ref="B63:C64"/>
    <mergeCell ref="D63:D64"/>
    <mergeCell ref="E63:E64"/>
    <mergeCell ref="F63:G64"/>
    <mergeCell ref="H63:H64"/>
    <mergeCell ref="P63:P64"/>
    <mergeCell ref="Q63:S63"/>
    <mergeCell ref="T63:T64"/>
    <mergeCell ref="I64:J64"/>
    <mergeCell ref="S51:S52"/>
    <mergeCell ref="T51:T52"/>
    <mergeCell ref="H52:I52"/>
    <mergeCell ref="H53:I53"/>
    <mergeCell ref="S55:T55"/>
    <mergeCell ref="S56:T56"/>
    <mergeCell ref="K51:K52"/>
    <mergeCell ref="L51:L52"/>
    <mergeCell ref="M51:M52"/>
    <mergeCell ref="N51:N52"/>
    <mergeCell ref="O51:O52"/>
    <mergeCell ref="P51:R51"/>
    <mergeCell ref="S54:T54"/>
    <mergeCell ref="D40:E40"/>
    <mergeCell ref="B51:D52"/>
    <mergeCell ref="E51:E52"/>
    <mergeCell ref="F51:F52"/>
    <mergeCell ref="G51:G52"/>
    <mergeCell ref="H51:I51"/>
    <mergeCell ref="J51:J52"/>
    <mergeCell ref="K37:K38"/>
    <mergeCell ref="L37:L38"/>
    <mergeCell ref="S32:T32"/>
    <mergeCell ref="S33:T33"/>
    <mergeCell ref="S34:T34"/>
    <mergeCell ref="S35:T35"/>
    <mergeCell ref="B37:C38"/>
    <mergeCell ref="D37:D38"/>
    <mergeCell ref="E37:E38"/>
    <mergeCell ref="F37:G38"/>
    <mergeCell ref="H37:H38"/>
    <mergeCell ref="I37:J37"/>
    <mergeCell ref="Q37:S37"/>
    <mergeCell ref="T37:T38"/>
    <mergeCell ref="I38:J38"/>
    <mergeCell ref="M37:M38"/>
    <mergeCell ref="N37:N38"/>
    <mergeCell ref="O37:O38"/>
    <mergeCell ref="P37:P38"/>
    <mergeCell ref="T25:T26"/>
    <mergeCell ref="H26:I26"/>
    <mergeCell ref="H27:I27"/>
    <mergeCell ref="S29:T29"/>
    <mergeCell ref="S30:T30"/>
    <mergeCell ref="S31:T31"/>
    <mergeCell ref="L25:L26"/>
    <mergeCell ref="M25:M26"/>
    <mergeCell ref="N25:N26"/>
    <mergeCell ref="O25:O26"/>
    <mergeCell ref="P25:R25"/>
    <mergeCell ref="S25:S26"/>
    <mergeCell ref="S28:T28"/>
    <mergeCell ref="J22:K22"/>
    <mergeCell ref="B25:D26"/>
    <mergeCell ref="E25:E26"/>
    <mergeCell ref="F25:F26"/>
    <mergeCell ref="G25:G26"/>
    <mergeCell ref="H25:I25"/>
    <mergeCell ref="J25:J26"/>
    <mergeCell ref="K25:K26"/>
    <mergeCell ref="H14:I14"/>
    <mergeCell ref="J18:K18"/>
    <mergeCell ref="J19:K19"/>
    <mergeCell ref="J20:K20"/>
    <mergeCell ref="J21:K21"/>
    <mergeCell ref="P21:Q21"/>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159 G247">
    <cfRule type="cellIs" dxfId="50" priority="2" stopIfTrue="1" operator="equal">
      <formula>"Under Dimentioned"</formula>
    </cfRule>
  </conditionalFormatting>
  <conditionalFormatting sqref="H72">
    <cfRule type="cellIs" dxfId="49" priority="1" stopIfTrue="1" operator="equal">
      <formula>"Under Dimentioned"</formula>
    </cfRule>
  </conditionalFormatting>
  <dataValidations count="1">
    <dataValidation type="list" allowBlank="1" showInputMessage="1" showErrorMessage="1" sqref="D193 IZ193 SV193 ACR193 AMN193 AWJ193 BGF193 BQB193 BZX193 CJT193 CTP193 DDL193 DNH193 DXD193 EGZ193 EQV193 FAR193 FKN193 FUJ193 GEF193 GOB193 GXX193 HHT193 HRP193 IBL193 ILH193 IVD193 JEZ193 JOV193 JYR193 KIN193 KSJ193 LCF193 LMB193 LVX193 MFT193 MPP193 MZL193 NJH193 NTD193 OCZ193 OMV193 OWR193 PGN193 PQJ193 QAF193 QKB193 QTX193 RDT193 RNP193 RXL193 SHH193 SRD193 TAZ193 TKV193 TUR193 UEN193 UOJ193 UYF193 VIB193 VRX193 WBT193 WLP193 WVL193 D65728 IZ65728 SV65728 ACR65728 AMN65728 AWJ65728 BGF65728 BQB65728 BZX65728 CJT65728 CTP65728 DDL65728 DNH65728 DXD65728 EGZ65728 EQV65728 FAR65728 FKN65728 FUJ65728 GEF65728 GOB65728 GXX65728 HHT65728 HRP65728 IBL65728 ILH65728 IVD65728 JEZ65728 JOV65728 JYR65728 KIN65728 KSJ65728 LCF65728 LMB65728 LVX65728 MFT65728 MPP65728 MZL65728 NJH65728 NTD65728 OCZ65728 OMV65728 OWR65728 PGN65728 PQJ65728 QAF65728 QKB65728 QTX65728 RDT65728 RNP65728 RXL65728 SHH65728 SRD65728 TAZ65728 TKV65728 TUR65728 UEN65728 UOJ65728 UYF65728 VIB65728 VRX65728 WBT65728 WLP65728 WVL65728 D131264 IZ131264 SV131264 ACR131264 AMN131264 AWJ131264 BGF131264 BQB131264 BZX131264 CJT131264 CTP131264 DDL131264 DNH131264 DXD131264 EGZ131264 EQV131264 FAR131264 FKN131264 FUJ131264 GEF131264 GOB131264 GXX131264 HHT131264 HRP131264 IBL131264 ILH131264 IVD131264 JEZ131264 JOV131264 JYR131264 KIN131264 KSJ131264 LCF131264 LMB131264 LVX131264 MFT131264 MPP131264 MZL131264 NJH131264 NTD131264 OCZ131264 OMV131264 OWR131264 PGN131264 PQJ131264 QAF131264 QKB131264 QTX131264 RDT131264 RNP131264 RXL131264 SHH131264 SRD131264 TAZ131264 TKV131264 TUR131264 UEN131264 UOJ131264 UYF131264 VIB131264 VRX131264 WBT131264 WLP131264 WVL131264 D196800 IZ196800 SV196800 ACR196800 AMN196800 AWJ196800 BGF196800 BQB196800 BZX196800 CJT196800 CTP196800 DDL196800 DNH196800 DXD196800 EGZ196800 EQV196800 FAR196800 FKN196800 FUJ196800 GEF196800 GOB196800 GXX196800 HHT196800 HRP196800 IBL196800 ILH196800 IVD196800 JEZ196800 JOV196800 JYR196800 KIN196800 KSJ196800 LCF196800 LMB196800 LVX196800 MFT196800 MPP196800 MZL196800 NJH196800 NTD196800 OCZ196800 OMV196800 OWR196800 PGN196800 PQJ196800 QAF196800 QKB196800 QTX196800 RDT196800 RNP196800 RXL196800 SHH196800 SRD196800 TAZ196800 TKV196800 TUR196800 UEN196800 UOJ196800 UYF196800 VIB196800 VRX196800 WBT196800 WLP196800 WVL196800 D262336 IZ262336 SV262336 ACR262336 AMN262336 AWJ262336 BGF262336 BQB262336 BZX262336 CJT262336 CTP262336 DDL262336 DNH262336 DXD262336 EGZ262336 EQV262336 FAR262336 FKN262336 FUJ262336 GEF262336 GOB262336 GXX262336 HHT262336 HRP262336 IBL262336 ILH262336 IVD262336 JEZ262336 JOV262336 JYR262336 KIN262336 KSJ262336 LCF262336 LMB262336 LVX262336 MFT262336 MPP262336 MZL262336 NJH262336 NTD262336 OCZ262336 OMV262336 OWR262336 PGN262336 PQJ262336 QAF262336 QKB262336 QTX262336 RDT262336 RNP262336 RXL262336 SHH262336 SRD262336 TAZ262336 TKV262336 TUR262336 UEN262336 UOJ262336 UYF262336 VIB262336 VRX262336 WBT262336 WLP262336 WVL262336 D327872 IZ327872 SV327872 ACR327872 AMN327872 AWJ327872 BGF327872 BQB327872 BZX327872 CJT327872 CTP327872 DDL327872 DNH327872 DXD327872 EGZ327872 EQV327872 FAR327872 FKN327872 FUJ327872 GEF327872 GOB327872 GXX327872 HHT327872 HRP327872 IBL327872 ILH327872 IVD327872 JEZ327872 JOV327872 JYR327872 KIN327872 KSJ327872 LCF327872 LMB327872 LVX327872 MFT327872 MPP327872 MZL327872 NJH327872 NTD327872 OCZ327872 OMV327872 OWR327872 PGN327872 PQJ327872 QAF327872 QKB327872 QTX327872 RDT327872 RNP327872 RXL327872 SHH327872 SRD327872 TAZ327872 TKV327872 TUR327872 UEN327872 UOJ327872 UYF327872 VIB327872 VRX327872 WBT327872 WLP327872 WVL327872 D393408 IZ393408 SV393408 ACR393408 AMN393408 AWJ393408 BGF393408 BQB393408 BZX393408 CJT393408 CTP393408 DDL393408 DNH393408 DXD393408 EGZ393408 EQV393408 FAR393408 FKN393408 FUJ393408 GEF393408 GOB393408 GXX393408 HHT393408 HRP393408 IBL393408 ILH393408 IVD393408 JEZ393408 JOV393408 JYR393408 KIN393408 KSJ393408 LCF393408 LMB393408 LVX393408 MFT393408 MPP393408 MZL393408 NJH393408 NTD393408 OCZ393408 OMV393408 OWR393408 PGN393408 PQJ393408 QAF393408 QKB393408 QTX393408 RDT393408 RNP393408 RXL393408 SHH393408 SRD393408 TAZ393408 TKV393408 TUR393408 UEN393408 UOJ393408 UYF393408 VIB393408 VRX393408 WBT393408 WLP393408 WVL393408 D458944 IZ458944 SV458944 ACR458944 AMN458944 AWJ458944 BGF458944 BQB458944 BZX458944 CJT458944 CTP458944 DDL458944 DNH458944 DXD458944 EGZ458944 EQV458944 FAR458944 FKN458944 FUJ458944 GEF458944 GOB458944 GXX458944 HHT458944 HRP458944 IBL458944 ILH458944 IVD458944 JEZ458944 JOV458944 JYR458944 KIN458944 KSJ458944 LCF458944 LMB458944 LVX458944 MFT458944 MPP458944 MZL458944 NJH458944 NTD458944 OCZ458944 OMV458944 OWR458944 PGN458944 PQJ458944 QAF458944 QKB458944 QTX458944 RDT458944 RNP458944 RXL458944 SHH458944 SRD458944 TAZ458944 TKV458944 TUR458944 UEN458944 UOJ458944 UYF458944 VIB458944 VRX458944 WBT458944 WLP458944 WVL458944 D524480 IZ524480 SV524480 ACR524480 AMN524480 AWJ524480 BGF524480 BQB524480 BZX524480 CJT524480 CTP524480 DDL524480 DNH524480 DXD524480 EGZ524480 EQV524480 FAR524480 FKN524480 FUJ524480 GEF524480 GOB524480 GXX524480 HHT524480 HRP524480 IBL524480 ILH524480 IVD524480 JEZ524480 JOV524480 JYR524480 KIN524480 KSJ524480 LCF524480 LMB524480 LVX524480 MFT524480 MPP524480 MZL524480 NJH524480 NTD524480 OCZ524480 OMV524480 OWR524480 PGN524480 PQJ524480 QAF524480 QKB524480 QTX524480 RDT524480 RNP524480 RXL524480 SHH524480 SRD524480 TAZ524480 TKV524480 TUR524480 UEN524480 UOJ524480 UYF524480 VIB524480 VRX524480 WBT524480 WLP524480 WVL524480 D590016 IZ590016 SV590016 ACR590016 AMN590016 AWJ590016 BGF590016 BQB590016 BZX590016 CJT590016 CTP590016 DDL590016 DNH590016 DXD590016 EGZ590016 EQV590016 FAR590016 FKN590016 FUJ590016 GEF590016 GOB590016 GXX590016 HHT590016 HRP590016 IBL590016 ILH590016 IVD590016 JEZ590016 JOV590016 JYR590016 KIN590016 KSJ590016 LCF590016 LMB590016 LVX590016 MFT590016 MPP590016 MZL590016 NJH590016 NTD590016 OCZ590016 OMV590016 OWR590016 PGN590016 PQJ590016 QAF590016 QKB590016 QTX590016 RDT590016 RNP590016 RXL590016 SHH590016 SRD590016 TAZ590016 TKV590016 TUR590016 UEN590016 UOJ590016 UYF590016 VIB590016 VRX590016 WBT590016 WLP590016 WVL590016 D655552 IZ655552 SV655552 ACR655552 AMN655552 AWJ655552 BGF655552 BQB655552 BZX655552 CJT655552 CTP655552 DDL655552 DNH655552 DXD655552 EGZ655552 EQV655552 FAR655552 FKN655552 FUJ655552 GEF655552 GOB655552 GXX655552 HHT655552 HRP655552 IBL655552 ILH655552 IVD655552 JEZ655552 JOV655552 JYR655552 KIN655552 KSJ655552 LCF655552 LMB655552 LVX655552 MFT655552 MPP655552 MZL655552 NJH655552 NTD655552 OCZ655552 OMV655552 OWR655552 PGN655552 PQJ655552 QAF655552 QKB655552 QTX655552 RDT655552 RNP655552 RXL655552 SHH655552 SRD655552 TAZ655552 TKV655552 TUR655552 UEN655552 UOJ655552 UYF655552 VIB655552 VRX655552 WBT655552 WLP655552 WVL655552 D721088 IZ721088 SV721088 ACR721088 AMN721088 AWJ721088 BGF721088 BQB721088 BZX721088 CJT721088 CTP721088 DDL721088 DNH721088 DXD721088 EGZ721088 EQV721088 FAR721088 FKN721088 FUJ721088 GEF721088 GOB721088 GXX721088 HHT721088 HRP721088 IBL721088 ILH721088 IVD721088 JEZ721088 JOV721088 JYR721088 KIN721088 KSJ721088 LCF721088 LMB721088 LVX721088 MFT721088 MPP721088 MZL721088 NJH721088 NTD721088 OCZ721088 OMV721088 OWR721088 PGN721088 PQJ721088 QAF721088 QKB721088 QTX721088 RDT721088 RNP721088 RXL721088 SHH721088 SRD721088 TAZ721088 TKV721088 TUR721088 UEN721088 UOJ721088 UYF721088 VIB721088 VRX721088 WBT721088 WLP721088 WVL721088 D786624 IZ786624 SV786624 ACR786624 AMN786624 AWJ786624 BGF786624 BQB786624 BZX786624 CJT786624 CTP786624 DDL786624 DNH786624 DXD786624 EGZ786624 EQV786624 FAR786624 FKN786624 FUJ786624 GEF786624 GOB786624 GXX786624 HHT786624 HRP786624 IBL786624 ILH786624 IVD786624 JEZ786624 JOV786624 JYR786624 KIN786624 KSJ786624 LCF786624 LMB786624 LVX786624 MFT786624 MPP786624 MZL786624 NJH786624 NTD786624 OCZ786624 OMV786624 OWR786624 PGN786624 PQJ786624 QAF786624 QKB786624 QTX786624 RDT786624 RNP786624 RXL786624 SHH786624 SRD786624 TAZ786624 TKV786624 TUR786624 UEN786624 UOJ786624 UYF786624 VIB786624 VRX786624 WBT786624 WLP786624 WVL786624 D852160 IZ852160 SV852160 ACR852160 AMN852160 AWJ852160 BGF852160 BQB852160 BZX852160 CJT852160 CTP852160 DDL852160 DNH852160 DXD852160 EGZ852160 EQV852160 FAR852160 FKN852160 FUJ852160 GEF852160 GOB852160 GXX852160 HHT852160 HRP852160 IBL852160 ILH852160 IVD852160 JEZ852160 JOV852160 JYR852160 KIN852160 KSJ852160 LCF852160 LMB852160 LVX852160 MFT852160 MPP852160 MZL852160 NJH852160 NTD852160 OCZ852160 OMV852160 OWR852160 PGN852160 PQJ852160 QAF852160 QKB852160 QTX852160 RDT852160 RNP852160 RXL852160 SHH852160 SRD852160 TAZ852160 TKV852160 TUR852160 UEN852160 UOJ852160 UYF852160 VIB852160 VRX852160 WBT852160 WLP852160 WVL852160 D917696 IZ917696 SV917696 ACR917696 AMN917696 AWJ917696 BGF917696 BQB917696 BZX917696 CJT917696 CTP917696 DDL917696 DNH917696 DXD917696 EGZ917696 EQV917696 FAR917696 FKN917696 FUJ917696 GEF917696 GOB917696 GXX917696 HHT917696 HRP917696 IBL917696 ILH917696 IVD917696 JEZ917696 JOV917696 JYR917696 KIN917696 KSJ917696 LCF917696 LMB917696 LVX917696 MFT917696 MPP917696 MZL917696 NJH917696 NTD917696 OCZ917696 OMV917696 OWR917696 PGN917696 PQJ917696 QAF917696 QKB917696 QTX917696 RDT917696 RNP917696 RXL917696 SHH917696 SRD917696 TAZ917696 TKV917696 TUR917696 UEN917696 UOJ917696 UYF917696 VIB917696 VRX917696 WBT917696 WLP917696 WVL917696 D983232 IZ983232 SV983232 ACR983232 AMN983232 AWJ983232 BGF983232 BQB983232 BZX983232 CJT983232 CTP983232 DDL983232 DNH983232 DXD983232 EGZ983232 EQV983232 FAR983232 FKN983232 FUJ983232 GEF983232 GOB983232 GXX983232 HHT983232 HRP983232 IBL983232 ILH983232 IVD983232 JEZ983232 JOV983232 JYR983232 KIN983232 KSJ983232 LCF983232 LMB983232 LVX983232 MFT983232 MPP983232 MZL983232 NJH983232 NTD983232 OCZ983232 OMV983232 OWR983232 PGN983232 PQJ983232 QAF983232 QKB983232 QTX983232 RDT983232 RNP983232 RXL983232 SHH983232 SRD983232 TAZ983232 TKV983232 TUR983232 UEN983232 UOJ983232 UYF983232 VIB983232 VRX983232 WBT983232 WLP983232 WVL983232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D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D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D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D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D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D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D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D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D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D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D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D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D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D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D105 IZ105 SV105 ACR105 AMN105 AWJ105 BGF105 BQB105 BZX105 CJT105 CTP105 DDL105 DNH105 DXD105 EGZ105 EQV105 FAR105 FKN105 FUJ105 GEF105 GOB105 GXX105 HHT105 HRP105 IBL105 ILH105 IVD105 JEZ105 JOV105 JYR105 KIN105 KSJ105 LCF105 LMB105 LVX105 MFT105 MPP105 MZL105 NJH105 NTD105 OCZ105 OMV105 OWR105 PGN105 PQJ105 QAF105 QKB105 QTX105 RDT105 RNP105 RXL105 SHH105 SRD105 TAZ105 TKV105 TUR105 UEN105 UOJ105 UYF105 VIB105 VRX105 WBT105 WLP105 WVL105 D65640 IZ65640 SV65640 ACR65640 AMN65640 AWJ65640 BGF65640 BQB65640 BZX65640 CJT65640 CTP65640 DDL65640 DNH65640 DXD65640 EGZ65640 EQV65640 FAR65640 FKN65640 FUJ65640 GEF65640 GOB65640 GXX65640 HHT65640 HRP65640 IBL65640 ILH65640 IVD65640 JEZ65640 JOV65640 JYR65640 KIN65640 KSJ65640 LCF65640 LMB65640 LVX65640 MFT65640 MPP65640 MZL65640 NJH65640 NTD65640 OCZ65640 OMV65640 OWR65640 PGN65640 PQJ65640 QAF65640 QKB65640 QTX65640 RDT65640 RNP65640 RXL65640 SHH65640 SRD65640 TAZ65640 TKV65640 TUR65640 UEN65640 UOJ65640 UYF65640 VIB65640 VRX65640 WBT65640 WLP65640 WVL65640 D131176 IZ131176 SV131176 ACR131176 AMN131176 AWJ131176 BGF131176 BQB131176 BZX131176 CJT131176 CTP131176 DDL131176 DNH131176 DXD131176 EGZ131176 EQV131176 FAR131176 FKN131176 FUJ131176 GEF131176 GOB131176 GXX131176 HHT131176 HRP131176 IBL131176 ILH131176 IVD131176 JEZ131176 JOV131176 JYR131176 KIN131176 KSJ131176 LCF131176 LMB131176 LVX131176 MFT131176 MPP131176 MZL131176 NJH131176 NTD131176 OCZ131176 OMV131176 OWR131176 PGN131176 PQJ131176 QAF131176 QKB131176 QTX131176 RDT131176 RNP131176 RXL131176 SHH131176 SRD131176 TAZ131176 TKV131176 TUR131176 UEN131176 UOJ131176 UYF131176 VIB131176 VRX131176 WBT131176 WLP131176 WVL131176 D196712 IZ196712 SV196712 ACR196712 AMN196712 AWJ196712 BGF196712 BQB196712 BZX196712 CJT196712 CTP196712 DDL196712 DNH196712 DXD196712 EGZ196712 EQV196712 FAR196712 FKN196712 FUJ196712 GEF196712 GOB196712 GXX196712 HHT196712 HRP196712 IBL196712 ILH196712 IVD196712 JEZ196712 JOV196712 JYR196712 KIN196712 KSJ196712 LCF196712 LMB196712 LVX196712 MFT196712 MPP196712 MZL196712 NJH196712 NTD196712 OCZ196712 OMV196712 OWR196712 PGN196712 PQJ196712 QAF196712 QKB196712 QTX196712 RDT196712 RNP196712 RXL196712 SHH196712 SRD196712 TAZ196712 TKV196712 TUR196712 UEN196712 UOJ196712 UYF196712 VIB196712 VRX196712 WBT196712 WLP196712 WVL196712 D262248 IZ262248 SV262248 ACR262248 AMN262248 AWJ262248 BGF262248 BQB262248 BZX262248 CJT262248 CTP262248 DDL262248 DNH262248 DXD262248 EGZ262248 EQV262248 FAR262248 FKN262248 FUJ262248 GEF262248 GOB262248 GXX262248 HHT262248 HRP262248 IBL262248 ILH262248 IVD262248 JEZ262248 JOV262248 JYR262248 KIN262248 KSJ262248 LCF262248 LMB262248 LVX262248 MFT262248 MPP262248 MZL262248 NJH262248 NTD262248 OCZ262248 OMV262248 OWR262248 PGN262248 PQJ262248 QAF262248 QKB262248 QTX262248 RDT262248 RNP262248 RXL262248 SHH262248 SRD262248 TAZ262248 TKV262248 TUR262248 UEN262248 UOJ262248 UYF262248 VIB262248 VRX262248 WBT262248 WLP262248 WVL262248 D327784 IZ327784 SV327784 ACR327784 AMN327784 AWJ327784 BGF327784 BQB327784 BZX327784 CJT327784 CTP327784 DDL327784 DNH327784 DXD327784 EGZ327784 EQV327784 FAR327784 FKN327784 FUJ327784 GEF327784 GOB327784 GXX327784 HHT327784 HRP327784 IBL327784 ILH327784 IVD327784 JEZ327784 JOV327784 JYR327784 KIN327784 KSJ327784 LCF327784 LMB327784 LVX327784 MFT327784 MPP327784 MZL327784 NJH327784 NTD327784 OCZ327784 OMV327784 OWR327784 PGN327784 PQJ327784 QAF327784 QKB327784 QTX327784 RDT327784 RNP327784 RXL327784 SHH327784 SRD327784 TAZ327784 TKV327784 TUR327784 UEN327784 UOJ327784 UYF327784 VIB327784 VRX327784 WBT327784 WLP327784 WVL327784 D393320 IZ393320 SV393320 ACR393320 AMN393320 AWJ393320 BGF393320 BQB393320 BZX393320 CJT393320 CTP393320 DDL393320 DNH393320 DXD393320 EGZ393320 EQV393320 FAR393320 FKN393320 FUJ393320 GEF393320 GOB393320 GXX393320 HHT393320 HRP393320 IBL393320 ILH393320 IVD393320 JEZ393320 JOV393320 JYR393320 KIN393320 KSJ393320 LCF393320 LMB393320 LVX393320 MFT393320 MPP393320 MZL393320 NJH393320 NTD393320 OCZ393320 OMV393320 OWR393320 PGN393320 PQJ393320 QAF393320 QKB393320 QTX393320 RDT393320 RNP393320 RXL393320 SHH393320 SRD393320 TAZ393320 TKV393320 TUR393320 UEN393320 UOJ393320 UYF393320 VIB393320 VRX393320 WBT393320 WLP393320 WVL393320 D458856 IZ458856 SV458856 ACR458856 AMN458856 AWJ458856 BGF458856 BQB458856 BZX458856 CJT458856 CTP458856 DDL458856 DNH458856 DXD458856 EGZ458856 EQV458856 FAR458856 FKN458856 FUJ458856 GEF458856 GOB458856 GXX458856 HHT458856 HRP458856 IBL458856 ILH458856 IVD458856 JEZ458856 JOV458856 JYR458856 KIN458856 KSJ458856 LCF458856 LMB458856 LVX458856 MFT458856 MPP458856 MZL458856 NJH458856 NTD458856 OCZ458856 OMV458856 OWR458856 PGN458856 PQJ458856 QAF458856 QKB458856 QTX458856 RDT458856 RNP458856 RXL458856 SHH458856 SRD458856 TAZ458856 TKV458856 TUR458856 UEN458856 UOJ458856 UYF458856 VIB458856 VRX458856 WBT458856 WLP458856 WVL458856 D524392 IZ524392 SV524392 ACR524392 AMN524392 AWJ524392 BGF524392 BQB524392 BZX524392 CJT524392 CTP524392 DDL524392 DNH524392 DXD524392 EGZ524392 EQV524392 FAR524392 FKN524392 FUJ524392 GEF524392 GOB524392 GXX524392 HHT524392 HRP524392 IBL524392 ILH524392 IVD524392 JEZ524392 JOV524392 JYR524392 KIN524392 KSJ524392 LCF524392 LMB524392 LVX524392 MFT524392 MPP524392 MZL524392 NJH524392 NTD524392 OCZ524392 OMV524392 OWR524392 PGN524392 PQJ524392 QAF524392 QKB524392 QTX524392 RDT524392 RNP524392 RXL524392 SHH524392 SRD524392 TAZ524392 TKV524392 TUR524392 UEN524392 UOJ524392 UYF524392 VIB524392 VRX524392 WBT524392 WLP524392 WVL524392 D589928 IZ589928 SV589928 ACR589928 AMN589928 AWJ589928 BGF589928 BQB589928 BZX589928 CJT589928 CTP589928 DDL589928 DNH589928 DXD589928 EGZ589928 EQV589928 FAR589928 FKN589928 FUJ589928 GEF589928 GOB589928 GXX589928 HHT589928 HRP589928 IBL589928 ILH589928 IVD589928 JEZ589928 JOV589928 JYR589928 KIN589928 KSJ589928 LCF589928 LMB589928 LVX589928 MFT589928 MPP589928 MZL589928 NJH589928 NTD589928 OCZ589928 OMV589928 OWR589928 PGN589928 PQJ589928 QAF589928 QKB589928 QTX589928 RDT589928 RNP589928 RXL589928 SHH589928 SRD589928 TAZ589928 TKV589928 TUR589928 UEN589928 UOJ589928 UYF589928 VIB589928 VRX589928 WBT589928 WLP589928 WVL589928 D655464 IZ655464 SV655464 ACR655464 AMN655464 AWJ655464 BGF655464 BQB655464 BZX655464 CJT655464 CTP655464 DDL655464 DNH655464 DXD655464 EGZ655464 EQV655464 FAR655464 FKN655464 FUJ655464 GEF655464 GOB655464 GXX655464 HHT655464 HRP655464 IBL655464 ILH655464 IVD655464 JEZ655464 JOV655464 JYR655464 KIN655464 KSJ655464 LCF655464 LMB655464 LVX655464 MFT655464 MPP655464 MZL655464 NJH655464 NTD655464 OCZ655464 OMV655464 OWR655464 PGN655464 PQJ655464 QAF655464 QKB655464 QTX655464 RDT655464 RNP655464 RXL655464 SHH655464 SRD655464 TAZ655464 TKV655464 TUR655464 UEN655464 UOJ655464 UYF655464 VIB655464 VRX655464 WBT655464 WLP655464 WVL655464 D721000 IZ721000 SV721000 ACR721000 AMN721000 AWJ721000 BGF721000 BQB721000 BZX721000 CJT721000 CTP721000 DDL721000 DNH721000 DXD721000 EGZ721000 EQV721000 FAR721000 FKN721000 FUJ721000 GEF721000 GOB721000 GXX721000 HHT721000 HRP721000 IBL721000 ILH721000 IVD721000 JEZ721000 JOV721000 JYR721000 KIN721000 KSJ721000 LCF721000 LMB721000 LVX721000 MFT721000 MPP721000 MZL721000 NJH721000 NTD721000 OCZ721000 OMV721000 OWR721000 PGN721000 PQJ721000 QAF721000 QKB721000 QTX721000 RDT721000 RNP721000 RXL721000 SHH721000 SRD721000 TAZ721000 TKV721000 TUR721000 UEN721000 UOJ721000 UYF721000 VIB721000 VRX721000 WBT721000 WLP721000 WVL721000 D786536 IZ786536 SV786536 ACR786536 AMN786536 AWJ786536 BGF786536 BQB786536 BZX786536 CJT786536 CTP786536 DDL786536 DNH786536 DXD786536 EGZ786536 EQV786536 FAR786536 FKN786536 FUJ786536 GEF786536 GOB786536 GXX786536 HHT786536 HRP786536 IBL786536 ILH786536 IVD786536 JEZ786536 JOV786536 JYR786536 KIN786536 KSJ786536 LCF786536 LMB786536 LVX786536 MFT786536 MPP786536 MZL786536 NJH786536 NTD786536 OCZ786536 OMV786536 OWR786536 PGN786536 PQJ786536 QAF786536 QKB786536 QTX786536 RDT786536 RNP786536 RXL786536 SHH786536 SRD786536 TAZ786536 TKV786536 TUR786536 UEN786536 UOJ786536 UYF786536 VIB786536 VRX786536 WBT786536 WLP786536 WVL786536 D852072 IZ852072 SV852072 ACR852072 AMN852072 AWJ852072 BGF852072 BQB852072 BZX852072 CJT852072 CTP852072 DDL852072 DNH852072 DXD852072 EGZ852072 EQV852072 FAR852072 FKN852072 FUJ852072 GEF852072 GOB852072 GXX852072 HHT852072 HRP852072 IBL852072 ILH852072 IVD852072 JEZ852072 JOV852072 JYR852072 KIN852072 KSJ852072 LCF852072 LMB852072 LVX852072 MFT852072 MPP852072 MZL852072 NJH852072 NTD852072 OCZ852072 OMV852072 OWR852072 PGN852072 PQJ852072 QAF852072 QKB852072 QTX852072 RDT852072 RNP852072 RXL852072 SHH852072 SRD852072 TAZ852072 TKV852072 TUR852072 UEN852072 UOJ852072 UYF852072 VIB852072 VRX852072 WBT852072 WLP852072 WVL852072 D917608 IZ917608 SV917608 ACR917608 AMN917608 AWJ917608 BGF917608 BQB917608 BZX917608 CJT917608 CTP917608 DDL917608 DNH917608 DXD917608 EGZ917608 EQV917608 FAR917608 FKN917608 FUJ917608 GEF917608 GOB917608 GXX917608 HHT917608 HRP917608 IBL917608 ILH917608 IVD917608 JEZ917608 JOV917608 JYR917608 KIN917608 KSJ917608 LCF917608 LMB917608 LVX917608 MFT917608 MPP917608 MZL917608 NJH917608 NTD917608 OCZ917608 OMV917608 OWR917608 PGN917608 PQJ917608 QAF917608 QKB917608 QTX917608 RDT917608 RNP917608 RXL917608 SHH917608 SRD917608 TAZ917608 TKV917608 TUR917608 UEN917608 UOJ917608 UYF917608 VIB917608 VRX917608 WBT917608 WLP917608 WVL917608 D983144 IZ983144 SV983144 ACR983144 AMN983144 AWJ983144 BGF983144 BQB983144 BZX983144 CJT983144 CTP983144 DDL983144 DNH983144 DXD983144 EGZ983144 EQV983144 FAR983144 FKN983144 FUJ983144 GEF983144 GOB983144 GXX983144 HHT983144 HRP983144 IBL983144 ILH983144 IVD983144 JEZ983144 JOV983144 JYR983144 KIN983144 KSJ983144 LCF983144 LMB983144 LVX983144 MFT983144 MPP983144 MZL983144 NJH983144 NTD983144 OCZ983144 OMV983144 OWR983144 PGN983144 PQJ983144 QAF983144 QKB983144 QTX983144 RDT983144 RNP983144 RXL983144 SHH983144 SRD983144 TAZ983144 TKV983144 TUR983144 UEN983144 UOJ983144 UYF983144 VIB983144 VRX983144 WBT983144 WLP983144 WVL983144" xr:uid="{D7E3BBEB-07A9-4992-8496-877A64DC301A}">
      <formula1>"Core1,Core2,Core3"</formula1>
    </dataValidation>
  </dataValidations>
  <printOptions horizontalCentered="1" verticalCentered="1"/>
  <pageMargins left="0.51181102362204722" right="0.51181102362204722" top="0.51181102362204722" bottom="0.51181102362204722" header="0" footer="0"/>
  <pageSetup paperSize="9" scale="94" orientation="portrait" r:id="rId1"/>
  <headerFooter alignWithMargins="0">
    <oddFooter>Page &amp;P of &amp;N</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A0757-29BF-4598-9E0F-A589E55BA1B3}">
  <sheetPr>
    <tabColor indexed="45"/>
  </sheetPr>
  <dimension ref="A1:AE178"/>
  <sheetViews>
    <sheetView showZeros="0" view="pageBreakPreview" topLeftCell="A18" zoomScale="145" zoomScaleNormal="100" zoomScaleSheetLayoutView="145" workbookViewId="0">
      <selection activeCell="B30" sqref="B30:Q31"/>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Title!H2</f>
        <v>ADEQUACY CHECK</v>
      </c>
      <c r="I2" s="730"/>
      <c r="J2" s="730"/>
      <c r="K2" s="730"/>
      <c r="L2" s="730"/>
      <c r="M2" s="730"/>
      <c r="N2" s="731"/>
      <c r="O2" s="702" t="str">
        <f>Title!O2</f>
        <v>Date</v>
      </c>
      <c r="P2" s="703"/>
      <c r="Q2" s="704"/>
      <c r="R2" s="732">
        <f>Title!R2</f>
        <v>46106</v>
      </c>
      <c r="S2" s="733"/>
      <c r="T2" s="733"/>
      <c r="U2" s="733"/>
      <c r="V2" s="734"/>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14"/>
      <c r="X4" s="14"/>
    </row>
    <row r="5" spans="1:24" ht="18" customHeight="1">
      <c r="A5" s="708" t="str">
        <f>Title!A5</f>
        <v>Prep. By</v>
      </c>
      <c r="B5" s="709"/>
      <c r="C5" s="25" t="str">
        <f>Title!C5</f>
        <v>AP</v>
      </c>
      <c r="D5" s="708" t="str">
        <f>Title!D5</f>
        <v>Checked By</v>
      </c>
      <c r="E5" s="710"/>
      <c r="F5" s="709"/>
      <c r="G5" s="25" t="str">
        <f>Title!G5</f>
        <v>RB</v>
      </c>
      <c r="H5" s="711" t="s">
        <v>718</v>
      </c>
      <c r="I5" s="712"/>
      <c r="J5" s="712"/>
      <c r="K5" s="712"/>
      <c r="L5" s="712"/>
      <c r="M5" s="712"/>
      <c r="N5" s="713"/>
      <c r="O5" s="714" t="str">
        <f>Title!O5</f>
        <v>Contractor</v>
      </c>
      <c r="P5" s="715"/>
      <c r="Q5" s="716"/>
      <c r="R5" s="705" t="str">
        <f>Title!R5</f>
        <v>HITACHI</v>
      </c>
      <c r="S5" s="706"/>
      <c r="T5" s="706"/>
      <c r="U5" s="706"/>
      <c r="V5" s="707"/>
      <c r="W5" s="14"/>
      <c r="X5" s="14"/>
    </row>
    <row r="6" spans="1:24" ht="18" customHeight="1">
      <c r="A6" s="196"/>
      <c r="V6" s="197"/>
    </row>
    <row r="7" spans="1:24" ht="18" customHeight="1">
      <c r="A7" s="196"/>
      <c r="B7" s="696" t="s">
        <v>120</v>
      </c>
      <c r="C7" s="697"/>
      <c r="D7" s="696" t="s">
        <v>517</v>
      </c>
      <c r="E7" s="698"/>
      <c r="F7" s="267"/>
      <c r="H7" s="639" t="s">
        <v>576</v>
      </c>
      <c r="I7" s="639"/>
      <c r="J7" s="639"/>
      <c r="K7" s="639"/>
      <c r="L7" s="639"/>
      <c r="M7" s="639"/>
      <c r="P7" s="198"/>
      <c r="R7" s="267"/>
      <c r="S7" s="199" t="s">
        <v>398</v>
      </c>
      <c r="T7" s="1051" t="s">
        <v>255</v>
      </c>
      <c r="U7" s="1052"/>
      <c r="V7" s="197"/>
    </row>
    <row r="8" spans="1:24" ht="18" customHeight="1">
      <c r="A8" s="196"/>
      <c r="B8" s="654"/>
      <c r="C8" s="655"/>
      <c r="D8" s="699"/>
      <c r="E8" s="700"/>
      <c r="F8" s="267"/>
      <c r="T8" s="1051" t="s">
        <v>577</v>
      </c>
      <c r="U8" s="1052"/>
      <c r="V8" s="197"/>
    </row>
    <row r="9" spans="1:24" ht="18" customHeight="1">
      <c r="A9" s="196"/>
      <c r="H9" s="662" t="s">
        <v>401</v>
      </c>
      <c r="I9" s="662"/>
      <c r="J9" s="701" t="s">
        <v>402</v>
      </c>
      <c r="K9" s="701"/>
      <c r="L9" s="701" t="s">
        <v>403</v>
      </c>
      <c r="M9" s="701"/>
      <c r="T9" s="1051"/>
      <c r="U9" s="1052"/>
      <c r="V9" s="197"/>
    </row>
    <row r="10" spans="1:24" ht="18" customHeight="1">
      <c r="A10" s="196"/>
      <c r="B10" s="47" t="s">
        <v>404</v>
      </c>
      <c r="H10" s="692">
        <v>100</v>
      </c>
      <c r="I10" s="693"/>
      <c r="J10" s="656" t="s">
        <v>7</v>
      </c>
      <c r="K10" s="657"/>
      <c r="L10" s="656" t="s">
        <v>7</v>
      </c>
      <c r="M10" s="657"/>
      <c r="N10" s="203" t="s">
        <v>353</v>
      </c>
      <c r="O10" s="125">
        <v>1</v>
      </c>
      <c r="P10" s="27" t="s">
        <v>9</v>
      </c>
      <c r="T10" s="1051"/>
      <c r="U10" s="1052"/>
      <c r="V10" s="197"/>
    </row>
    <row r="11" spans="1:24" ht="18" customHeight="1">
      <c r="A11" s="196"/>
      <c r="B11" s="47" t="s">
        <v>405</v>
      </c>
      <c r="H11" s="656" t="s">
        <v>719</v>
      </c>
      <c r="I11" s="657"/>
      <c r="T11" s="1053"/>
      <c r="U11" s="1053"/>
      <c r="V11" s="197"/>
    </row>
    <row r="12" spans="1:24" ht="18" customHeight="1">
      <c r="A12" s="196"/>
      <c r="B12" s="47" t="s">
        <v>407</v>
      </c>
      <c r="G12" s="120" t="s">
        <v>508</v>
      </c>
      <c r="H12" s="656">
        <v>1</v>
      </c>
      <c r="I12" s="657"/>
      <c r="J12" s="204" t="s">
        <v>344</v>
      </c>
      <c r="T12" s="307"/>
      <c r="U12" s="18"/>
      <c r="V12" s="197"/>
    </row>
    <row r="13" spans="1:24" ht="18" customHeight="1">
      <c r="A13" s="196"/>
      <c r="B13" s="30" t="s">
        <v>579</v>
      </c>
      <c r="G13" s="120" t="s">
        <v>580</v>
      </c>
      <c r="H13" s="656">
        <v>5</v>
      </c>
      <c r="I13" s="657"/>
      <c r="T13" s="307"/>
      <c r="U13" s="18"/>
      <c r="V13" s="197"/>
      <c r="W13" s="30" t="str">
        <f>J47</f>
        <v>Suitable Dimensions</v>
      </c>
    </row>
    <row r="14" spans="1:24" ht="18" customHeight="1">
      <c r="A14" s="196"/>
      <c r="B14" s="47" t="s">
        <v>573</v>
      </c>
      <c r="G14" s="120" t="s">
        <v>504</v>
      </c>
      <c r="H14" s="656">
        <v>5</v>
      </c>
      <c r="I14" s="657"/>
      <c r="J14" s="14"/>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t="str">
        <f>T8</f>
        <v>POINTER</v>
      </c>
      <c r="I19" s="189" t="s">
        <v>138</v>
      </c>
      <c r="J19" s="686">
        <f>'CT-VT Burdens'!Q97</f>
        <v>1.25</v>
      </c>
      <c r="K19" s="687"/>
      <c r="L19" s="210" t="s">
        <v>168</v>
      </c>
      <c r="P19" s="256"/>
      <c r="V19" s="197"/>
    </row>
    <row r="20" spans="1:31" ht="18" customHeight="1">
      <c r="A20" s="196"/>
      <c r="B20" s="96" t="s">
        <v>416</v>
      </c>
      <c r="C20" s="14"/>
      <c r="D20" s="47">
        <f>T9</f>
        <v>0</v>
      </c>
      <c r="E20" s="14"/>
      <c r="G20" s="211"/>
      <c r="H20" s="27"/>
      <c r="I20" s="101" t="s">
        <v>138</v>
      </c>
      <c r="J20" s="688"/>
      <c r="K20" s="689"/>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688"/>
      <c r="K21" s="689"/>
      <c r="L21" s="214" t="s">
        <v>168</v>
      </c>
      <c r="O21" s="27" t="s">
        <v>138</v>
      </c>
      <c r="P21" s="27">
        <f>O10</f>
        <v>1</v>
      </c>
      <c r="Q21" s="27" t="s">
        <v>326</v>
      </c>
      <c r="R21" s="27">
        <f>O10</f>
        <v>1</v>
      </c>
      <c r="S21" s="27" t="s">
        <v>326</v>
      </c>
      <c r="T21" s="27">
        <f>H12</f>
        <v>1</v>
      </c>
      <c r="V21" s="197"/>
    </row>
    <row r="22" spans="1:31" ht="18" customHeight="1">
      <c r="A22" s="196"/>
      <c r="B22" s="196" t="s">
        <v>423</v>
      </c>
      <c r="C22" s="14"/>
      <c r="D22" s="47"/>
      <c r="E22" s="14"/>
      <c r="H22" s="27"/>
      <c r="I22" s="101" t="s">
        <v>138</v>
      </c>
      <c r="J22" s="690">
        <f>'CT-VT Burdens'!S22</f>
        <v>1.44186744</v>
      </c>
      <c r="K22" s="691"/>
      <c r="L22" s="309" t="s">
        <v>168</v>
      </c>
      <c r="O22" s="27" t="s">
        <v>138</v>
      </c>
      <c r="P22" s="637">
        <f>P21*R21*T21</f>
        <v>1</v>
      </c>
      <c r="Q22" s="639"/>
      <c r="R22" s="27" t="s">
        <v>168</v>
      </c>
      <c r="S22" s="27"/>
      <c r="T22" s="27"/>
      <c r="V22" s="197"/>
    </row>
    <row r="23" spans="1:31" ht="18" customHeight="1">
      <c r="A23" s="196"/>
      <c r="B23" s="1" t="s">
        <v>424</v>
      </c>
      <c r="C23" s="2"/>
      <c r="D23" s="2"/>
      <c r="E23" s="2"/>
      <c r="F23" s="208"/>
      <c r="G23" s="208"/>
      <c r="H23" s="236" t="s">
        <v>523</v>
      </c>
      <c r="I23" s="195" t="s">
        <v>138</v>
      </c>
      <c r="J23" s="648">
        <f>SUM(J18:K22)</f>
        <v>2.6998674400000002</v>
      </c>
      <c r="K23" s="649"/>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86">
        <f>H10</f>
        <v>100</v>
      </c>
      <c r="Q25" s="986"/>
      <c r="R25" s="204" t="s">
        <v>9</v>
      </c>
      <c r="V25" s="197"/>
    </row>
    <row r="26" spans="1:31" ht="18" customHeight="1">
      <c r="A26" s="196"/>
      <c r="B26" s="47" t="s">
        <v>558</v>
      </c>
      <c r="C26" s="47"/>
      <c r="D26" s="47"/>
      <c r="E26" s="47"/>
      <c r="H26" s="27"/>
      <c r="I26" s="28"/>
      <c r="J26" s="211"/>
      <c r="L26" s="47"/>
      <c r="N26" s="120" t="s">
        <v>583</v>
      </c>
      <c r="O26" s="28" t="s">
        <v>138</v>
      </c>
      <c r="P26" s="986">
        <f>H12</f>
        <v>1</v>
      </c>
      <c r="Q26" s="986"/>
      <c r="R26" s="316" t="s">
        <v>168</v>
      </c>
      <c r="V26" s="197"/>
    </row>
    <row r="27" spans="1:31" ht="18" customHeight="1">
      <c r="A27" s="196"/>
      <c r="B27" s="47" t="s">
        <v>559</v>
      </c>
      <c r="C27" s="47"/>
      <c r="D27" s="47"/>
      <c r="E27" s="47"/>
      <c r="H27" s="27"/>
      <c r="I27" s="28"/>
      <c r="J27" s="211"/>
      <c r="L27" s="47"/>
      <c r="N27" s="120" t="s">
        <v>584</v>
      </c>
      <c r="O27" s="28" t="s">
        <v>138</v>
      </c>
      <c r="P27" s="960">
        <f>J23</f>
        <v>2.6998674400000002</v>
      </c>
      <c r="Q27" s="986"/>
      <c r="R27" s="316" t="s">
        <v>168</v>
      </c>
      <c r="V27" s="197"/>
    </row>
    <row r="28" spans="1:31" ht="18" customHeight="1">
      <c r="A28" s="196"/>
      <c r="B28" s="47" t="s">
        <v>560</v>
      </c>
      <c r="C28" s="47"/>
      <c r="D28" s="47"/>
      <c r="E28" s="47"/>
      <c r="H28" s="27"/>
      <c r="I28" s="28"/>
      <c r="J28" s="211"/>
      <c r="L28" s="47"/>
      <c r="N28" s="120" t="s">
        <v>522</v>
      </c>
      <c r="O28" s="28" t="s">
        <v>138</v>
      </c>
      <c r="P28" s="986">
        <f>O10</f>
        <v>1</v>
      </c>
      <c r="Q28" s="986"/>
      <c r="R28" s="204" t="s">
        <v>9</v>
      </c>
      <c r="V28" s="197"/>
    </row>
    <row r="29" spans="1:31" ht="18" customHeight="1">
      <c r="A29" s="196"/>
      <c r="B29" s="47" t="s">
        <v>585</v>
      </c>
      <c r="C29" s="47"/>
      <c r="D29" s="47"/>
      <c r="E29" s="47"/>
      <c r="H29" s="27"/>
      <c r="I29" s="28"/>
      <c r="J29" s="211"/>
      <c r="L29" s="47"/>
      <c r="N29" s="120" t="s">
        <v>506</v>
      </c>
      <c r="O29" s="28" t="s">
        <v>138</v>
      </c>
      <c r="P29" s="986">
        <f>H13</f>
        <v>5</v>
      </c>
      <c r="Q29" s="986"/>
      <c r="R29" s="204"/>
      <c r="V29" s="197"/>
    </row>
    <row r="30" spans="1:31" ht="18" customHeight="1">
      <c r="A30" s="196"/>
      <c r="B30" s="308" t="s">
        <v>587</v>
      </c>
      <c r="C30" s="47"/>
      <c r="D30" s="47"/>
      <c r="E30" s="47"/>
      <c r="H30" s="27"/>
      <c r="I30" s="28"/>
      <c r="J30" s="211"/>
      <c r="L30" s="47"/>
      <c r="O30" s="28" t="s">
        <v>138</v>
      </c>
      <c r="P30" s="960">
        <v>20</v>
      </c>
      <c r="Q30" s="960"/>
      <c r="R30" s="204"/>
      <c r="S30" s="14"/>
      <c r="V30" s="197"/>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656">
        <v>20</v>
      </c>
      <c r="T32" s="657"/>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637">
        <f>J23</f>
        <v>2.6998674400000002</v>
      </c>
      <c r="K35" s="639"/>
      <c r="L35" s="28"/>
      <c r="M35" s="637"/>
      <c r="N35" s="639"/>
      <c r="V35" s="197"/>
    </row>
    <row r="36" spans="1:22" ht="18" customHeight="1">
      <c r="A36" s="196"/>
      <c r="I36" s="28"/>
      <c r="J36" s="637"/>
      <c r="K36" s="639"/>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1</v>
      </c>
      <c r="M38" s="257" t="s">
        <v>358</v>
      </c>
      <c r="N38" s="254">
        <f>H14</f>
        <v>5</v>
      </c>
      <c r="O38" s="257" t="s">
        <v>550</v>
      </c>
      <c r="P38" s="313">
        <f>P22</f>
        <v>1</v>
      </c>
      <c r="Q38" s="257" t="s">
        <v>358</v>
      </c>
      <c r="R38" s="313">
        <f>J23</f>
        <v>2.6998674400000002</v>
      </c>
      <c r="S38" s="308" t="s">
        <v>361</v>
      </c>
      <c r="V38" s="197"/>
    </row>
    <row r="39" spans="1:22" ht="18" customHeight="1">
      <c r="A39" s="196"/>
      <c r="I39" s="27" t="s">
        <v>138</v>
      </c>
      <c r="J39" s="640">
        <f>J38*((L38+N38)/(P38+R38))</f>
        <v>8.1083986079241797</v>
      </c>
      <c r="K39" s="640"/>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639">
        <f>H14</f>
        <v>5</v>
      </c>
      <c r="H43" s="639"/>
      <c r="I43" s="27" t="str">
        <f>IF(G43&gt;J43,"&gt;","&lt;")</f>
        <v>&gt;</v>
      </c>
      <c r="J43" s="637">
        <f>J35</f>
        <v>2.6998674400000002</v>
      </c>
      <c r="K43" s="639"/>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637">
        <f>P30</f>
        <v>20</v>
      </c>
      <c r="H46" s="637"/>
      <c r="I46" s="27" t="str">
        <f>IF(G46&gt;J46,"&gt;","&lt;")</f>
        <v>&gt;</v>
      </c>
      <c r="J46" s="637">
        <f>J39</f>
        <v>8.1083986079241797</v>
      </c>
      <c r="K46" s="637"/>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667" t="str">
        <f>B7</f>
        <v>T1</v>
      </c>
      <c r="C50" s="668"/>
      <c r="D50" s="680" t="str">
        <f>D7</f>
        <v>Core2</v>
      </c>
      <c r="E50" s="681"/>
      <c r="F50" s="267"/>
      <c r="H50" s="639" t="str">
        <f>H7</f>
        <v>(Metering + Ammeter)</v>
      </c>
      <c r="I50" s="639"/>
      <c r="J50" s="639"/>
      <c r="K50" s="639"/>
      <c r="L50" s="639"/>
      <c r="M50" s="639"/>
      <c r="P50" s="198"/>
      <c r="R50" s="267"/>
      <c r="S50" s="199" t="s">
        <v>398</v>
      </c>
      <c r="T50" s="1051" t="str">
        <f>T7</f>
        <v>XC-RACK</v>
      </c>
      <c r="U50" s="1052"/>
      <c r="V50" s="197"/>
    </row>
    <row r="51" spans="1:23" ht="18" hidden="1" customHeight="1">
      <c r="A51" s="196"/>
      <c r="B51" s="679">
        <f>B8</f>
        <v>0</v>
      </c>
      <c r="C51" s="679"/>
      <c r="D51" s="682"/>
      <c r="E51" s="683"/>
      <c r="F51" s="267"/>
      <c r="T51" s="1051"/>
      <c r="U51" s="1052"/>
      <c r="V51" s="197"/>
    </row>
    <row r="52" spans="1:23" ht="18" hidden="1" customHeight="1">
      <c r="A52" s="196"/>
      <c r="H52" s="661" t="s">
        <v>401</v>
      </c>
      <c r="I52" s="661"/>
      <c r="J52" s="662" t="s">
        <v>402</v>
      </c>
      <c r="K52" s="662"/>
      <c r="L52" s="701" t="s">
        <v>403</v>
      </c>
      <c r="M52" s="701"/>
      <c r="T52" s="1051"/>
      <c r="U52" s="1052"/>
      <c r="V52" s="197"/>
    </row>
    <row r="53" spans="1:23" ht="18" hidden="1" customHeight="1">
      <c r="A53" s="196"/>
      <c r="B53" s="47" t="s">
        <v>404</v>
      </c>
      <c r="H53" s="667">
        <f>H10</f>
        <v>100</v>
      </c>
      <c r="I53" s="668"/>
      <c r="J53" s="1030" t="str">
        <f>J10</f>
        <v>-</v>
      </c>
      <c r="K53" s="1031"/>
      <c r="L53" s="667" t="str">
        <f>L10</f>
        <v>-</v>
      </c>
      <c r="M53" s="668"/>
      <c r="N53" s="203" t="s">
        <v>353</v>
      </c>
      <c r="O53" s="501">
        <f>O10</f>
        <v>1</v>
      </c>
      <c r="P53" s="27" t="s">
        <v>9</v>
      </c>
      <c r="T53" s="1051"/>
      <c r="U53" s="1052"/>
      <c r="V53" s="197"/>
    </row>
    <row r="54" spans="1:23" ht="18" hidden="1" customHeight="1">
      <c r="A54" s="196"/>
      <c r="B54" s="47" t="s">
        <v>405</v>
      </c>
      <c r="H54" s="14"/>
      <c r="I54" s="14"/>
      <c r="J54" s="667" t="str">
        <f>H11</f>
        <v>0.5FS5</v>
      </c>
      <c r="K54" s="668"/>
      <c r="L54" s="14"/>
      <c r="M54" s="14"/>
      <c r="V54" s="197"/>
    </row>
    <row r="55" spans="1:23" ht="18" hidden="1" customHeight="1">
      <c r="A55" s="196"/>
      <c r="B55" s="47" t="s">
        <v>407</v>
      </c>
      <c r="I55" s="120" t="s">
        <v>508</v>
      </c>
      <c r="J55" s="656">
        <v>5</v>
      </c>
      <c r="K55" s="657"/>
      <c r="L55" s="204" t="s">
        <v>344</v>
      </c>
      <c r="T55" s="307"/>
      <c r="U55" s="18"/>
      <c r="V55" s="197"/>
    </row>
    <row r="56" spans="1:23" ht="18" hidden="1" customHeight="1">
      <c r="A56" s="196"/>
      <c r="B56" s="30" t="s">
        <v>579</v>
      </c>
      <c r="I56" s="120" t="s">
        <v>580</v>
      </c>
      <c r="J56" s="656">
        <v>10</v>
      </c>
      <c r="K56" s="657"/>
      <c r="T56" s="307"/>
      <c r="U56" s="18"/>
      <c r="V56" s="197"/>
      <c r="W56" s="30" t="str">
        <f>J90</f>
        <v>Suitable Dimensions</v>
      </c>
    </row>
    <row r="57" spans="1:23" ht="18" hidden="1" customHeight="1">
      <c r="A57" s="196"/>
      <c r="B57" s="47" t="s">
        <v>573</v>
      </c>
      <c r="I57" s="120" t="s">
        <v>504</v>
      </c>
      <c r="J57" s="656">
        <v>5</v>
      </c>
      <c r="K57" s="657"/>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hidden="1" customHeight="1">
      <c r="A62" s="196"/>
      <c r="B62" s="96" t="s">
        <v>416</v>
      </c>
      <c r="D62" s="308" t="str">
        <f>D19</f>
        <v>POINTER</v>
      </c>
      <c r="I62" s="189" t="s">
        <v>138</v>
      </c>
      <c r="J62" s="642">
        <f t="shared" si="0"/>
        <v>1.25</v>
      </c>
      <c r="K62" s="643"/>
      <c r="L62" s="210" t="s">
        <v>168</v>
      </c>
      <c r="P62" s="256"/>
      <c r="V62" s="197"/>
    </row>
    <row r="63" spans="1:23" ht="18" hidden="1" customHeight="1">
      <c r="A63" s="196"/>
      <c r="B63" s="96" t="s">
        <v>416</v>
      </c>
      <c r="C63" s="14"/>
      <c r="D63" s="47">
        <f>D20</f>
        <v>0</v>
      </c>
      <c r="E63" s="14"/>
      <c r="G63" s="211"/>
      <c r="H63" s="27"/>
      <c r="I63" s="101" t="s">
        <v>138</v>
      </c>
      <c r="J63" s="644">
        <f t="shared" si="0"/>
        <v>0</v>
      </c>
      <c r="K63" s="645"/>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644">
        <f t="shared" si="0"/>
        <v>0</v>
      </c>
      <c r="K64" s="645"/>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646">
        <f t="shared" si="0"/>
        <v>1.44186744</v>
      </c>
      <c r="K65" s="647"/>
      <c r="L65" s="309" t="s">
        <v>168</v>
      </c>
      <c r="O65" s="27" t="s">
        <v>138</v>
      </c>
      <c r="P65" s="637">
        <f>P64*R64*T64</f>
        <v>5</v>
      </c>
      <c r="Q65" s="639"/>
      <c r="R65" s="27" t="s">
        <v>168</v>
      </c>
      <c r="S65" s="27"/>
      <c r="T65" s="27"/>
      <c r="V65" s="197"/>
    </row>
    <row r="66" spans="1:22" ht="18" hidden="1" customHeight="1">
      <c r="A66" s="196"/>
      <c r="B66" s="1" t="s">
        <v>424</v>
      </c>
      <c r="C66" s="2"/>
      <c r="D66" s="2"/>
      <c r="E66" s="2"/>
      <c r="F66" s="208"/>
      <c r="G66" s="208"/>
      <c r="H66" s="236" t="s">
        <v>523</v>
      </c>
      <c r="I66" s="195" t="s">
        <v>138</v>
      </c>
      <c r="J66" s="648">
        <f t="shared" si="0"/>
        <v>2.6998674400000002</v>
      </c>
      <c r="K66" s="649"/>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86" t="str">
        <f>J53</f>
        <v>-</v>
      </c>
      <c r="Q68" s="986"/>
      <c r="R68" s="204" t="s">
        <v>9</v>
      </c>
      <c r="V68" s="197"/>
    </row>
    <row r="69" spans="1:22" ht="18" hidden="1" customHeight="1">
      <c r="A69" s="196"/>
      <c r="B69" s="47" t="s">
        <v>558</v>
      </c>
      <c r="C69" s="47"/>
      <c r="D69" s="47"/>
      <c r="E69" s="47"/>
      <c r="H69" s="27"/>
      <c r="I69" s="28"/>
      <c r="J69" s="211"/>
      <c r="L69" s="47"/>
      <c r="N69" s="120" t="s">
        <v>583</v>
      </c>
      <c r="O69" s="28" t="s">
        <v>138</v>
      </c>
      <c r="P69" s="986">
        <f>J55</f>
        <v>5</v>
      </c>
      <c r="Q69" s="986"/>
      <c r="R69" s="316" t="s">
        <v>168</v>
      </c>
      <c r="V69" s="197"/>
    </row>
    <row r="70" spans="1:22" ht="18" hidden="1" customHeight="1">
      <c r="A70" s="196"/>
      <c r="B70" s="47" t="s">
        <v>559</v>
      </c>
      <c r="C70" s="47"/>
      <c r="D70" s="47"/>
      <c r="E70" s="47"/>
      <c r="H70" s="27"/>
      <c r="I70" s="28"/>
      <c r="J70" s="211"/>
      <c r="L70" s="47"/>
      <c r="N70" s="120" t="s">
        <v>584</v>
      </c>
      <c r="O70" s="28" t="s">
        <v>138</v>
      </c>
      <c r="P70" s="960">
        <f>J66</f>
        <v>2.6998674400000002</v>
      </c>
      <c r="Q70" s="986"/>
      <c r="R70" s="316" t="s">
        <v>168</v>
      </c>
      <c r="V70" s="197"/>
    </row>
    <row r="71" spans="1:22" ht="18" hidden="1" customHeight="1">
      <c r="A71" s="196"/>
      <c r="B71" s="47" t="s">
        <v>560</v>
      </c>
      <c r="C71" s="47"/>
      <c r="D71" s="47"/>
      <c r="E71" s="47"/>
      <c r="H71" s="27"/>
      <c r="I71" s="28"/>
      <c r="J71" s="211"/>
      <c r="L71" s="47"/>
      <c r="N71" s="120" t="s">
        <v>522</v>
      </c>
      <c r="O71" s="28" t="s">
        <v>138</v>
      </c>
      <c r="P71" s="986">
        <f>O53</f>
        <v>1</v>
      </c>
      <c r="Q71" s="986"/>
      <c r="R71" s="204" t="s">
        <v>9</v>
      </c>
      <c r="V71" s="197"/>
    </row>
    <row r="72" spans="1:22" ht="18" hidden="1" customHeight="1">
      <c r="A72" s="196"/>
      <c r="B72" s="47" t="s">
        <v>585</v>
      </c>
      <c r="C72" s="47"/>
      <c r="D72" s="47"/>
      <c r="E72" s="47"/>
      <c r="H72" s="27"/>
      <c r="I72" s="28"/>
      <c r="J72" s="211"/>
      <c r="L72" s="47"/>
      <c r="N72" s="120" t="s">
        <v>506</v>
      </c>
      <c r="O72" s="28" t="s">
        <v>138</v>
      </c>
      <c r="P72" s="986">
        <v>10</v>
      </c>
      <c r="Q72" s="986"/>
      <c r="R72" s="204"/>
      <c r="V72" s="197"/>
    </row>
    <row r="73" spans="1:22" ht="18" hidden="1" customHeight="1">
      <c r="A73" s="196"/>
      <c r="B73" s="47" t="s">
        <v>588</v>
      </c>
      <c r="C73" s="47"/>
      <c r="D73" s="47"/>
      <c r="E73" s="47"/>
      <c r="H73" s="27"/>
      <c r="I73" s="28"/>
      <c r="J73" s="211"/>
      <c r="L73" s="47"/>
      <c r="O73" s="28" t="s">
        <v>138</v>
      </c>
      <c r="P73" s="960">
        <v>20</v>
      </c>
      <c r="Q73" s="960"/>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705">
        <f>S32</f>
        <v>20</v>
      </c>
      <c r="T75" s="707"/>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637">
        <f>J66</f>
        <v>2.6998674400000002</v>
      </c>
      <c r="K78" s="639"/>
      <c r="L78" s="28"/>
      <c r="M78" s="637"/>
      <c r="N78" s="639"/>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2.6998674400000002</v>
      </c>
      <c r="S81" s="308" t="s">
        <v>361</v>
      </c>
      <c r="V81" s="197"/>
    </row>
    <row r="82" spans="1:22" ht="18" hidden="1" customHeight="1">
      <c r="A82" s="196"/>
      <c r="I82" s="27" t="s">
        <v>138</v>
      </c>
      <c r="J82" s="640">
        <f>J81*((L81+N81)/(P81+R81))</f>
        <v>12.98723656988048</v>
      </c>
      <c r="K82" s="640"/>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639">
        <f>J57</f>
        <v>5</v>
      </c>
      <c r="H86" s="639"/>
      <c r="I86" s="27" t="str">
        <f>IF(G86&gt;J86,"&gt;","&lt;")</f>
        <v>&gt;</v>
      </c>
      <c r="J86" s="637">
        <f>J78</f>
        <v>2.6998674400000002</v>
      </c>
      <c r="K86" s="639"/>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637">
        <f>P73</f>
        <v>20</v>
      </c>
      <c r="H89" s="637"/>
      <c r="I89" s="27" t="str">
        <f>IF(G89&gt;J89,"&gt;","&lt;")</f>
        <v>&gt;</v>
      </c>
      <c r="J89" s="637">
        <f>J82</f>
        <v>12.98723656988048</v>
      </c>
      <c r="K89" s="637"/>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650" t="str">
        <f>B50</f>
        <v>T1</v>
      </c>
      <c r="C95" s="651"/>
      <c r="D95" s="663" t="str">
        <f>D50</f>
        <v>Core2</v>
      </c>
      <c r="E95" s="664"/>
      <c r="F95" s="267"/>
      <c r="H95" s="639" t="str">
        <f>H50</f>
        <v>(Metering + Ammeter)</v>
      </c>
      <c r="I95" s="639"/>
      <c r="J95" s="639"/>
      <c r="K95" s="639"/>
      <c r="L95" s="639"/>
      <c r="M95" s="639"/>
      <c r="P95" s="198"/>
      <c r="V95" s="197"/>
    </row>
    <row r="96" spans="1:22" ht="18" hidden="1" customHeight="1">
      <c r="A96" s="196"/>
      <c r="B96" s="660">
        <f>B51</f>
        <v>0</v>
      </c>
      <c r="C96" s="660"/>
      <c r="D96" s="665"/>
      <c r="E96" s="666"/>
      <c r="F96" s="267"/>
      <c r="V96" s="197"/>
    </row>
    <row r="97" spans="1:23" ht="18" hidden="1" customHeight="1">
      <c r="A97" s="196"/>
      <c r="H97" s="661" t="s">
        <v>401</v>
      </c>
      <c r="I97" s="661"/>
      <c r="J97" s="661" t="s">
        <v>402</v>
      </c>
      <c r="K97" s="661"/>
      <c r="L97" s="662" t="s">
        <v>403</v>
      </c>
      <c r="M97" s="662"/>
      <c r="V97" s="197"/>
    </row>
    <row r="98" spans="1:23" ht="18" hidden="1" customHeight="1">
      <c r="A98" s="196"/>
      <c r="B98" s="47" t="s">
        <v>404</v>
      </c>
      <c r="H98" s="650">
        <f>H53</f>
        <v>100</v>
      </c>
      <c r="I98" s="651"/>
      <c r="J98" s="650" t="str">
        <f>J53</f>
        <v>-</v>
      </c>
      <c r="K98" s="651"/>
      <c r="L98" s="652" t="str">
        <f>L53</f>
        <v>-</v>
      </c>
      <c r="M98" s="653"/>
      <c r="N98" s="203" t="s">
        <v>353</v>
      </c>
      <c r="O98" s="268">
        <f>O53</f>
        <v>1</v>
      </c>
      <c r="P98" s="27" t="s">
        <v>9</v>
      </c>
      <c r="V98" s="197"/>
    </row>
    <row r="99" spans="1:23" ht="18" hidden="1" customHeight="1">
      <c r="A99" s="196"/>
      <c r="B99" s="47" t="s">
        <v>405</v>
      </c>
      <c r="H99" s="14"/>
      <c r="I99" s="14"/>
      <c r="K99" s="14"/>
      <c r="L99" s="650" t="str">
        <f>J54</f>
        <v>0.5FS5</v>
      </c>
      <c r="M99" s="651"/>
      <c r="N99" s="14"/>
      <c r="V99" s="197"/>
    </row>
    <row r="100" spans="1:23" ht="18" hidden="1" customHeight="1">
      <c r="A100" s="196"/>
      <c r="B100" s="47" t="s">
        <v>407</v>
      </c>
      <c r="I100" s="120"/>
      <c r="K100" s="120" t="s">
        <v>508</v>
      </c>
      <c r="L100" s="656" t="s">
        <v>7</v>
      </c>
      <c r="M100" s="657"/>
      <c r="N100" s="204" t="s">
        <v>344</v>
      </c>
      <c r="T100" s="307"/>
      <c r="U100" s="18"/>
      <c r="V100" s="197"/>
    </row>
    <row r="101" spans="1:23" ht="18" hidden="1" customHeight="1">
      <c r="A101" s="196"/>
      <c r="B101" s="30" t="s">
        <v>579</v>
      </c>
      <c r="I101" s="120"/>
      <c r="K101" s="120" t="s">
        <v>580</v>
      </c>
      <c r="L101" s="656" t="s">
        <v>7</v>
      </c>
      <c r="M101" s="657"/>
      <c r="T101" s="307"/>
      <c r="U101" s="18"/>
      <c r="V101" s="197"/>
      <c r="W101" s="30" t="e">
        <f>J130</f>
        <v>#VALUE!</v>
      </c>
    </row>
    <row r="102" spans="1:23" ht="18" hidden="1" customHeight="1">
      <c r="A102" s="196"/>
      <c r="B102" s="47" t="s">
        <v>573</v>
      </c>
      <c r="I102" s="120"/>
      <c r="K102" s="120" t="s">
        <v>504</v>
      </c>
      <c r="L102" s="656" t="s">
        <v>7</v>
      </c>
      <c r="M102" s="657"/>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648">
        <f t="shared" ref="J106:J111" si="1">J61</f>
        <v>8.0000000000000002E-3</v>
      </c>
      <c r="K106" s="649"/>
      <c r="L106" s="3" t="s">
        <v>168</v>
      </c>
      <c r="N106" s="209" t="s">
        <v>521</v>
      </c>
      <c r="V106" s="197"/>
    </row>
    <row r="107" spans="1:23" ht="18" hidden="1" customHeight="1">
      <c r="A107" s="196"/>
      <c r="B107" s="96" t="s">
        <v>416</v>
      </c>
      <c r="D107" s="308" t="str">
        <f>D62</f>
        <v>POINTER</v>
      </c>
      <c r="I107" s="189" t="s">
        <v>138</v>
      </c>
      <c r="J107" s="642">
        <f t="shared" si="1"/>
        <v>1.25</v>
      </c>
      <c r="K107" s="643"/>
      <c r="L107" s="210" t="s">
        <v>168</v>
      </c>
      <c r="P107" s="256"/>
      <c r="V107" s="197"/>
    </row>
    <row r="108" spans="1:23" ht="18" hidden="1" customHeight="1">
      <c r="A108" s="196"/>
      <c r="B108" s="96" t="s">
        <v>416</v>
      </c>
      <c r="C108" s="14"/>
      <c r="D108" s="47">
        <f>D63</f>
        <v>0</v>
      </c>
      <c r="E108" s="14"/>
      <c r="G108" s="211"/>
      <c r="H108" s="27"/>
      <c r="I108" s="101" t="s">
        <v>138</v>
      </c>
      <c r="J108" s="644">
        <f t="shared" si="1"/>
        <v>0</v>
      </c>
      <c r="K108" s="645"/>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644">
        <f t="shared" si="1"/>
        <v>0</v>
      </c>
      <c r="K109" s="645"/>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646">
        <f t="shared" si="1"/>
        <v>1.44186744</v>
      </c>
      <c r="K110" s="647"/>
      <c r="L110" s="309" t="s">
        <v>168</v>
      </c>
      <c r="O110" s="27" t="s">
        <v>138</v>
      </c>
      <c r="P110" s="637" t="e">
        <f>P109*R109*T109</f>
        <v>#VALUE!</v>
      </c>
      <c r="Q110" s="639"/>
      <c r="R110" s="27" t="s">
        <v>168</v>
      </c>
      <c r="S110" s="27"/>
      <c r="T110" s="27"/>
      <c r="V110" s="197"/>
    </row>
    <row r="111" spans="1:23" ht="18" hidden="1" customHeight="1">
      <c r="A111" s="196"/>
      <c r="B111" s="1" t="s">
        <v>424</v>
      </c>
      <c r="C111" s="2"/>
      <c r="D111" s="2"/>
      <c r="E111" s="2"/>
      <c r="F111" s="208"/>
      <c r="G111" s="208"/>
      <c r="H111" s="236" t="s">
        <v>523</v>
      </c>
      <c r="I111" s="195" t="s">
        <v>138</v>
      </c>
      <c r="J111" s="897">
        <f t="shared" si="1"/>
        <v>2.6998674400000002</v>
      </c>
      <c r="K111" s="649"/>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705">
        <f>S75</f>
        <v>20</v>
      </c>
      <c r="T113" s="707"/>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637" t="e">
        <f>P110</f>
        <v>#VALUE!</v>
      </c>
      <c r="K116" s="639"/>
      <c r="L116" s="28" t="s">
        <v>358</v>
      </c>
      <c r="M116" s="637">
        <f>J111</f>
        <v>2.6998674400000002</v>
      </c>
      <c r="N116" s="639"/>
      <c r="V116" s="197"/>
    </row>
    <row r="117" spans="1:22" ht="18" hidden="1" customHeight="1">
      <c r="A117" s="196"/>
      <c r="I117" s="28" t="s">
        <v>138</v>
      </c>
      <c r="J117" s="637" t="e">
        <f>J116+M116</f>
        <v>#VALUE!</v>
      </c>
      <c r="K117" s="639"/>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2.6998674400000002</v>
      </c>
      <c r="S120" s="308" t="s">
        <v>361</v>
      </c>
      <c r="V120" s="197"/>
    </row>
    <row r="121" spans="1:22" ht="18" hidden="1" customHeight="1">
      <c r="A121" s="196"/>
      <c r="I121" s="27" t="s">
        <v>138</v>
      </c>
      <c r="J121" s="640" t="e">
        <f>J120*((L120+N120)/(P120+R120))</f>
        <v>#VALUE!</v>
      </c>
      <c r="K121" s="640"/>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639" t="str">
        <f>L102</f>
        <v>-</v>
      </c>
      <c r="H125" s="639"/>
      <c r="I125" s="27" t="e">
        <f>IF(G125&gt;J125,"&gt;","&lt;")</f>
        <v>#VALUE!</v>
      </c>
      <c r="J125" s="637" t="e">
        <f>J117</f>
        <v>#VALUE!</v>
      </c>
      <c r="K125" s="639"/>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637">
        <f>S113</f>
        <v>20</v>
      </c>
      <c r="H128" s="637"/>
      <c r="I128" s="27" t="e">
        <f>IF(G128&gt;J128,"&gt;","&lt;")</f>
        <v>#VALUE!</v>
      </c>
      <c r="J128" s="637" t="e">
        <f>J121</f>
        <v>#VALUE!</v>
      </c>
      <c r="K128" s="637"/>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614" t="s">
        <v>97</v>
      </c>
      <c r="B140" s="620"/>
      <c r="C140" s="615"/>
      <c r="D140" s="614" t="s">
        <v>98</v>
      </c>
      <c r="E140" s="620"/>
      <c r="F140" s="615"/>
      <c r="G140" s="614" t="s">
        <v>99</v>
      </c>
      <c r="H140" s="615"/>
      <c r="I140" s="614" t="s">
        <v>100</v>
      </c>
      <c r="J140" s="615"/>
      <c r="K140" s="614" t="s">
        <v>513</v>
      </c>
      <c r="L140" s="615"/>
      <c r="M140" s="614" t="s">
        <v>114</v>
      </c>
      <c r="N140" s="615"/>
      <c r="O140" s="614"/>
      <c r="P140" s="615"/>
      <c r="Q140" s="614" t="s">
        <v>516</v>
      </c>
      <c r="R140" s="615"/>
      <c r="S140" s="614" t="s">
        <v>105</v>
      </c>
      <c r="T140" s="620"/>
      <c r="U140" s="620"/>
      <c r="V140" s="615"/>
    </row>
    <row r="141" spans="1:22" ht="18" customHeight="1">
      <c r="A141" s="616"/>
      <c r="B141" s="621"/>
      <c r="C141" s="617"/>
      <c r="D141" s="616"/>
      <c r="E141" s="621"/>
      <c r="F141" s="617"/>
      <c r="G141" s="616"/>
      <c r="H141" s="617"/>
      <c r="I141" s="616"/>
      <c r="J141" s="617"/>
      <c r="K141" s="616"/>
      <c r="L141" s="617"/>
      <c r="M141" s="616"/>
      <c r="N141" s="617"/>
      <c r="O141" s="616"/>
      <c r="P141" s="617"/>
      <c r="Q141" s="616"/>
      <c r="R141" s="617"/>
      <c r="S141" s="616"/>
      <c r="T141" s="621"/>
      <c r="U141" s="621"/>
      <c r="V141" s="617"/>
    </row>
    <row r="142" spans="1:22" ht="18" customHeight="1">
      <c r="A142" s="616"/>
      <c r="B142" s="621"/>
      <c r="C142" s="617"/>
      <c r="D142" s="616"/>
      <c r="E142" s="621"/>
      <c r="F142" s="617"/>
      <c r="G142" s="616"/>
      <c r="H142" s="617"/>
      <c r="I142" s="616"/>
      <c r="J142" s="617"/>
      <c r="K142" s="616"/>
      <c r="L142" s="617"/>
      <c r="M142" s="616"/>
      <c r="N142" s="617"/>
      <c r="O142" s="616"/>
      <c r="P142" s="617"/>
      <c r="Q142" s="616"/>
      <c r="R142" s="617"/>
      <c r="S142" s="616"/>
      <c r="T142" s="621"/>
      <c r="U142" s="621"/>
      <c r="V142" s="617"/>
    </row>
    <row r="143" spans="1:22" ht="18" customHeight="1">
      <c r="A143" s="618"/>
      <c r="B143" s="622"/>
      <c r="C143" s="619"/>
      <c r="D143" s="618"/>
      <c r="E143" s="622"/>
      <c r="F143" s="619"/>
      <c r="G143" s="618"/>
      <c r="H143" s="619"/>
      <c r="I143" s="618"/>
      <c r="J143" s="619"/>
      <c r="K143" s="618"/>
      <c r="L143" s="619"/>
      <c r="M143" s="618"/>
      <c r="N143" s="619"/>
      <c r="O143" s="618"/>
      <c r="P143" s="619"/>
      <c r="Q143" s="618"/>
      <c r="R143" s="619"/>
      <c r="S143" s="618"/>
      <c r="T143" s="622"/>
      <c r="U143" s="622"/>
      <c r="V143" s="619"/>
    </row>
    <row r="144" spans="1:22" ht="18" customHeight="1">
      <c r="A144" s="623" t="str">
        <f>B95</f>
        <v>T1</v>
      </c>
      <c r="B144" s="623" t="str">
        <f>D95</f>
        <v>Core2</v>
      </c>
      <c r="C144" s="623"/>
      <c r="D144" s="613">
        <f>H98</f>
        <v>100</v>
      </c>
      <c r="E144" s="613"/>
      <c r="F144" s="624">
        <f>O98</f>
        <v>1</v>
      </c>
      <c r="G144" s="627">
        <f>'CT-VT Burdens'!S19</f>
        <v>80</v>
      </c>
      <c r="H144" s="630">
        <f>'CT-VT Burdens'!S10</f>
        <v>2.5</v>
      </c>
      <c r="I144" s="783" t="str">
        <f>L99</f>
        <v>0.5FS5</v>
      </c>
      <c r="J144" s="783"/>
      <c r="K144" s="612">
        <f>H12</f>
        <v>1</v>
      </c>
      <c r="L144" s="612"/>
      <c r="M144" s="612">
        <f>H14</f>
        <v>5</v>
      </c>
      <c r="N144" s="612"/>
      <c r="O144" s="613" t="s">
        <v>7</v>
      </c>
      <c r="P144" s="613"/>
      <c r="Q144" s="629" t="str">
        <f>CONCATENATE(T7," ",T8," ",T9," ",T10)</f>
        <v xml:space="preserve">XC-RACK POINTER  </v>
      </c>
      <c r="R144" s="629"/>
      <c r="S144" s="628" t="str">
        <f>J47</f>
        <v>Suitable Dimensions</v>
      </c>
      <c r="T144" s="628"/>
      <c r="U144" s="628"/>
      <c r="V144" s="628"/>
    </row>
    <row r="145" spans="1:22" ht="18" customHeight="1">
      <c r="A145" s="623"/>
      <c r="B145" s="623"/>
      <c r="C145" s="623"/>
      <c r="D145" s="613" t="str">
        <f>J98</f>
        <v>-</v>
      </c>
      <c r="E145" s="613"/>
      <c r="F145" s="625"/>
      <c r="G145" s="627"/>
      <c r="H145" s="630"/>
      <c r="I145" s="783"/>
      <c r="J145" s="783"/>
      <c r="K145" s="785" t="s">
        <v>7</v>
      </c>
      <c r="L145" s="612"/>
      <c r="M145" s="785" t="s">
        <v>7</v>
      </c>
      <c r="N145" s="612"/>
      <c r="O145" s="613" t="s">
        <v>7</v>
      </c>
      <c r="P145" s="613"/>
      <c r="Q145" s="629"/>
      <c r="R145" s="629"/>
      <c r="S145" s="961" t="s">
        <v>7</v>
      </c>
      <c r="T145" s="628"/>
      <c r="U145" s="628"/>
      <c r="V145" s="628"/>
    </row>
    <row r="146" spans="1:22" ht="18" customHeight="1">
      <c r="A146" s="623"/>
      <c r="B146" s="623"/>
      <c r="C146" s="623"/>
      <c r="D146" s="613" t="s">
        <v>7</v>
      </c>
      <c r="E146" s="613"/>
      <c r="F146" s="626"/>
      <c r="G146" s="627"/>
      <c r="H146" s="630"/>
      <c r="I146" s="783"/>
      <c r="J146" s="783"/>
      <c r="K146" s="612" t="s">
        <v>7</v>
      </c>
      <c r="L146" s="612"/>
      <c r="M146" s="612" t="s">
        <v>7</v>
      </c>
      <c r="N146" s="612"/>
      <c r="O146" s="613" t="s">
        <v>7</v>
      </c>
      <c r="P146" s="613"/>
      <c r="Q146" s="629"/>
      <c r="R146" s="629"/>
      <c r="S146" s="628" t="s">
        <v>7</v>
      </c>
      <c r="T146" s="628"/>
      <c r="U146" s="628"/>
      <c r="V146" s="628"/>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J121:K121"/>
    <mergeCell ref="G125:H125"/>
    <mergeCell ref="J125:K125"/>
    <mergeCell ref="G128:H128"/>
    <mergeCell ref="J128:K128"/>
    <mergeCell ref="A140:C143"/>
    <mergeCell ref="D140:F143"/>
    <mergeCell ref="G140:H143"/>
    <mergeCell ref="I140:J143"/>
    <mergeCell ref="K140:L143"/>
    <mergeCell ref="P110:Q110"/>
    <mergeCell ref="J111:K111"/>
    <mergeCell ref="S113:T113"/>
    <mergeCell ref="J116:K116"/>
    <mergeCell ref="M116:N116"/>
    <mergeCell ref="J117:K117"/>
    <mergeCell ref="L102:M102"/>
    <mergeCell ref="J106:K106"/>
    <mergeCell ref="J107:K107"/>
    <mergeCell ref="J108:K108"/>
    <mergeCell ref="J109:K109"/>
    <mergeCell ref="J110:K110"/>
    <mergeCell ref="H98:I98"/>
    <mergeCell ref="J98:K98"/>
    <mergeCell ref="L98:M98"/>
    <mergeCell ref="L99:M99"/>
    <mergeCell ref="L100:M100"/>
    <mergeCell ref="L101:M101"/>
    <mergeCell ref="B95:C95"/>
    <mergeCell ref="D95:E96"/>
    <mergeCell ref="H95:M95"/>
    <mergeCell ref="B96:C96"/>
    <mergeCell ref="H97:I97"/>
    <mergeCell ref="J97:K97"/>
    <mergeCell ref="L97:M97"/>
    <mergeCell ref="J78:K78"/>
    <mergeCell ref="M78:N78"/>
    <mergeCell ref="J82:K82"/>
    <mergeCell ref="G86:H86"/>
    <mergeCell ref="J86:K86"/>
    <mergeCell ref="G89:H89"/>
    <mergeCell ref="J89:K89"/>
    <mergeCell ref="P69:Q69"/>
    <mergeCell ref="P70:Q70"/>
    <mergeCell ref="P71:Q71"/>
    <mergeCell ref="P72:Q72"/>
    <mergeCell ref="P73:Q73"/>
    <mergeCell ref="S75:T75"/>
    <mergeCell ref="J63:K63"/>
    <mergeCell ref="J64:K64"/>
    <mergeCell ref="J65:K65"/>
    <mergeCell ref="P65:Q65"/>
    <mergeCell ref="J66:K66"/>
    <mergeCell ref="P68:Q68"/>
    <mergeCell ref="J54:K54"/>
    <mergeCell ref="J55:K55"/>
    <mergeCell ref="J56:K56"/>
    <mergeCell ref="J57:K57"/>
    <mergeCell ref="J61:K61"/>
    <mergeCell ref="J62:K62"/>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H12:I12"/>
    <mergeCell ref="H13:I13"/>
    <mergeCell ref="H14:I14"/>
    <mergeCell ref="J18:K18"/>
    <mergeCell ref="J19:K19"/>
    <mergeCell ref="J20:K20"/>
    <mergeCell ref="H10:I10"/>
    <mergeCell ref="J10:K10"/>
    <mergeCell ref="L10:M10"/>
    <mergeCell ref="T10:U10"/>
    <mergeCell ref="H11:I11"/>
    <mergeCell ref="T11:U11"/>
    <mergeCell ref="B7:C8"/>
    <mergeCell ref="D7:E8"/>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47:J47 I90:J92 I129:J135">
    <cfRule type="cellIs" dxfId="48" priority="2" stopIfTrue="1" operator="equal">
      <formula>"Not suitable"</formula>
    </cfRule>
  </conditionalFormatting>
  <conditionalFormatting sqref="S43 S46 S86 S89 S125 S128">
    <cfRule type="cellIs" dxfId="47" priority="1" stopIfTrue="1" operator="equal">
      <formula>"Not satisfied"</formula>
    </cfRule>
  </conditionalFormatting>
  <dataValidations count="2">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624F4471-DA9F-4BF4-8120-2A3A06C86340}">
      <formula1>"Core1,Core2,Core3"</formula1>
    </dataValidation>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WVL983043:WVM983044" xr:uid="{7AB0914E-DDC8-4B38-A234-8479E05E1054}">
      <formula1>"Core1,Core2,Core3,Core4,Core5"</formula1>
    </dataValidation>
  </dataValidations>
  <printOptions horizontalCentered="1" verticalCentered="1"/>
  <pageMargins left="0.5" right="0.5" top="0.5" bottom="0.5" header="0" footer="0"/>
  <pageSetup paperSize="9" scale="99" orientation="portrait" r:id="rId1"/>
  <headerFooter alignWithMargins="0"/>
  <rowBreaks count="1" manualBreakCount="1">
    <brk id="48" max="21" man="1"/>
  </rowBreaks>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BD6F0-6A54-47DE-9CC0-44B52967B255}">
  <sheetPr>
    <tabColor rgb="FF99CCFF"/>
  </sheetPr>
  <dimension ref="A1:Y44"/>
  <sheetViews>
    <sheetView view="pageBreakPreview" zoomScale="115" zoomScaleNormal="100" zoomScaleSheetLayoutView="115" workbookViewId="0">
      <selection activeCell="H30" sqref="H30"/>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165" t="s">
        <v>122</v>
      </c>
      <c r="F22" s="1165"/>
      <c r="G22" s="1165"/>
      <c r="H22" s="1165"/>
      <c r="I22" s="1165"/>
      <c r="J22" s="1165"/>
      <c r="K22" s="1165"/>
      <c r="L22" s="1165"/>
      <c r="M22" s="1165"/>
      <c r="N22" s="1165"/>
      <c r="O22" s="1165"/>
      <c r="P22" s="1165"/>
      <c r="Q22" s="1165"/>
      <c r="R22" s="1165"/>
      <c r="S22" s="27"/>
      <c r="T22" s="27"/>
      <c r="U22" s="27"/>
      <c r="V22" s="189"/>
      <c r="W22" s="27"/>
      <c r="X22" s="27"/>
    </row>
    <row r="23" spans="1:24" ht="18" customHeight="1">
      <c r="A23" s="69"/>
      <c r="B23" s="27"/>
      <c r="C23" s="27"/>
      <c r="D23" s="27"/>
      <c r="E23" s="1165"/>
      <c r="F23" s="1165"/>
      <c r="G23" s="1165"/>
      <c r="H23" s="1165"/>
      <c r="I23" s="1165"/>
      <c r="J23" s="1165"/>
      <c r="K23" s="1165"/>
      <c r="L23" s="1165"/>
      <c r="M23" s="1165"/>
      <c r="N23" s="1165"/>
      <c r="O23" s="1165"/>
      <c r="P23" s="1165"/>
      <c r="Q23" s="1165"/>
      <c r="R23" s="1165"/>
      <c r="S23" s="27"/>
      <c r="T23" s="27"/>
      <c r="U23" s="27"/>
      <c r="V23" s="189"/>
      <c r="W23" s="27"/>
      <c r="X23" s="27"/>
    </row>
    <row r="24" spans="1:24" ht="18" customHeight="1">
      <c r="A24" s="69"/>
      <c r="C24" s="190"/>
      <c r="D24" s="190"/>
      <c r="E24" s="1165"/>
      <c r="F24" s="1165"/>
      <c r="G24" s="1165"/>
      <c r="H24" s="1165"/>
      <c r="I24" s="1165"/>
      <c r="J24" s="1165"/>
      <c r="K24" s="1165"/>
      <c r="L24" s="1165"/>
      <c r="M24" s="1165"/>
      <c r="N24" s="1165"/>
      <c r="O24" s="1165"/>
      <c r="P24" s="1165"/>
      <c r="Q24" s="1165"/>
      <c r="R24" s="1165"/>
      <c r="S24" s="4"/>
      <c r="T24" s="4"/>
      <c r="U24" s="4"/>
      <c r="V24" s="71"/>
      <c r="W24" s="4"/>
      <c r="X24" s="4"/>
    </row>
    <row r="25" spans="1:24" ht="18" customHeight="1">
      <c r="A25" s="69"/>
      <c r="B25" s="26"/>
      <c r="C25" s="4"/>
      <c r="D25" s="73"/>
      <c r="E25" s="1165"/>
      <c r="F25" s="1165"/>
      <c r="G25" s="1165"/>
      <c r="H25" s="1165"/>
      <c r="I25" s="1165"/>
      <c r="J25" s="1165"/>
      <c r="K25" s="1165"/>
      <c r="L25" s="1165"/>
      <c r="M25" s="1165"/>
      <c r="N25" s="1165"/>
      <c r="O25" s="1165"/>
      <c r="P25" s="1165"/>
      <c r="Q25" s="1165"/>
      <c r="R25" s="1165"/>
      <c r="S25" s="4"/>
      <c r="T25" s="4"/>
      <c r="U25" s="4"/>
      <c r="V25" s="71"/>
      <c r="W25" s="4"/>
      <c r="X25" s="4"/>
    </row>
    <row r="26" spans="1:24" ht="18" customHeight="1">
      <c r="A26" s="69"/>
      <c r="E26" s="1165"/>
      <c r="F26" s="1165"/>
      <c r="G26" s="1165"/>
      <c r="H26" s="1165"/>
      <c r="I26" s="1165"/>
      <c r="J26" s="1165"/>
      <c r="K26" s="1165"/>
      <c r="L26" s="1165"/>
      <c r="M26" s="1165"/>
      <c r="N26" s="1165"/>
      <c r="O26" s="1165"/>
      <c r="P26" s="1165"/>
      <c r="Q26" s="1165"/>
      <c r="R26" s="1165"/>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6"/>
  </mergeCells>
  <printOptions horizontalCentered="1" verticalCentered="1"/>
  <pageMargins left="0.5" right="0.5" top="0.5" bottom="0.5" header="0" footer="0"/>
  <pageSetup paperSize="9" scale="9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9593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8EB34-E0F2-4C12-9597-B6D74BD904D8}">
  <sheetPr>
    <tabColor indexed="50"/>
  </sheetPr>
  <dimension ref="A1:AA322"/>
  <sheetViews>
    <sheetView showZeros="0" view="pageBreakPreview" topLeftCell="A16" zoomScale="130" zoomScaleNormal="100" zoomScaleSheetLayoutView="130" workbookViewId="0">
      <selection activeCell="H289" sqref="H289"/>
    </sheetView>
  </sheetViews>
  <sheetFormatPr defaultColWidth="4.33203125" defaultRowHeight="18" customHeight="1"/>
  <cols>
    <col min="1" max="9" width="4.33203125" style="30"/>
    <col min="10" max="10" width="4.33203125" style="30" customWidth="1"/>
    <col min="11" max="12" width="4.33203125" style="30"/>
    <col min="13" max="15" width="4.33203125" style="30" customWidth="1"/>
    <col min="16" max="16" width="4.33203125" style="30"/>
    <col min="17" max="17" width="4.5546875" style="30" bestFit="1" customWidth="1"/>
    <col min="18" max="18" width="4.33203125" style="30"/>
    <col min="19" max="19" width="4.5546875" style="30" bestFit="1" customWidth="1"/>
    <col min="20" max="16384" width="4.33203125" style="30"/>
  </cols>
  <sheetData>
    <row r="1" spans="1:24"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Title!H2</f>
        <v>ADEQUACY CHECK</v>
      </c>
      <c r="I2" s="730"/>
      <c r="J2" s="730"/>
      <c r="K2" s="730"/>
      <c r="L2" s="730"/>
      <c r="M2" s="730"/>
      <c r="N2" s="731"/>
      <c r="O2" s="702" t="str">
        <f>Title!O2</f>
        <v>Date</v>
      </c>
      <c r="P2" s="703"/>
      <c r="Q2" s="704"/>
      <c r="R2" s="732">
        <f>Title!R2</f>
        <v>46106</v>
      </c>
      <c r="S2" s="706"/>
      <c r="T2" s="706"/>
      <c r="U2" s="706"/>
      <c r="V2" s="707"/>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14"/>
      <c r="X4" s="14"/>
    </row>
    <row r="5" spans="1:24" ht="18" customHeight="1">
      <c r="A5" s="708" t="str">
        <f>Title!A5</f>
        <v>Prep. By</v>
      </c>
      <c r="B5" s="709"/>
      <c r="C5" s="25" t="str">
        <f>Title!C5</f>
        <v>AP</v>
      </c>
      <c r="D5" s="708" t="str">
        <f>Title!D5</f>
        <v>Checked By</v>
      </c>
      <c r="E5" s="710"/>
      <c r="F5" s="709"/>
      <c r="G5" s="25" t="str">
        <f>Title!G5</f>
        <v>RB</v>
      </c>
      <c r="H5" s="711" t="s">
        <v>720</v>
      </c>
      <c r="I5" s="712"/>
      <c r="J5" s="712"/>
      <c r="K5" s="712"/>
      <c r="L5" s="712"/>
      <c r="M5" s="712"/>
      <c r="N5" s="713"/>
      <c r="O5" s="714" t="str">
        <f>Title!O5</f>
        <v>Contractor</v>
      </c>
      <c r="P5" s="715"/>
      <c r="Q5" s="716"/>
      <c r="R5" s="705" t="str">
        <f>Title!R5</f>
        <v>HITACHI</v>
      </c>
      <c r="S5" s="706"/>
      <c r="T5" s="706"/>
      <c r="U5" s="706"/>
      <c r="V5" s="707"/>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940" t="s">
        <v>120</v>
      </c>
      <c r="C7" s="941"/>
      <c r="D7" s="944" t="s">
        <v>396</v>
      </c>
      <c r="E7" s="945"/>
      <c r="F7" s="468"/>
      <c r="H7" s="639" t="s">
        <v>518</v>
      </c>
      <c r="I7" s="639"/>
      <c r="J7" s="639"/>
      <c r="K7" s="639"/>
      <c r="L7" s="639"/>
      <c r="M7" s="639"/>
      <c r="P7" s="198"/>
      <c r="S7" s="199" t="s">
        <v>398</v>
      </c>
      <c r="T7" s="940" t="s">
        <v>519</v>
      </c>
      <c r="U7" s="941"/>
      <c r="V7" s="197"/>
    </row>
    <row r="8" spans="1:24" ht="18" customHeight="1">
      <c r="A8" s="469"/>
      <c r="F8" s="468"/>
      <c r="T8" s="940" t="s">
        <v>520</v>
      </c>
      <c r="U8" s="941"/>
      <c r="V8" s="197"/>
    </row>
    <row r="9" spans="1:24" ht="18" customHeight="1">
      <c r="A9" s="196"/>
      <c r="H9" s="662" t="s">
        <v>401</v>
      </c>
      <c r="I9" s="662"/>
      <c r="J9" s="701" t="s">
        <v>402</v>
      </c>
      <c r="K9" s="701"/>
      <c r="L9" s="701" t="s">
        <v>403</v>
      </c>
      <c r="M9" s="701"/>
      <c r="T9" s="940" t="s">
        <v>205</v>
      </c>
      <c r="U9" s="941"/>
      <c r="V9" s="197"/>
    </row>
    <row r="10" spans="1:24" ht="18" customHeight="1">
      <c r="A10" s="196"/>
      <c r="B10" s="47" t="s">
        <v>404</v>
      </c>
      <c r="H10" s="942">
        <v>2500</v>
      </c>
      <c r="I10" s="943"/>
      <c r="J10" s="940" t="s">
        <v>7</v>
      </c>
      <c r="K10" s="941"/>
      <c r="L10" s="940" t="s">
        <v>7</v>
      </c>
      <c r="M10" s="941"/>
      <c r="N10" s="203" t="s">
        <v>353</v>
      </c>
      <c r="O10" s="515">
        <v>1</v>
      </c>
      <c r="P10" s="27" t="s">
        <v>9</v>
      </c>
      <c r="R10" s="267"/>
      <c r="S10" s="267"/>
      <c r="V10" s="197"/>
    </row>
    <row r="11" spans="1:24" ht="18" customHeight="1">
      <c r="A11" s="196"/>
      <c r="B11" s="47" t="s">
        <v>405</v>
      </c>
      <c r="H11" s="940" t="s">
        <v>406</v>
      </c>
      <c r="I11" s="941"/>
      <c r="V11" s="197"/>
    </row>
    <row r="12" spans="1:24" ht="18" customHeight="1">
      <c r="A12" s="196"/>
      <c r="B12" s="47" t="s">
        <v>407</v>
      </c>
      <c r="G12" s="120" t="s">
        <v>508</v>
      </c>
      <c r="H12" s="940">
        <v>10</v>
      </c>
      <c r="I12" s="941"/>
      <c r="J12" s="204" t="s">
        <v>344</v>
      </c>
      <c r="V12" s="197"/>
    </row>
    <row r="13" spans="1:24" ht="18" customHeight="1">
      <c r="A13" s="196"/>
      <c r="B13" s="47" t="s">
        <v>409</v>
      </c>
      <c r="G13" s="120" t="s">
        <v>509</v>
      </c>
      <c r="H13" s="940">
        <v>325</v>
      </c>
      <c r="I13" s="941"/>
      <c r="J13" s="14" t="s">
        <v>316</v>
      </c>
      <c r="T13" s="307"/>
      <c r="U13" s="18"/>
      <c r="V13" s="197"/>
      <c r="W13" s="30" t="e">
        <f>#REF!</f>
        <v>#REF!</v>
      </c>
    </row>
    <row r="14" spans="1:24" ht="18" customHeight="1">
      <c r="A14" s="196"/>
      <c r="B14" s="14" t="s">
        <v>412</v>
      </c>
      <c r="G14" s="120" t="s">
        <v>413</v>
      </c>
      <c r="H14" s="940">
        <v>50</v>
      </c>
      <c r="I14" s="941"/>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REC670</v>
      </c>
      <c r="E18" s="239"/>
      <c r="F18" s="239"/>
      <c r="G18" s="239"/>
      <c r="H18" s="145"/>
      <c r="I18" s="272" t="s">
        <v>138</v>
      </c>
      <c r="J18" s="946">
        <f>'CT-VT Burdens'!Q48</f>
        <v>0.02</v>
      </c>
      <c r="K18" s="947"/>
      <c r="L18" s="3" t="s">
        <v>168</v>
      </c>
      <c r="N18" s="209" t="s">
        <v>521</v>
      </c>
      <c r="V18" s="197"/>
    </row>
    <row r="19" spans="1:25" ht="18" customHeight="1">
      <c r="A19" s="196"/>
      <c r="B19" s="96" t="s">
        <v>416</v>
      </c>
      <c r="C19" s="14"/>
      <c r="D19" s="47" t="str">
        <f>T8</f>
        <v>REF615</v>
      </c>
      <c r="H19" s="28"/>
      <c r="I19" s="101" t="s">
        <v>138</v>
      </c>
      <c r="J19" s="946">
        <f>'CT-VT Burdens'!Q55</f>
        <v>0.02</v>
      </c>
      <c r="K19" s="947"/>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t="str">
        <f>T9</f>
        <v>FMS</v>
      </c>
      <c r="H20" s="28"/>
      <c r="I20" s="101" t="s">
        <v>138</v>
      </c>
      <c r="J20" s="946">
        <f>'CT-VT Burdens'!Q92</f>
        <v>5.8000000000000003E-2</v>
      </c>
      <c r="K20" s="947"/>
      <c r="L20" s="3" t="s">
        <v>168</v>
      </c>
      <c r="N20" s="27"/>
      <c r="O20" s="27" t="s">
        <v>138</v>
      </c>
      <c r="P20" s="27">
        <f>O10</f>
        <v>1</v>
      </c>
      <c r="Q20" s="27" t="s">
        <v>326</v>
      </c>
      <c r="R20" s="27">
        <f>O10</f>
        <v>1</v>
      </c>
      <c r="S20" s="27" t="s">
        <v>326</v>
      </c>
      <c r="T20" s="27">
        <f>H12</f>
        <v>10</v>
      </c>
      <c r="V20" s="197"/>
    </row>
    <row r="21" spans="1:25" ht="18" customHeight="1">
      <c r="A21" s="196"/>
      <c r="B21" s="465" t="s">
        <v>423</v>
      </c>
      <c r="C21" s="271"/>
      <c r="D21" s="271"/>
      <c r="E21" s="271"/>
      <c r="F21" s="219"/>
      <c r="G21" s="219"/>
      <c r="H21" s="202"/>
      <c r="I21" s="220" t="s">
        <v>138</v>
      </c>
      <c r="J21" s="950">
        <f>'CT-VT Burdens'!S22</f>
        <v>1.44186744</v>
      </c>
      <c r="K21" s="951"/>
      <c r="L21" s="309" t="s">
        <v>168</v>
      </c>
      <c r="O21" s="27" t="s">
        <v>138</v>
      </c>
      <c r="P21" s="637">
        <f>P20*R20*T20</f>
        <v>10</v>
      </c>
      <c r="Q21" s="639"/>
      <c r="R21" s="27" t="s">
        <v>168</v>
      </c>
      <c r="V21" s="197"/>
    </row>
    <row r="22" spans="1:25" ht="18" customHeight="1">
      <c r="A22" s="196"/>
      <c r="B22" s="1" t="s">
        <v>424</v>
      </c>
      <c r="C22" s="2"/>
      <c r="D22" s="2"/>
      <c r="E22" s="2"/>
      <c r="F22" s="208"/>
      <c r="G22" s="208"/>
      <c r="H22" s="236" t="s">
        <v>523</v>
      </c>
      <c r="I22" s="195" t="s">
        <v>138</v>
      </c>
      <c r="J22" s="648">
        <f>SUM(J18:J21)</f>
        <v>1.5398674400000001</v>
      </c>
      <c r="K22" s="649"/>
      <c r="L22" s="3" t="s">
        <v>168</v>
      </c>
      <c r="V22" s="197"/>
    </row>
    <row r="23" spans="1:25" ht="18" customHeight="1">
      <c r="A23" s="196"/>
      <c r="B23" s="47"/>
      <c r="C23" s="47"/>
      <c r="D23" s="47"/>
      <c r="E23" s="47"/>
      <c r="H23" s="27"/>
      <c r="I23" s="28"/>
      <c r="J23" s="211"/>
      <c r="L23" s="47"/>
      <c r="S23" s="27"/>
      <c r="V23" s="197"/>
    </row>
    <row r="24" spans="1:25" ht="18" customHeight="1">
      <c r="A24" s="196"/>
      <c r="B24" s="117" t="s">
        <v>524</v>
      </c>
      <c r="Q24" s="223"/>
      <c r="R24" s="204"/>
      <c r="V24" s="197"/>
    </row>
    <row r="25" spans="1:25" ht="18" customHeight="1">
      <c r="A25" s="196"/>
      <c r="B25" s="955" t="s">
        <v>428</v>
      </c>
      <c r="C25" s="956"/>
      <c r="D25" s="956"/>
      <c r="E25" s="638">
        <v>1.5</v>
      </c>
      <c r="F25" s="638" t="s">
        <v>326</v>
      </c>
      <c r="G25" s="701" t="s">
        <v>492</v>
      </c>
      <c r="H25" s="701" t="s">
        <v>493</v>
      </c>
      <c r="I25" s="957"/>
      <c r="J25" s="638" t="s">
        <v>326</v>
      </c>
      <c r="K25" s="638" t="s">
        <v>430</v>
      </c>
      <c r="L25" s="638" t="s">
        <v>451</v>
      </c>
      <c r="M25" s="958" t="s">
        <v>358</v>
      </c>
      <c r="N25" s="638" t="s">
        <v>458</v>
      </c>
      <c r="O25" s="638" t="s">
        <v>358</v>
      </c>
      <c r="P25" s="953" t="s">
        <v>459</v>
      </c>
      <c r="Q25" s="953"/>
      <c r="R25" s="953"/>
      <c r="S25" s="952" t="s">
        <v>361</v>
      </c>
      <c r="T25" s="954" t="s">
        <v>433</v>
      </c>
      <c r="V25" s="197"/>
    </row>
    <row r="26" spans="1:25" ht="18" customHeight="1">
      <c r="A26" s="196"/>
      <c r="B26" s="956"/>
      <c r="C26" s="956"/>
      <c r="D26" s="956"/>
      <c r="E26" s="638"/>
      <c r="F26" s="638"/>
      <c r="G26" s="638"/>
      <c r="H26" s="639" t="s">
        <v>494</v>
      </c>
      <c r="I26" s="887"/>
      <c r="J26" s="638"/>
      <c r="K26" s="638"/>
      <c r="L26" s="638"/>
      <c r="M26" s="958"/>
      <c r="N26" s="638"/>
      <c r="O26" s="638"/>
      <c r="P26" s="28" t="s">
        <v>449</v>
      </c>
      <c r="Q26" s="28" t="s">
        <v>326</v>
      </c>
      <c r="R26" s="28" t="s">
        <v>449</v>
      </c>
      <c r="S26" s="952"/>
      <c r="T26" s="954"/>
      <c r="V26" s="112"/>
    </row>
    <row r="27" spans="1:25" ht="18" customHeight="1">
      <c r="A27" s="196"/>
      <c r="C27" s="28"/>
      <c r="D27" s="28"/>
      <c r="E27" s="28"/>
      <c r="F27" s="28"/>
      <c r="G27" s="28"/>
      <c r="H27" s="638"/>
      <c r="I27" s="920"/>
      <c r="J27" s="28"/>
      <c r="K27" s="28"/>
      <c r="L27" s="28"/>
      <c r="M27" s="28"/>
      <c r="N27" s="47"/>
      <c r="O27" s="28"/>
      <c r="V27" s="197"/>
    </row>
    <row r="28" spans="1:25" ht="18" customHeight="1">
      <c r="A28" s="196"/>
      <c r="C28" s="30" t="s">
        <v>525</v>
      </c>
      <c r="R28" s="27" t="s">
        <v>138</v>
      </c>
      <c r="S28" s="639">
        <v>6</v>
      </c>
      <c r="T28" s="639"/>
      <c r="V28" s="197"/>
    </row>
    <row r="29" spans="1:25" ht="18" customHeight="1">
      <c r="A29" s="180"/>
      <c r="B29" s="5"/>
      <c r="C29" s="308" t="s">
        <v>526</v>
      </c>
      <c r="D29" s="14"/>
      <c r="E29" s="14"/>
      <c r="F29" s="14"/>
      <c r="G29" s="14"/>
      <c r="H29" s="291"/>
      <c r="I29" s="120"/>
      <c r="J29" s="291"/>
      <c r="K29" s="291"/>
      <c r="L29" s="14"/>
      <c r="M29" s="14"/>
      <c r="N29" s="14"/>
      <c r="O29" s="14"/>
      <c r="P29" s="14"/>
      <c r="Q29" s="256" t="s">
        <v>492</v>
      </c>
      <c r="R29" s="102" t="s">
        <v>138</v>
      </c>
      <c r="S29" s="638">
        <f>S28*S30</f>
        <v>15000</v>
      </c>
      <c r="T29" s="638"/>
      <c r="U29" s="47" t="s">
        <v>9</v>
      </c>
      <c r="V29" s="197"/>
    </row>
    <row r="30" spans="1:25" ht="18" customHeight="1">
      <c r="A30" s="180"/>
      <c r="B30" s="5"/>
      <c r="C30" s="47" t="s">
        <v>527</v>
      </c>
      <c r="D30" s="14"/>
      <c r="E30" s="14"/>
      <c r="F30" s="18"/>
      <c r="G30" s="18"/>
      <c r="H30" s="291"/>
      <c r="I30" s="120"/>
      <c r="J30" s="291"/>
      <c r="K30" s="291"/>
      <c r="L30" s="14"/>
      <c r="M30" s="14"/>
      <c r="N30" s="14"/>
      <c r="O30" s="14"/>
      <c r="P30" s="14"/>
      <c r="Q30" s="256" t="s">
        <v>494</v>
      </c>
      <c r="R30" s="102" t="s">
        <v>138</v>
      </c>
      <c r="S30" s="638">
        <f>H10</f>
        <v>2500</v>
      </c>
      <c r="T30" s="638"/>
      <c r="U30" s="14" t="s">
        <v>9</v>
      </c>
      <c r="V30" s="197"/>
    </row>
    <row r="31" spans="1:25" ht="18" customHeight="1">
      <c r="A31" s="180"/>
      <c r="B31" s="5"/>
      <c r="C31" s="47" t="s">
        <v>528</v>
      </c>
      <c r="D31" s="14"/>
      <c r="E31" s="14"/>
      <c r="F31" s="18"/>
      <c r="G31" s="18"/>
      <c r="H31" s="291"/>
      <c r="I31" s="120"/>
      <c r="J31" s="291"/>
      <c r="K31" s="291"/>
      <c r="L31" s="14"/>
      <c r="M31" s="14"/>
      <c r="N31" s="14"/>
      <c r="O31" s="14"/>
      <c r="P31" s="14"/>
      <c r="Q31" s="256" t="s">
        <v>493</v>
      </c>
      <c r="R31" s="102" t="s">
        <v>138</v>
      </c>
      <c r="S31" s="638">
        <f>O10</f>
        <v>1</v>
      </c>
      <c r="T31" s="638"/>
      <c r="U31" s="30" t="s">
        <v>9</v>
      </c>
      <c r="V31" s="197"/>
    </row>
    <row r="32" spans="1:25" ht="18" customHeight="1">
      <c r="A32" s="180"/>
      <c r="B32" s="5"/>
      <c r="C32" s="47" t="s">
        <v>529</v>
      </c>
      <c r="D32" s="14"/>
      <c r="E32" s="14"/>
      <c r="F32" s="18"/>
      <c r="G32" s="18"/>
      <c r="H32" s="291"/>
      <c r="I32" s="120"/>
      <c r="J32" s="291"/>
      <c r="K32" s="291"/>
      <c r="L32" s="14"/>
      <c r="M32" s="14"/>
      <c r="N32" s="14"/>
      <c r="O32" s="14"/>
      <c r="P32" s="14"/>
      <c r="Q32" s="256" t="s">
        <v>157</v>
      </c>
      <c r="R32" s="102" t="s">
        <v>138</v>
      </c>
      <c r="S32" s="959">
        <f>O10</f>
        <v>1</v>
      </c>
      <c r="T32" s="959"/>
      <c r="U32" s="30" t="s">
        <v>9</v>
      </c>
      <c r="V32" s="197"/>
      <c r="W32" s="291"/>
      <c r="X32" s="291"/>
      <c r="Y32" s="291"/>
    </row>
    <row r="33" spans="1:25" ht="18" customHeight="1">
      <c r="A33" s="180"/>
      <c r="B33" s="5"/>
      <c r="C33" s="308" t="s">
        <v>530</v>
      </c>
      <c r="D33" s="14"/>
      <c r="E33" s="14"/>
      <c r="F33" s="18"/>
      <c r="G33" s="18"/>
      <c r="H33" s="291"/>
      <c r="I33" s="120"/>
      <c r="J33" s="291"/>
      <c r="K33" s="291"/>
      <c r="L33" s="14"/>
      <c r="M33" s="14"/>
      <c r="N33" s="14"/>
      <c r="O33" s="14"/>
      <c r="P33" s="14"/>
      <c r="Q33" s="256" t="s">
        <v>431</v>
      </c>
      <c r="R33" s="102" t="s">
        <v>138</v>
      </c>
      <c r="S33" s="641">
        <f>H12</f>
        <v>10</v>
      </c>
      <c r="T33" s="638"/>
      <c r="U33" s="30" t="s">
        <v>531</v>
      </c>
      <c r="V33" s="197"/>
      <c r="X33" s="291"/>
      <c r="Y33" s="291"/>
    </row>
    <row r="34" spans="1:25" ht="18" customHeight="1">
      <c r="A34" s="180"/>
      <c r="B34" s="5"/>
      <c r="C34" s="308" t="s">
        <v>532</v>
      </c>
      <c r="D34" s="14"/>
      <c r="E34" s="14"/>
      <c r="F34" s="14"/>
      <c r="G34" s="14"/>
      <c r="H34" s="291"/>
      <c r="I34" s="120"/>
      <c r="J34" s="291"/>
      <c r="K34" s="291"/>
      <c r="L34" s="14"/>
      <c r="M34" s="14"/>
      <c r="N34" s="14"/>
      <c r="O34" s="14"/>
      <c r="P34" s="14"/>
      <c r="Q34" s="256" t="s">
        <v>533</v>
      </c>
      <c r="R34" s="102" t="s">
        <v>138</v>
      </c>
      <c r="S34" s="641">
        <f>J22</f>
        <v>1.5398674400000001</v>
      </c>
      <c r="T34" s="638"/>
      <c r="U34" s="30" t="s">
        <v>531</v>
      </c>
      <c r="V34" s="197"/>
      <c r="X34" s="291"/>
      <c r="Y34" s="291"/>
    </row>
    <row r="35" spans="1:25" ht="18" customHeight="1">
      <c r="A35" s="180"/>
      <c r="B35" s="5"/>
      <c r="C35" s="308" t="s">
        <v>534</v>
      </c>
      <c r="D35" s="14"/>
      <c r="E35" s="14"/>
      <c r="F35" s="14"/>
      <c r="G35" s="14"/>
      <c r="H35" s="291"/>
      <c r="I35" s="120"/>
      <c r="J35" s="291"/>
      <c r="K35" s="291"/>
      <c r="L35" s="14"/>
      <c r="M35" s="14"/>
      <c r="N35" s="14"/>
      <c r="O35" s="14"/>
      <c r="P35" s="14"/>
      <c r="Q35" s="256" t="s">
        <v>535</v>
      </c>
      <c r="R35" s="102" t="s">
        <v>138</v>
      </c>
      <c r="S35" s="641">
        <f>J18</f>
        <v>0.02</v>
      </c>
      <c r="T35" s="638"/>
      <c r="U35" s="308" t="s">
        <v>168</v>
      </c>
      <c r="V35" s="197"/>
    </row>
    <row r="36" spans="1:25" ht="18" customHeight="1">
      <c r="A36" s="311"/>
      <c r="B36" s="291"/>
      <c r="C36" s="47"/>
      <c r="D36" s="14"/>
      <c r="E36" s="14"/>
      <c r="F36" s="14"/>
      <c r="G36" s="14"/>
      <c r="H36" s="291"/>
      <c r="I36" s="120"/>
      <c r="J36" s="291"/>
      <c r="K36" s="291"/>
      <c r="L36" s="14"/>
      <c r="M36" s="14"/>
      <c r="N36" s="291"/>
      <c r="O36" s="291"/>
      <c r="P36" s="14"/>
      <c r="Q36" s="120"/>
      <c r="R36" s="14"/>
      <c r="S36" s="291"/>
      <c r="T36" s="291"/>
      <c r="U36" s="291"/>
      <c r="V36" s="312"/>
      <c r="W36" s="291"/>
      <c r="X36" s="291"/>
      <c r="Y36" s="291"/>
    </row>
    <row r="37" spans="1:25" ht="18" customHeight="1">
      <c r="A37" s="196"/>
      <c r="B37" s="639" t="s">
        <v>428</v>
      </c>
      <c r="C37" s="639"/>
      <c r="D37" s="638">
        <v>1.5</v>
      </c>
      <c r="E37" s="639" t="s">
        <v>326</v>
      </c>
      <c r="F37" s="638">
        <f>S29</f>
        <v>15000</v>
      </c>
      <c r="G37" s="638"/>
      <c r="H37" s="639" t="s">
        <v>326</v>
      </c>
      <c r="I37" s="701">
        <f>S31</f>
        <v>1</v>
      </c>
      <c r="J37" s="701"/>
      <c r="K37" s="639" t="s">
        <v>326</v>
      </c>
      <c r="L37" s="639" t="s">
        <v>430</v>
      </c>
      <c r="M37" s="1166">
        <f>S33</f>
        <v>10</v>
      </c>
      <c r="N37" s="639" t="s">
        <v>358</v>
      </c>
      <c r="O37" s="637">
        <f>S34</f>
        <v>1.5398674400000001</v>
      </c>
      <c r="P37" s="639" t="s">
        <v>358</v>
      </c>
      <c r="Q37" s="793">
        <f>S35</f>
        <v>0.02</v>
      </c>
      <c r="R37" s="701"/>
      <c r="S37" s="701"/>
      <c r="T37" s="639" t="s">
        <v>361</v>
      </c>
      <c r="V37" s="197"/>
    </row>
    <row r="38" spans="1:25" ht="18" customHeight="1">
      <c r="A38" s="196"/>
      <c r="B38" s="639"/>
      <c r="C38" s="639"/>
      <c r="D38" s="638"/>
      <c r="E38" s="639"/>
      <c r="F38" s="638"/>
      <c r="G38" s="638"/>
      <c r="H38" s="639"/>
      <c r="I38" s="639">
        <f>S30</f>
        <v>2500</v>
      </c>
      <c r="J38" s="639"/>
      <c r="K38" s="639"/>
      <c r="L38" s="639"/>
      <c r="M38" s="1166"/>
      <c r="N38" s="639"/>
      <c r="O38" s="639"/>
      <c r="P38" s="639"/>
      <c r="Q38" s="517">
        <f>S32</f>
        <v>1</v>
      </c>
      <c r="R38" s="27" t="s">
        <v>326</v>
      </c>
      <c r="S38" s="517">
        <f>S32</f>
        <v>1</v>
      </c>
      <c r="T38" s="639"/>
      <c r="V38" s="197"/>
    </row>
    <row r="39" spans="1:25" ht="18" customHeight="1">
      <c r="A39" s="196"/>
      <c r="C39" s="120"/>
      <c r="D39" s="28"/>
      <c r="E39" s="28"/>
      <c r="F39" s="28"/>
      <c r="G39" s="28"/>
      <c r="H39" s="14"/>
      <c r="I39" s="14"/>
      <c r="J39" s="28"/>
      <c r="K39" s="28"/>
      <c r="L39" s="28"/>
      <c r="M39" s="28"/>
      <c r="N39" s="47"/>
      <c r="O39" s="516"/>
      <c r="V39" s="197"/>
    </row>
    <row r="40" spans="1:25" ht="18" customHeight="1">
      <c r="A40" s="196"/>
      <c r="C40" s="27" t="s">
        <v>138</v>
      </c>
      <c r="D40" s="960">
        <f>ROUNDUP(D37*F37*(I37/I38)*(M37+O37+(Q37/(Q38*S38))),2)</f>
        <v>104.04</v>
      </c>
      <c r="E40" s="960"/>
      <c r="F40" s="298" t="s">
        <v>316</v>
      </c>
      <c r="G40" s="27"/>
      <c r="V40" s="197"/>
    </row>
    <row r="41" spans="1:25" ht="18" customHeight="1">
      <c r="A41" s="196"/>
      <c r="V41" s="197"/>
    </row>
    <row r="42" spans="1:25" ht="18" customHeight="1">
      <c r="A42" s="196"/>
      <c r="V42" s="197"/>
    </row>
    <row r="43" spans="1:25" ht="18" customHeight="1">
      <c r="A43" s="196"/>
      <c r="V43" s="197"/>
    </row>
    <row r="44" spans="1:25" ht="18" customHeight="1">
      <c r="A44" s="196"/>
      <c r="V44" s="197"/>
    </row>
    <row r="45" spans="1:25" ht="18" customHeight="1">
      <c r="A45" s="196"/>
      <c r="V45" s="197"/>
    </row>
    <row r="46" spans="1:25" ht="18" customHeight="1">
      <c r="A46" s="196"/>
      <c r="V46" s="197"/>
    </row>
    <row r="47" spans="1:25" ht="18" customHeight="1">
      <c r="A47" s="465"/>
      <c r="B47" s="219"/>
      <c r="C47" s="219"/>
      <c r="D47" s="219"/>
      <c r="E47" s="219"/>
      <c r="F47" s="219"/>
      <c r="G47" s="219"/>
      <c r="H47" s="219"/>
      <c r="I47" s="219"/>
      <c r="J47" s="219"/>
      <c r="K47" s="219"/>
      <c r="L47" s="219"/>
      <c r="M47" s="219"/>
      <c r="N47" s="219"/>
      <c r="O47" s="219"/>
      <c r="P47" s="219"/>
      <c r="Q47" s="219"/>
      <c r="R47" s="219"/>
      <c r="S47" s="219"/>
      <c r="T47" s="219"/>
      <c r="U47" s="219"/>
      <c r="V47" s="466"/>
    </row>
    <row r="48" spans="1:25" ht="18"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5"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5" ht="18" customHeight="1">
      <c r="A50" s="196"/>
      <c r="B50" s="117" t="s">
        <v>536</v>
      </c>
      <c r="V50" s="197"/>
    </row>
    <row r="51" spans="1:25" ht="18" customHeight="1">
      <c r="A51" s="196"/>
      <c r="V51" s="197"/>
    </row>
    <row r="52" spans="1:25" ht="18" customHeight="1">
      <c r="A52" s="196"/>
      <c r="B52" s="955" t="s">
        <v>428</v>
      </c>
      <c r="C52" s="956"/>
      <c r="D52" s="956"/>
      <c r="E52" s="638">
        <v>20</v>
      </c>
      <c r="F52" s="638" t="s">
        <v>326</v>
      </c>
      <c r="G52" s="701" t="s">
        <v>492</v>
      </c>
      <c r="H52" s="701" t="s">
        <v>493</v>
      </c>
      <c r="I52" s="957"/>
      <c r="J52" s="638" t="s">
        <v>326</v>
      </c>
      <c r="K52" s="638" t="s">
        <v>430</v>
      </c>
      <c r="L52" s="638" t="s">
        <v>451</v>
      </c>
      <c r="M52" s="958" t="s">
        <v>358</v>
      </c>
      <c r="N52" s="638" t="s">
        <v>458</v>
      </c>
      <c r="O52" s="638" t="s">
        <v>358</v>
      </c>
      <c r="P52" s="953" t="s">
        <v>459</v>
      </c>
      <c r="Q52" s="953"/>
      <c r="R52" s="953"/>
      <c r="S52" s="952" t="s">
        <v>361</v>
      </c>
      <c r="T52" s="954" t="s">
        <v>433</v>
      </c>
      <c r="V52" s="197"/>
    </row>
    <row r="53" spans="1:25" ht="18" customHeight="1">
      <c r="A53" s="196"/>
      <c r="B53" s="956"/>
      <c r="C53" s="956"/>
      <c r="D53" s="956"/>
      <c r="E53" s="638"/>
      <c r="F53" s="638"/>
      <c r="G53" s="638"/>
      <c r="H53" s="639" t="s">
        <v>494</v>
      </c>
      <c r="I53" s="887"/>
      <c r="J53" s="638"/>
      <c r="K53" s="638"/>
      <c r="L53" s="638"/>
      <c r="M53" s="958"/>
      <c r="N53" s="638"/>
      <c r="O53" s="638"/>
      <c r="P53" s="28" t="s">
        <v>449</v>
      </c>
      <c r="Q53" s="28" t="s">
        <v>326</v>
      </c>
      <c r="R53" s="28" t="s">
        <v>449</v>
      </c>
      <c r="S53" s="952"/>
      <c r="T53" s="954"/>
      <c r="V53" s="112"/>
    </row>
    <row r="54" spans="1:25" ht="18" customHeight="1">
      <c r="A54" s="196"/>
      <c r="C54" s="28"/>
      <c r="D54" s="28"/>
      <c r="E54" s="28"/>
      <c r="F54" s="28"/>
      <c r="G54" s="28"/>
      <c r="H54" s="638"/>
      <c r="I54" s="920"/>
      <c r="J54" s="28"/>
      <c r="K54" s="28"/>
      <c r="L54" s="28"/>
      <c r="M54" s="28"/>
      <c r="N54" s="47"/>
      <c r="O54" s="28"/>
      <c r="V54" s="197"/>
    </row>
    <row r="55" spans="1:25" ht="18" customHeight="1">
      <c r="A55" s="196"/>
      <c r="C55" s="30" t="s">
        <v>537</v>
      </c>
      <c r="R55" s="27" t="s">
        <v>138</v>
      </c>
      <c r="S55" s="639">
        <v>1.2</v>
      </c>
      <c r="T55" s="639"/>
      <c r="V55" s="197"/>
    </row>
    <row r="56" spans="1:25" ht="18" customHeight="1">
      <c r="A56" s="180"/>
      <c r="B56" s="5"/>
      <c r="C56" s="308" t="s">
        <v>526</v>
      </c>
      <c r="D56" s="14"/>
      <c r="E56" s="14"/>
      <c r="F56" s="14"/>
      <c r="G56" s="14"/>
      <c r="H56" s="291"/>
      <c r="I56" s="120"/>
      <c r="J56" s="291"/>
      <c r="K56" s="291"/>
      <c r="L56" s="14"/>
      <c r="M56" s="14"/>
      <c r="N56" s="14"/>
      <c r="O56" s="14"/>
      <c r="P56" s="14"/>
      <c r="Q56" s="256" t="s">
        <v>492</v>
      </c>
      <c r="R56" s="102" t="s">
        <v>138</v>
      </c>
      <c r="S56" s="638">
        <f>S55*S57</f>
        <v>3000</v>
      </c>
      <c r="T56" s="638"/>
      <c r="U56" s="47" t="s">
        <v>9</v>
      </c>
      <c r="V56" s="197"/>
    </row>
    <row r="57" spans="1:25" ht="18" customHeight="1">
      <c r="A57" s="180"/>
      <c r="B57" s="5"/>
      <c r="C57" s="47" t="s">
        <v>527</v>
      </c>
      <c r="D57" s="14"/>
      <c r="E57" s="14"/>
      <c r="F57" s="18"/>
      <c r="G57" s="18"/>
      <c r="H57" s="291"/>
      <c r="I57" s="120"/>
      <c r="J57" s="291"/>
      <c r="K57" s="291"/>
      <c r="L57" s="14"/>
      <c r="M57" s="14"/>
      <c r="N57" s="14"/>
      <c r="O57" s="14"/>
      <c r="P57" s="14"/>
      <c r="Q57" s="256" t="s">
        <v>494</v>
      </c>
      <c r="R57" s="102" t="s">
        <v>138</v>
      </c>
      <c r="S57" s="638">
        <f>H10</f>
        <v>2500</v>
      </c>
      <c r="T57" s="638"/>
      <c r="U57" s="14" t="s">
        <v>9</v>
      </c>
      <c r="V57" s="197"/>
    </row>
    <row r="58" spans="1:25" ht="18" customHeight="1">
      <c r="A58" s="180"/>
      <c r="B58" s="5"/>
      <c r="C58" s="47" t="s">
        <v>528</v>
      </c>
      <c r="D58" s="14"/>
      <c r="E58" s="14"/>
      <c r="F58" s="18"/>
      <c r="G58" s="18"/>
      <c r="H58" s="291"/>
      <c r="I58" s="120"/>
      <c r="J58" s="291"/>
      <c r="K58" s="291"/>
      <c r="L58" s="14"/>
      <c r="M58" s="14"/>
      <c r="N58" s="14"/>
      <c r="O58" s="14"/>
      <c r="P58" s="14"/>
      <c r="Q58" s="256" t="s">
        <v>493</v>
      </c>
      <c r="R58" s="102" t="s">
        <v>138</v>
      </c>
      <c r="S58" s="638">
        <f>O10</f>
        <v>1</v>
      </c>
      <c r="T58" s="638"/>
      <c r="U58" s="30" t="s">
        <v>9</v>
      </c>
      <c r="V58" s="197"/>
    </row>
    <row r="59" spans="1:25" ht="18" customHeight="1">
      <c r="A59" s="180"/>
      <c r="B59" s="5"/>
      <c r="C59" s="47" t="s">
        <v>529</v>
      </c>
      <c r="D59" s="14"/>
      <c r="E59" s="14"/>
      <c r="F59" s="18"/>
      <c r="G59" s="18"/>
      <c r="H59" s="291"/>
      <c r="I59" s="120"/>
      <c r="J59" s="291"/>
      <c r="K59" s="291"/>
      <c r="L59" s="14"/>
      <c r="M59" s="14"/>
      <c r="N59" s="14"/>
      <c r="O59" s="14"/>
      <c r="P59" s="14"/>
      <c r="Q59" s="256" t="s">
        <v>157</v>
      </c>
      <c r="R59" s="102" t="s">
        <v>138</v>
      </c>
      <c r="S59" s="959">
        <f>S32</f>
        <v>1</v>
      </c>
      <c r="T59" s="959"/>
      <c r="U59" s="30" t="s">
        <v>9</v>
      </c>
      <c r="V59" s="197"/>
      <c r="W59" s="291"/>
      <c r="X59" s="291"/>
      <c r="Y59" s="291"/>
    </row>
    <row r="60" spans="1:25" ht="18" customHeight="1">
      <c r="A60" s="180"/>
      <c r="B60" s="5"/>
      <c r="C60" s="308" t="s">
        <v>530</v>
      </c>
      <c r="D60" s="14"/>
      <c r="E60" s="14"/>
      <c r="F60" s="18"/>
      <c r="G60" s="18"/>
      <c r="H60" s="291"/>
      <c r="I60" s="120"/>
      <c r="J60" s="291"/>
      <c r="K60" s="291"/>
      <c r="L60" s="14"/>
      <c r="M60" s="14"/>
      <c r="N60" s="14"/>
      <c r="O60" s="14"/>
      <c r="P60" s="14"/>
      <c r="Q60" s="256" t="s">
        <v>431</v>
      </c>
      <c r="R60" s="102" t="s">
        <v>138</v>
      </c>
      <c r="S60" s="641">
        <f>H12</f>
        <v>10</v>
      </c>
      <c r="T60" s="638"/>
      <c r="U60" s="30" t="s">
        <v>531</v>
      </c>
      <c r="V60" s="197"/>
      <c r="X60" s="291"/>
      <c r="Y60" s="291"/>
    </row>
    <row r="61" spans="1:25" ht="18" customHeight="1">
      <c r="A61" s="180"/>
      <c r="B61" s="5"/>
      <c r="C61" s="308" t="s">
        <v>532</v>
      </c>
      <c r="D61" s="14"/>
      <c r="E61" s="14"/>
      <c r="F61" s="14"/>
      <c r="G61" s="14"/>
      <c r="H61" s="291"/>
      <c r="I61" s="120"/>
      <c r="J61" s="291"/>
      <c r="K61" s="291"/>
      <c r="L61" s="14"/>
      <c r="M61" s="14"/>
      <c r="N61" s="14"/>
      <c r="O61" s="14"/>
      <c r="P61" s="14"/>
      <c r="Q61" s="256" t="s">
        <v>533</v>
      </c>
      <c r="R61" s="102" t="s">
        <v>138</v>
      </c>
      <c r="S61" s="641">
        <f>J22</f>
        <v>1.5398674400000001</v>
      </c>
      <c r="T61" s="638"/>
      <c r="U61" s="30" t="s">
        <v>531</v>
      </c>
      <c r="V61" s="197"/>
      <c r="X61" s="291"/>
      <c r="Y61" s="291"/>
    </row>
    <row r="62" spans="1:25" ht="18" customHeight="1">
      <c r="A62" s="180"/>
      <c r="B62" s="5"/>
      <c r="C62" s="308" t="s">
        <v>534</v>
      </c>
      <c r="D62" s="14"/>
      <c r="E62" s="14"/>
      <c r="F62" s="14"/>
      <c r="G62" s="14"/>
      <c r="H62" s="291"/>
      <c r="I62" s="120"/>
      <c r="J62" s="291"/>
      <c r="K62" s="291"/>
      <c r="L62" s="14"/>
      <c r="M62" s="14"/>
      <c r="N62" s="14"/>
      <c r="O62" s="14"/>
      <c r="P62" s="14"/>
      <c r="Q62" s="256" t="s">
        <v>535</v>
      </c>
      <c r="R62" s="102" t="s">
        <v>138</v>
      </c>
      <c r="S62" s="637">
        <f>J18</f>
        <v>0.02</v>
      </c>
      <c r="T62" s="638"/>
      <c r="U62" s="308" t="s">
        <v>168</v>
      </c>
      <c r="V62" s="197"/>
    </row>
    <row r="63" spans="1:25" ht="18" customHeight="1">
      <c r="A63" s="311"/>
      <c r="B63" s="291"/>
      <c r="C63" s="47"/>
      <c r="D63" s="14"/>
      <c r="E63" s="14"/>
      <c r="F63" s="14"/>
      <c r="G63" s="14"/>
      <c r="H63" s="291"/>
      <c r="I63" s="120"/>
      <c r="J63" s="291"/>
      <c r="K63" s="291"/>
      <c r="L63" s="14"/>
      <c r="M63" s="14"/>
      <c r="N63" s="291"/>
      <c r="O63" s="291"/>
      <c r="P63" s="14"/>
      <c r="Q63" s="120"/>
      <c r="R63" s="14"/>
      <c r="S63" s="291"/>
      <c r="T63" s="291"/>
      <c r="U63" s="291"/>
      <c r="V63" s="312"/>
      <c r="W63" s="291"/>
      <c r="X63" s="291"/>
      <c r="Y63" s="291"/>
    </row>
    <row r="64" spans="1:25" ht="18" customHeight="1">
      <c r="A64" s="196"/>
      <c r="B64" s="639" t="s">
        <v>428</v>
      </c>
      <c r="C64" s="639"/>
      <c r="D64" s="638">
        <f>E52</f>
        <v>20</v>
      </c>
      <c r="E64" s="639" t="s">
        <v>326</v>
      </c>
      <c r="F64" s="638">
        <f>S56</f>
        <v>3000</v>
      </c>
      <c r="G64" s="638"/>
      <c r="H64" s="639" t="s">
        <v>326</v>
      </c>
      <c r="I64" s="701">
        <f>S58</f>
        <v>1</v>
      </c>
      <c r="J64" s="701"/>
      <c r="K64" s="639" t="s">
        <v>326</v>
      </c>
      <c r="L64" s="639" t="s">
        <v>430</v>
      </c>
      <c r="M64" s="1164">
        <f>S60</f>
        <v>10</v>
      </c>
      <c r="N64" s="639" t="s">
        <v>358</v>
      </c>
      <c r="O64" s="637">
        <f>S61</f>
        <v>1.5398674400000001</v>
      </c>
      <c r="P64" s="639" t="s">
        <v>358</v>
      </c>
      <c r="Q64" s="793">
        <f>S62</f>
        <v>0.02</v>
      </c>
      <c r="R64" s="701"/>
      <c r="S64" s="701"/>
      <c r="T64" s="639" t="s">
        <v>361</v>
      </c>
      <c r="V64" s="197"/>
    </row>
    <row r="65" spans="1:27" ht="18" customHeight="1">
      <c r="A65" s="196"/>
      <c r="B65" s="639"/>
      <c r="C65" s="639"/>
      <c r="D65" s="638"/>
      <c r="E65" s="639"/>
      <c r="F65" s="638"/>
      <c r="G65" s="638"/>
      <c r="H65" s="639"/>
      <c r="I65" s="639">
        <f>S57</f>
        <v>2500</v>
      </c>
      <c r="J65" s="639"/>
      <c r="K65" s="639"/>
      <c r="L65" s="639"/>
      <c r="M65" s="1164"/>
      <c r="N65" s="639"/>
      <c r="O65" s="639"/>
      <c r="P65" s="639"/>
      <c r="Q65" s="517">
        <f>S59</f>
        <v>1</v>
      </c>
      <c r="R65" s="27" t="s">
        <v>326</v>
      </c>
      <c r="S65" s="517">
        <f>S59</f>
        <v>1</v>
      </c>
      <c r="T65" s="639"/>
      <c r="V65" s="197"/>
    </row>
    <row r="66" spans="1:27" ht="18" customHeight="1">
      <c r="A66" s="196"/>
      <c r="C66" s="120"/>
      <c r="D66" s="28"/>
      <c r="E66" s="28"/>
      <c r="F66" s="28"/>
      <c r="G66" s="28"/>
      <c r="H66" s="14"/>
      <c r="I66" s="14"/>
      <c r="J66" s="28"/>
      <c r="K66" s="28"/>
      <c r="L66" s="28"/>
      <c r="M66" s="28"/>
      <c r="N66" s="47"/>
      <c r="O66" s="516"/>
      <c r="V66" s="197"/>
    </row>
    <row r="67" spans="1:27" ht="18" customHeight="1">
      <c r="A67" s="196"/>
      <c r="C67" s="27" t="s">
        <v>138</v>
      </c>
      <c r="D67" s="960">
        <f>ROUNDUP(D64*F64*(I64/I65)*(M64+O64+(Q64/(Q65*S65))),2)</f>
        <v>277.44</v>
      </c>
      <c r="E67" s="960"/>
      <c r="F67" s="298" t="s">
        <v>316</v>
      </c>
      <c r="G67" s="27"/>
      <c r="V67" s="197"/>
    </row>
    <row r="68" spans="1:27" ht="18" customHeight="1">
      <c r="A68" s="196"/>
      <c r="V68" s="197"/>
    </row>
    <row r="69" spans="1:27" ht="18" customHeight="1">
      <c r="A69" s="196"/>
      <c r="D69" s="30" t="s">
        <v>538</v>
      </c>
      <c r="L69" s="30" t="s">
        <v>539</v>
      </c>
      <c r="M69" s="519" t="s">
        <v>540</v>
      </c>
      <c r="N69" s="30" t="str">
        <f>CONCATENATE(Y69,X69,D40,Z69,D67,AA69)</f>
        <v>max(104.04,277.44)</v>
      </c>
      <c r="V69" s="197"/>
      <c r="X69" s="30" t="s">
        <v>430</v>
      </c>
      <c r="Y69" s="30" t="s">
        <v>541</v>
      </c>
      <c r="Z69" s="30" t="s">
        <v>542</v>
      </c>
      <c r="AA69" s="30" t="s">
        <v>361</v>
      </c>
    </row>
    <row r="70" spans="1:27" ht="18" customHeight="1">
      <c r="A70" s="196"/>
      <c r="D70" s="14"/>
      <c r="E70"/>
      <c r="F70"/>
      <c r="G70" s="27"/>
      <c r="H70" s="14"/>
      <c r="I70"/>
      <c r="J70"/>
      <c r="K70"/>
      <c r="L70" s="30" t="s">
        <v>539</v>
      </c>
      <c r="M70" s="519" t="s">
        <v>540</v>
      </c>
      <c r="N70" s="637">
        <f>MAX(D67,D40)</f>
        <v>277.44</v>
      </c>
      <c r="O70" s="637"/>
      <c r="V70" s="197"/>
    </row>
    <row r="71" spans="1:27" ht="18" customHeight="1">
      <c r="A71" s="196"/>
      <c r="D71"/>
      <c r="E71" s="939"/>
      <c r="F71" s="639"/>
      <c r="G71" s="27"/>
      <c r="H71" s="637"/>
      <c r="I71" s="639"/>
      <c r="J71"/>
      <c r="K71"/>
      <c r="L71" s="308">
        <f>H13</f>
        <v>325</v>
      </c>
      <c r="M71" s="519" t="s">
        <v>540</v>
      </c>
      <c r="N71" s="637">
        <f>N70</f>
        <v>277.44</v>
      </c>
      <c r="O71" s="637"/>
      <c r="V71" s="197"/>
    </row>
    <row r="72" spans="1:27" ht="18" customHeight="1">
      <c r="A72" s="196"/>
      <c r="D72"/>
      <c r="E72" s="518"/>
      <c r="F72" s="27"/>
      <c r="G72" s="27"/>
      <c r="H72" s="223"/>
      <c r="I72" s="27"/>
      <c r="J72"/>
      <c r="K72"/>
      <c r="L72" s="308"/>
      <c r="M72" s="519"/>
      <c r="N72" s="489"/>
      <c r="V72" s="197"/>
    </row>
    <row r="73" spans="1:27" ht="18" customHeight="1">
      <c r="A73" s="196"/>
      <c r="D73"/>
      <c r="E73"/>
      <c r="F73" s="256" t="s">
        <v>489</v>
      </c>
      <c r="G73"/>
      <c r="H73" s="18" t="str">
        <f>IF(L71&gt;N71,"Suitably Dimensioned","Under Dimensioned")</f>
        <v>Suitably Dimensioned</v>
      </c>
      <c r="I73"/>
      <c r="J73"/>
      <c r="K73"/>
      <c r="L73"/>
      <c r="V73" s="197"/>
    </row>
    <row r="74" spans="1:27" ht="18" customHeight="1">
      <c r="A74" s="196"/>
      <c r="V74" s="197"/>
    </row>
    <row r="75" spans="1:27" ht="18" customHeight="1">
      <c r="A75" s="196"/>
      <c r="V75" s="197"/>
    </row>
    <row r="76" spans="1:27" ht="18" customHeight="1">
      <c r="A76" s="196"/>
      <c r="V76" s="197"/>
    </row>
    <row r="77" spans="1:27" ht="18" customHeight="1">
      <c r="A77" s="196"/>
      <c r="V77" s="197"/>
    </row>
    <row r="78" spans="1:27" ht="18" customHeight="1">
      <c r="A78" s="196"/>
      <c r="V78" s="197"/>
    </row>
    <row r="79" spans="1:27" ht="18" customHeight="1">
      <c r="A79" s="196"/>
      <c r="V79" s="197"/>
    </row>
    <row r="80" spans="1:27"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196"/>
      <c r="V87" s="197"/>
    </row>
    <row r="88" spans="1:22" ht="18" customHeight="1">
      <c r="A88" s="196"/>
      <c r="V88" s="197"/>
    </row>
    <row r="89" spans="1:22" ht="18" customHeight="1">
      <c r="A89" s="196"/>
      <c r="V89" s="197"/>
    </row>
    <row r="90" spans="1:22" ht="18" customHeight="1">
      <c r="A90" s="465"/>
      <c r="B90" s="219"/>
      <c r="C90" s="219"/>
      <c r="D90" s="219"/>
      <c r="E90" s="219"/>
      <c r="F90" s="219"/>
      <c r="G90" s="219"/>
      <c r="H90" s="219"/>
      <c r="I90" s="219"/>
      <c r="J90" s="219"/>
      <c r="K90" s="219"/>
      <c r="L90" s="219"/>
      <c r="M90" s="219"/>
      <c r="N90" s="219"/>
      <c r="O90" s="219"/>
      <c r="P90" s="219"/>
      <c r="Q90" s="219"/>
      <c r="R90" s="219"/>
      <c r="S90" s="219"/>
      <c r="T90" s="219"/>
      <c r="U90" s="219"/>
      <c r="V90" s="466"/>
    </row>
    <row r="91" spans="1:22" ht="18" hidden="1" customHeight="1">
      <c r="A91" s="196"/>
      <c r="V91" s="197"/>
    </row>
    <row r="92" spans="1:22" ht="18" hidden="1" customHeight="1">
      <c r="A92" s="196"/>
      <c r="V92" s="197"/>
    </row>
    <row r="93" spans="1:22" ht="18" hidden="1" customHeight="1">
      <c r="A93" s="196"/>
      <c r="V93" s="197"/>
    </row>
    <row r="94" spans="1:22" ht="18" hidden="1" customHeight="1">
      <c r="A94" s="196"/>
      <c r="V94" s="197"/>
    </row>
    <row r="95" spans="1:22" ht="18" hidden="1" customHeight="1">
      <c r="A95" s="196"/>
      <c r="V95" s="197"/>
    </row>
    <row r="96" spans="1:22" ht="18" hidden="1" customHeight="1">
      <c r="A96" s="196"/>
      <c r="V96" s="197"/>
    </row>
    <row r="97" spans="1:23" ht="18" hidden="1" customHeight="1">
      <c r="A97" s="196"/>
      <c r="V97" s="197"/>
    </row>
    <row r="98" spans="1:23" ht="18" hidden="1" customHeight="1">
      <c r="A98" s="196"/>
      <c r="V98" s="197"/>
    </row>
    <row r="99" spans="1:23" ht="18" hidden="1" customHeight="1">
      <c r="A99" s="196"/>
      <c r="V99" s="197"/>
    </row>
    <row r="100" spans="1:23" ht="18" hidden="1" customHeight="1">
      <c r="A100" s="196"/>
      <c r="V100" s="197"/>
    </row>
    <row r="101" spans="1:23" ht="18" hidden="1" customHeight="1">
      <c r="A101" s="196"/>
      <c r="V101" s="197"/>
    </row>
    <row r="102" spans="1:23" ht="18" hidden="1" customHeight="1">
      <c r="A102" s="196"/>
      <c r="V102" s="197"/>
    </row>
    <row r="103" spans="1:23" s="14" customFormat="1" ht="18" hidden="1" customHeight="1">
      <c r="A103" s="206"/>
      <c r="B103" s="207"/>
      <c r="C103" s="207"/>
      <c r="D103" s="207"/>
      <c r="E103" s="207"/>
      <c r="F103" s="207"/>
      <c r="G103" s="207"/>
      <c r="H103" s="207"/>
      <c r="I103" s="207"/>
      <c r="J103" s="207"/>
      <c r="K103" s="207"/>
      <c r="L103" s="207"/>
      <c r="M103" s="207"/>
      <c r="N103" s="207"/>
      <c r="O103" s="207"/>
      <c r="P103" s="207"/>
      <c r="Q103" s="236"/>
      <c r="R103" s="194"/>
      <c r="S103" s="237"/>
      <c r="T103" s="207"/>
      <c r="U103" s="207"/>
      <c r="V103" s="140" t="s">
        <v>563</v>
      </c>
    </row>
    <row r="104" spans="1:23" ht="18" hidden="1" customHeight="1">
      <c r="A104" s="238"/>
      <c r="B104" s="239"/>
      <c r="C104" s="239"/>
      <c r="D104" s="239"/>
      <c r="E104" s="239"/>
      <c r="F104" s="239"/>
      <c r="G104" s="239"/>
      <c r="H104" s="239"/>
      <c r="I104" s="239"/>
      <c r="J104" s="239"/>
      <c r="K104" s="239"/>
      <c r="L104" s="239"/>
      <c r="M104" s="239"/>
      <c r="N104" s="239"/>
      <c r="O104" s="239"/>
      <c r="P104" s="239"/>
      <c r="Q104" s="239"/>
      <c r="R104" s="239"/>
      <c r="S104" s="239"/>
      <c r="T104" s="239"/>
      <c r="U104" s="239"/>
      <c r="V104" s="240"/>
    </row>
    <row r="105" spans="1:23" ht="18" hidden="1" customHeight="1">
      <c r="A105" s="196"/>
      <c r="B105" s="650" t="str">
        <f>B7</f>
        <v>T1</v>
      </c>
      <c r="C105" s="651"/>
      <c r="D105" s="660" t="str">
        <f>D7</f>
        <v>Core1</v>
      </c>
      <c r="E105" s="623"/>
      <c r="F105" s="468"/>
      <c r="H105" s="639" t="str">
        <f>H7</f>
        <v>(OC+BCPU+FMS)</v>
      </c>
      <c r="I105" s="639"/>
      <c r="J105" s="639"/>
      <c r="K105" s="639"/>
      <c r="L105" s="639"/>
      <c r="M105" s="639"/>
      <c r="P105" s="198"/>
      <c r="S105" s="199" t="s">
        <v>398</v>
      </c>
      <c r="T105" s="658" t="str">
        <f>T7</f>
        <v>REC670</v>
      </c>
      <c r="U105" s="659"/>
      <c r="V105" s="197"/>
    </row>
    <row r="106" spans="1:23" ht="18" hidden="1" customHeight="1">
      <c r="A106" s="469"/>
      <c r="F106" s="468"/>
      <c r="T106" s="658" t="str">
        <f>T8</f>
        <v>REF615</v>
      </c>
      <c r="U106" s="659"/>
      <c r="V106" s="197"/>
    </row>
    <row r="107" spans="1:23" ht="18" hidden="1" customHeight="1">
      <c r="A107" s="196"/>
      <c r="H107" s="661" t="s">
        <v>401</v>
      </c>
      <c r="I107" s="661"/>
      <c r="J107" s="662" t="s">
        <v>402</v>
      </c>
      <c r="K107" s="662"/>
      <c r="L107" s="701" t="s">
        <v>403</v>
      </c>
      <c r="M107" s="701"/>
      <c r="T107" s="658" t="str">
        <f>T9</f>
        <v>FMS</v>
      </c>
      <c r="U107" s="659"/>
      <c r="V107" s="197"/>
    </row>
    <row r="108" spans="1:23" ht="18" hidden="1" customHeight="1">
      <c r="A108" s="196"/>
      <c r="B108" s="47" t="s">
        <v>404</v>
      </c>
      <c r="H108" s="650">
        <f>H10</f>
        <v>2500</v>
      </c>
      <c r="I108" s="651"/>
      <c r="J108" s="652" t="str">
        <f>J10</f>
        <v>-</v>
      </c>
      <c r="K108" s="653"/>
      <c r="L108" s="650" t="str">
        <f>L10</f>
        <v>-</v>
      </c>
      <c r="M108" s="651"/>
      <c r="N108" s="203" t="s">
        <v>353</v>
      </c>
      <c r="O108" s="268">
        <f>O10</f>
        <v>1</v>
      </c>
      <c r="P108" s="27" t="s">
        <v>9</v>
      </c>
      <c r="R108" s="267"/>
      <c r="S108" s="267"/>
      <c r="V108" s="197"/>
    </row>
    <row r="109" spans="1:23" ht="18" hidden="1" customHeight="1">
      <c r="A109" s="196"/>
      <c r="B109" s="47" t="s">
        <v>405</v>
      </c>
      <c r="J109" s="650" t="str">
        <f>H11</f>
        <v>PX</v>
      </c>
      <c r="K109" s="651"/>
      <c r="V109" s="197"/>
    </row>
    <row r="110" spans="1:23" ht="18" hidden="1" customHeight="1">
      <c r="A110" s="196"/>
      <c r="B110" s="47" t="s">
        <v>407</v>
      </c>
      <c r="I110" s="120" t="s">
        <v>508</v>
      </c>
      <c r="J110" s="940">
        <v>12</v>
      </c>
      <c r="K110" s="941"/>
      <c r="L110" s="204" t="s">
        <v>344</v>
      </c>
      <c r="V110" s="197"/>
    </row>
    <row r="111" spans="1:23" ht="18" hidden="1" customHeight="1">
      <c r="A111" s="196"/>
      <c r="B111" s="47" t="s">
        <v>409</v>
      </c>
      <c r="I111" s="120" t="s">
        <v>509</v>
      </c>
      <c r="J111" s="940">
        <v>1200</v>
      </c>
      <c r="K111" s="941"/>
      <c r="L111" s="14" t="s">
        <v>316</v>
      </c>
      <c r="T111" s="307"/>
      <c r="U111" s="18"/>
      <c r="V111" s="197"/>
      <c r="W111" s="30" t="e">
        <f>G159</f>
        <v>#VALUE!</v>
      </c>
    </row>
    <row r="112" spans="1:23" ht="18" hidden="1" customHeight="1">
      <c r="A112" s="196"/>
      <c r="B112" s="14" t="s">
        <v>412</v>
      </c>
      <c r="I112" s="120" t="s">
        <v>413</v>
      </c>
      <c r="J112" s="940">
        <v>50</v>
      </c>
      <c r="K112" s="941"/>
      <c r="L112" s="14" t="s">
        <v>414</v>
      </c>
      <c r="V112" s="197"/>
    </row>
    <row r="113" spans="1:22" ht="18" hidden="1" customHeight="1">
      <c r="A113" s="196"/>
      <c r="V113" s="197"/>
    </row>
    <row r="114" spans="1:22" ht="18" hidden="1" customHeight="1">
      <c r="A114" s="205" t="s">
        <v>415</v>
      </c>
      <c r="V114" s="197"/>
    </row>
    <row r="115" spans="1:22" ht="18" hidden="1" customHeight="1">
      <c r="A115" s="196"/>
      <c r="V115" s="197"/>
    </row>
    <row r="116" spans="1:22" ht="18" hidden="1" customHeight="1">
      <c r="A116" s="196"/>
      <c r="B116" s="141" t="s">
        <v>416</v>
      </c>
      <c r="C116" s="285"/>
      <c r="D116" s="146" t="str">
        <f>T105</f>
        <v>REC670</v>
      </c>
      <c r="E116" s="239"/>
      <c r="F116" s="239"/>
      <c r="G116" s="239"/>
      <c r="H116" s="145"/>
      <c r="I116" s="272" t="s">
        <v>138</v>
      </c>
      <c r="J116" s="648">
        <f>J18</f>
        <v>0.02</v>
      </c>
      <c r="K116" s="649"/>
      <c r="L116" s="3" t="s">
        <v>168</v>
      </c>
      <c r="N116" s="209" t="s">
        <v>521</v>
      </c>
      <c r="V116" s="197"/>
    </row>
    <row r="117" spans="1:22" ht="18" hidden="1" customHeight="1">
      <c r="A117" s="196"/>
      <c r="B117" s="96" t="s">
        <v>416</v>
      </c>
      <c r="C117" s="14"/>
      <c r="D117" s="47" t="str">
        <f>T106</f>
        <v>REF615</v>
      </c>
      <c r="H117" s="28"/>
      <c r="I117" s="101" t="s">
        <v>138</v>
      </c>
      <c r="J117" s="648">
        <f>J19</f>
        <v>0.02</v>
      </c>
      <c r="K117" s="649"/>
      <c r="L117" s="3" t="s">
        <v>168</v>
      </c>
      <c r="N117" s="120" t="s">
        <v>502</v>
      </c>
      <c r="O117" s="27" t="s">
        <v>138</v>
      </c>
      <c r="P117" s="27" t="s">
        <v>522</v>
      </c>
      <c r="Q117" s="27" t="s">
        <v>326</v>
      </c>
      <c r="R117" s="27" t="s">
        <v>522</v>
      </c>
      <c r="S117" s="27" t="s">
        <v>326</v>
      </c>
      <c r="T117" s="27" t="s">
        <v>431</v>
      </c>
      <c r="V117" s="197"/>
    </row>
    <row r="118" spans="1:22" ht="18" hidden="1" customHeight="1">
      <c r="A118" s="196"/>
      <c r="B118" s="96" t="s">
        <v>416</v>
      </c>
      <c r="C118" s="14"/>
      <c r="D118" s="47" t="str">
        <f>T107</f>
        <v>FMS</v>
      </c>
      <c r="H118" s="28"/>
      <c r="I118" s="101" t="s">
        <v>138</v>
      </c>
      <c r="J118" s="648">
        <f>J20</f>
        <v>5.8000000000000003E-2</v>
      </c>
      <c r="K118" s="649"/>
      <c r="L118" s="3" t="s">
        <v>168</v>
      </c>
      <c r="N118" s="27"/>
      <c r="O118" s="27" t="s">
        <v>138</v>
      </c>
      <c r="P118" s="27">
        <f>O108</f>
        <v>1</v>
      </c>
      <c r="Q118" s="27" t="s">
        <v>326</v>
      </c>
      <c r="R118" s="27">
        <f>O108</f>
        <v>1</v>
      </c>
      <c r="S118" s="27" t="s">
        <v>326</v>
      </c>
      <c r="T118" s="27">
        <f>J110</f>
        <v>12</v>
      </c>
      <c r="V118" s="197"/>
    </row>
    <row r="119" spans="1:22" ht="18" hidden="1" customHeight="1">
      <c r="A119" s="196"/>
      <c r="B119" s="465" t="s">
        <v>423</v>
      </c>
      <c r="C119" s="271"/>
      <c r="D119" s="271"/>
      <c r="E119" s="271"/>
      <c r="F119" s="219"/>
      <c r="G119" s="219"/>
      <c r="H119" s="202"/>
      <c r="I119" s="220" t="s">
        <v>138</v>
      </c>
      <c r="J119" s="646">
        <f>J21</f>
        <v>1.44186744</v>
      </c>
      <c r="K119" s="647"/>
      <c r="L119" s="309" t="s">
        <v>168</v>
      </c>
      <c r="O119" s="27" t="s">
        <v>138</v>
      </c>
      <c r="P119" s="637">
        <f>P118*R118*T118</f>
        <v>12</v>
      </c>
      <c r="Q119" s="639"/>
      <c r="R119" s="27" t="s">
        <v>168</v>
      </c>
      <c r="V119" s="197"/>
    </row>
    <row r="120" spans="1:22" ht="18" hidden="1" customHeight="1">
      <c r="A120" s="196"/>
      <c r="B120" s="1" t="s">
        <v>424</v>
      </c>
      <c r="C120" s="2"/>
      <c r="D120" s="2"/>
      <c r="E120" s="2"/>
      <c r="F120" s="208"/>
      <c r="G120" s="208"/>
      <c r="H120" s="236" t="s">
        <v>523</v>
      </c>
      <c r="I120" s="195" t="s">
        <v>138</v>
      </c>
      <c r="J120" s="648">
        <f>SUM(J116:J119)</f>
        <v>1.5398674400000001</v>
      </c>
      <c r="K120" s="649"/>
      <c r="L120" s="3" t="s">
        <v>168</v>
      </c>
      <c r="V120" s="197"/>
    </row>
    <row r="121" spans="1:22" ht="18" hidden="1" customHeight="1">
      <c r="A121" s="196"/>
      <c r="B121" s="47"/>
      <c r="C121" s="47"/>
      <c r="D121" s="47"/>
      <c r="E121" s="47"/>
      <c r="H121" s="27"/>
      <c r="I121" s="28"/>
      <c r="J121" s="211"/>
      <c r="L121" s="47"/>
      <c r="S121" s="27"/>
      <c r="V121" s="197"/>
    </row>
    <row r="122" spans="1:22" ht="18" hidden="1" customHeight="1">
      <c r="A122" s="964" t="s">
        <v>547</v>
      </c>
      <c r="B122" s="965"/>
      <c r="C122" s="965"/>
      <c r="D122" s="965"/>
      <c r="E122" s="965"/>
      <c r="F122" s="965"/>
      <c r="G122" s="965"/>
      <c r="H122" s="965"/>
      <c r="I122" s="965"/>
      <c r="J122" s="965"/>
      <c r="K122" s="965"/>
      <c r="L122" s="965"/>
      <c r="M122" s="965"/>
      <c r="N122" s="965"/>
      <c r="O122" s="965"/>
      <c r="P122" s="965"/>
      <c r="Q122" s="965"/>
      <c r="R122" s="965"/>
      <c r="S122" s="965"/>
      <c r="T122" s="965"/>
      <c r="U122" s="965"/>
      <c r="V122" s="966"/>
    </row>
    <row r="123" spans="1:22" ht="18" hidden="1" customHeight="1">
      <c r="A123" s="967"/>
      <c r="B123" s="965"/>
      <c r="C123" s="965"/>
      <c r="D123" s="965"/>
      <c r="E123" s="965"/>
      <c r="F123" s="965"/>
      <c r="G123" s="965"/>
      <c r="H123" s="965"/>
      <c r="I123" s="965"/>
      <c r="J123" s="965"/>
      <c r="K123" s="965"/>
      <c r="L123" s="965"/>
      <c r="M123" s="965"/>
      <c r="N123" s="965"/>
      <c r="O123" s="965"/>
      <c r="P123" s="965"/>
      <c r="Q123" s="965"/>
      <c r="R123" s="965"/>
      <c r="S123" s="965"/>
      <c r="T123" s="965"/>
      <c r="U123" s="965"/>
      <c r="V123" s="966"/>
    </row>
    <row r="124" spans="1:22" ht="18" hidden="1" customHeight="1">
      <c r="A124" s="196"/>
      <c r="Q124" s="223"/>
      <c r="R124" s="204"/>
      <c r="V124" s="197"/>
    </row>
    <row r="125" spans="1:22" ht="18" hidden="1" customHeight="1">
      <c r="A125" s="196"/>
      <c r="C125" s="14" t="s">
        <v>484</v>
      </c>
      <c r="D125" s="28" t="s">
        <v>138</v>
      </c>
      <c r="E125" s="28" t="s">
        <v>548</v>
      </c>
      <c r="F125" s="120" t="s">
        <v>504</v>
      </c>
      <c r="G125" s="28" t="s">
        <v>358</v>
      </c>
      <c r="H125" s="120" t="s">
        <v>502</v>
      </c>
      <c r="I125" s="28" t="s">
        <v>549</v>
      </c>
      <c r="J125" s="28" t="s">
        <v>506</v>
      </c>
      <c r="K125" s="28" t="s">
        <v>550</v>
      </c>
      <c r="L125" s="28" t="s">
        <v>522</v>
      </c>
      <c r="M125" s="28" t="s">
        <v>326</v>
      </c>
      <c r="N125" s="28">
        <v>1.3</v>
      </c>
      <c r="O125" s="47" t="s">
        <v>361</v>
      </c>
      <c r="V125" s="197"/>
    </row>
    <row r="126" spans="1:22" ht="18" hidden="1" customHeight="1">
      <c r="A126" s="196" t="s">
        <v>551</v>
      </c>
      <c r="C126" s="14"/>
      <c r="D126" s="28"/>
      <c r="E126" s="14"/>
      <c r="F126" s="14"/>
      <c r="G126" s="14"/>
      <c r="H126" s="14"/>
      <c r="I126" s="14"/>
      <c r="J126" s="14"/>
      <c r="K126" s="14"/>
      <c r="L126" s="14"/>
      <c r="M126" s="14"/>
      <c r="N126" s="14"/>
      <c r="O126" s="14"/>
      <c r="V126" s="197"/>
    </row>
    <row r="127" spans="1:22" ht="18" hidden="1" customHeight="1">
      <c r="A127" s="196"/>
      <c r="C127" s="120" t="s">
        <v>504</v>
      </c>
      <c r="D127" s="28" t="s">
        <v>138</v>
      </c>
      <c r="E127" s="28" t="s">
        <v>548</v>
      </c>
      <c r="F127" s="28">
        <v>1.3</v>
      </c>
      <c r="G127" s="28" t="s">
        <v>326</v>
      </c>
      <c r="H127" s="638" t="s">
        <v>484</v>
      </c>
      <c r="I127" s="920"/>
      <c r="J127" s="28" t="s">
        <v>326</v>
      </c>
      <c r="K127" s="28" t="s">
        <v>522</v>
      </c>
      <c r="L127" s="28" t="s">
        <v>552</v>
      </c>
      <c r="M127" s="28" t="s">
        <v>506</v>
      </c>
      <c r="N127" s="47" t="s">
        <v>553</v>
      </c>
      <c r="O127" s="120" t="s">
        <v>502</v>
      </c>
      <c r="V127" s="197"/>
    </row>
    <row r="128" spans="1:22" ht="18" hidden="1" customHeight="1">
      <c r="A128" s="196"/>
      <c r="V128" s="197"/>
    </row>
    <row r="129" spans="1:25" ht="18" hidden="1" customHeight="1">
      <c r="A129" s="180"/>
      <c r="B129" s="5"/>
      <c r="C129" s="47" t="s">
        <v>554</v>
      </c>
      <c r="D129" s="14"/>
      <c r="E129" s="14"/>
      <c r="F129" s="14"/>
      <c r="G129" s="14"/>
      <c r="H129" s="291"/>
      <c r="I129" s="120"/>
      <c r="J129" s="291"/>
      <c r="K129" s="291"/>
      <c r="L129" s="14"/>
      <c r="M129" s="14"/>
      <c r="N129" s="14"/>
      <c r="O129" s="14"/>
      <c r="P129" s="14"/>
      <c r="Q129" s="120" t="s">
        <v>555</v>
      </c>
      <c r="R129" s="102" t="s">
        <v>138</v>
      </c>
      <c r="S129" s="638">
        <f>S29</f>
        <v>15000</v>
      </c>
      <c r="T129" s="638"/>
      <c r="U129" s="47" t="s">
        <v>9</v>
      </c>
      <c r="V129" s="197"/>
    </row>
    <row r="130" spans="1:25" ht="18" hidden="1" customHeight="1">
      <c r="A130" s="180"/>
      <c r="B130" s="5"/>
      <c r="C130" s="47" t="s">
        <v>556</v>
      </c>
      <c r="D130" s="14"/>
      <c r="E130" s="14"/>
      <c r="F130" s="18"/>
      <c r="G130" s="18"/>
      <c r="H130" s="291"/>
      <c r="I130" s="120"/>
      <c r="J130" s="291"/>
      <c r="K130" s="291"/>
      <c r="L130" s="14"/>
      <c r="M130" s="14"/>
      <c r="N130" s="14"/>
      <c r="O130" s="14"/>
      <c r="P130" s="14"/>
      <c r="Q130" s="120" t="s">
        <v>434</v>
      </c>
      <c r="R130" s="102" t="s">
        <v>138</v>
      </c>
      <c r="S130" s="638" t="str">
        <f>J108</f>
        <v>-</v>
      </c>
      <c r="T130" s="638"/>
      <c r="U130" s="14" t="s">
        <v>9</v>
      </c>
      <c r="V130" s="197"/>
    </row>
    <row r="131" spans="1:25" ht="18" hidden="1" customHeight="1">
      <c r="A131" s="180"/>
      <c r="B131" s="5"/>
      <c r="C131" s="47" t="s">
        <v>557</v>
      </c>
      <c r="D131" s="14"/>
      <c r="E131" s="14"/>
      <c r="F131" s="18"/>
      <c r="G131" s="18"/>
      <c r="H131" s="291"/>
      <c r="I131" s="120"/>
      <c r="J131" s="291"/>
      <c r="K131" s="291"/>
      <c r="L131" s="14"/>
      <c r="M131" s="14"/>
      <c r="N131" s="14"/>
      <c r="O131" s="14"/>
      <c r="P131" s="14"/>
      <c r="Q131" s="120" t="s">
        <v>484</v>
      </c>
      <c r="R131" s="102" t="s">
        <v>138</v>
      </c>
      <c r="S131" s="638">
        <f>J111</f>
        <v>1200</v>
      </c>
      <c r="T131" s="638"/>
      <c r="U131" s="14" t="s">
        <v>316</v>
      </c>
      <c r="V131" s="197"/>
    </row>
    <row r="132" spans="1:25" ht="18" hidden="1" customHeight="1">
      <c r="A132" s="180"/>
      <c r="B132" s="5"/>
      <c r="C132" s="47" t="s">
        <v>558</v>
      </c>
      <c r="D132" s="14"/>
      <c r="E132" s="14"/>
      <c r="F132" s="18"/>
      <c r="G132" s="18"/>
      <c r="H132" s="291"/>
      <c r="I132" s="120"/>
      <c r="J132" s="291"/>
      <c r="K132" s="291"/>
      <c r="L132" s="14"/>
      <c r="M132" s="14"/>
      <c r="N132" s="14"/>
      <c r="O132" s="14"/>
      <c r="P132" s="14"/>
      <c r="Q132" s="120" t="s">
        <v>502</v>
      </c>
      <c r="R132" s="102" t="s">
        <v>138</v>
      </c>
      <c r="S132" s="641">
        <f>P119</f>
        <v>12</v>
      </c>
      <c r="T132" s="638"/>
      <c r="U132" s="14" t="s">
        <v>168</v>
      </c>
      <c r="V132" s="197"/>
      <c r="W132" s="291"/>
      <c r="X132" s="291"/>
      <c r="Y132" s="291"/>
    </row>
    <row r="133" spans="1:25" ht="18" hidden="1" customHeight="1">
      <c r="A133" s="180"/>
      <c r="B133" s="5"/>
      <c r="C133" s="47" t="s">
        <v>559</v>
      </c>
      <c r="D133" s="14"/>
      <c r="E133" s="14"/>
      <c r="F133" s="18"/>
      <c r="G133" s="18"/>
      <c r="H133" s="291"/>
      <c r="I133" s="120"/>
      <c r="J133" s="291"/>
      <c r="K133" s="291"/>
      <c r="L133" s="14"/>
      <c r="M133" s="14"/>
      <c r="N133" s="14"/>
      <c r="O133" s="14"/>
      <c r="P133" s="14"/>
      <c r="Q133" s="120" t="s">
        <v>523</v>
      </c>
      <c r="R133" s="102" t="s">
        <v>138</v>
      </c>
      <c r="S133" s="641">
        <f>J120</f>
        <v>1.5398674400000001</v>
      </c>
      <c r="T133" s="638"/>
      <c r="U133" s="14" t="s">
        <v>168</v>
      </c>
      <c r="V133" s="197"/>
      <c r="X133" s="291"/>
      <c r="Y133" s="291"/>
    </row>
    <row r="134" spans="1:25" ht="18" hidden="1" customHeight="1">
      <c r="A134" s="180"/>
      <c r="B134" s="5"/>
      <c r="C134" s="47" t="s">
        <v>560</v>
      </c>
      <c r="D134" s="14"/>
      <c r="E134" s="14"/>
      <c r="F134" s="14"/>
      <c r="G134" s="14"/>
      <c r="H134" s="291"/>
      <c r="I134" s="120"/>
      <c r="J134" s="291"/>
      <c r="K134" s="291"/>
      <c r="L134" s="14"/>
      <c r="M134" s="14"/>
      <c r="N134" s="14"/>
      <c r="O134" s="14"/>
      <c r="P134" s="14"/>
      <c r="Q134" s="120" t="s">
        <v>522</v>
      </c>
      <c r="R134" s="102" t="s">
        <v>138</v>
      </c>
      <c r="S134" s="638">
        <f>O108</f>
        <v>1</v>
      </c>
      <c r="T134" s="638"/>
      <c r="U134" s="14" t="s">
        <v>9</v>
      </c>
      <c r="V134" s="197"/>
      <c r="X134" s="291"/>
      <c r="Y134" s="291"/>
    </row>
    <row r="135" spans="1:25" ht="18" hidden="1" customHeight="1">
      <c r="A135" s="180"/>
      <c r="B135" s="5"/>
      <c r="C135" s="47" t="s">
        <v>561</v>
      </c>
      <c r="D135" s="14"/>
      <c r="E135" s="14"/>
      <c r="F135" s="14"/>
      <c r="G135" s="14"/>
      <c r="H135" s="291"/>
      <c r="I135" s="120"/>
      <c r="J135" s="291"/>
      <c r="K135" s="291"/>
      <c r="L135" s="14"/>
      <c r="M135" s="14"/>
      <c r="N135" s="14"/>
      <c r="O135" s="14"/>
      <c r="P135" s="14"/>
      <c r="Q135" s="120" t="s">
        <v>506</v>
      </c>
      <c r="R135" s="102" t="s">
        <v>138</v>
      </c>
      <c r="S135" s="638">
        <v>20</v>
      </c>
      <c r="T135" s="638"/>
      <c r="U135" s="47"/>
      <c r="V135" s="197"/>
    </row>
    <row r="136" spans="1:25" ht="18" hidden="1" customHeight="1">
      <c r="A136" s="311"/>
      <c r="B136" s="291"/>
      <c r="C136" s="47" t="s">
        <v>562</v>
      </c>
      <c r="D136" s="14"/>
      <c r="E136" s="14"/>
      <c r="F136" s="14"/>
      <c r="G136" s="14"/>
      <c r="H136" s="291"/>
      <c r="I136" s="120"/>
      <c r="J136" s="291"/>
      <c r="K136" s="291"/>
      <c r="L136" s="14"/>
      <c r="M136" s="14"/>
      <c r="N136" s="291"/>
      <c r="O136" s="291"/>
      <c r="P136" s="14"/>
      <c r="Q136" s="120" t="s">
        <v>504</v>
      </c>
      <c r="R136" s="14"/>
      <c r="S136" s="291"/>
      <c r="T136" s="291"/>
      <c r="U136" s="291"/>
      <c r="V136" s="312"/>
      <c r="W136" s="291"/>
      <c r="X136" s="291"/>
      <c r="Y136" s="291"/>
    </row>
    <row r="137" spans="1:25" ht="18" hidden="1" customHeight="1">
      <c r="A137" s="196"/>
      <c r="V137" s="197"/>
    </row>
    <row r="138" spans="1:25" ht="18" hidden="1" customHeight="1">
      <c r="A138" s="196"/>
      <c r="C138" s="120" t="s">
        <v>504</v>
      </c>
      <c r="D138" s="28" t="s">
        <v>138</v>
      </c>
      <c r="E138" s="28" t="s">
        <v>548</v>
      </c>
      <c r="F138" s="28">
        <v>1.3</v>
      </c>
      <c r="G138" s="28" t="s">
        <v>326</v>
      </c>
      <c r="H138" s="638" t="s">
        <v>484</v>
      </c>
      <c r="I138" s="920"/>
      <c r="J138" s="28" t="s">
        <v>326</v>
      </c>
      <c r="K138" s="28" t="s">
        <v>522</v>
      </c>
      <c r="L138" s="28" t="s">
        <v>552</v>
      </c>
      <c r="M138" s="28" t="s">
        <v>506</v>
      </c>
      <c r="N138" s="47" t="s">
        <v>553</v>
      </c>
      <c r="O138" s="120" t="s">
        <v>502</v>
      </c>
      <c r="V138" s="197"/>
    </row>
    <row r="139" spans="1:25" ht="18" hidden="1" customHeight="1">
      <c r="A139" s="196"/>
      <c r="C139" s="120" t="s">
        <v>504</v>
      </c>
      <c r="D139" s="28" t="s">
        <v>138</v>
      </c>
      <c r="E139" s="28" t="s">
        <v>548</v>
      </c>
      <c r="F139" s="28">
        <v>1.3</v>
      </c>
      <c r="G139" s="28" t="s">
        <v>326</v>
      </c>
      <c r="H139" s="638">
        <f>S131</f>
        <v>1200</v>
      </c>
      <c r="I139" s="920"/>
      <c r="J139" s="28" t="s">
        <v>326</v>
      </c>
      <c r="K139" s="28">
        <f>S134</f>
        <v>1</v>
      </c>
      <c r="L139" s="28" t="s">
        <v>552</v>
      </c>
      <c r="M139" s="28">
        <f>S135</f>
        <v>20</v>
      </c>
      <c r="N139" s="47" t="s">
        <v>553</v>
      </c>
      <c r="O139" s="516">
        <f>S132</f>
        <v>12</v>
      </c>
      <c r="V139" s="197"/>
    </row>
    <row r="140" spans="1:25" ht="18" hidden="1" customHeight="1">
      <c r="A140" s="196"/>
      <c r="D140" s="27" t="s">
        <v>138</v>
      </c>
      <c r="E140" s="639">
        <f>((F139*H139*K139)/M139)-O139</f>
        <v>66</v>
      </c>
      <c r="F140" s="639"/>
      <c r="G140" s="27" t="s">
        <v>168</v>
      </c>
      <c r="V140" s="197"/>
    </row>
    <row r="141" spans="1:25" ht="18" hidden="1" customHeight="1">
      <c r="A141" s="196"/>
      <c r="D141" s="27"/>
      <c r="E141" s="27"/>
      <c r="F141" s="27"/>
      <c r="G141" s="27"/>
      <c r="V141" s="197"/>
    </row>
    <row r="142" spans="1:25" ht="18" hidden="1" customHeight="1">
      <c r="A142" s="196"/>
      <c r="D142" s="27"/>
      <c r="E142" s="27"/>
      <c r="F142" s="27"/>
      <c r="G142" s="27"/>
      <c r="V142" s="197"/>
    </row>
    <row r="143" spans="1:25" ht="18" hidden="1" customHeight="1">
      <c r="A143" s="196"/>
      <c r="D143" s="27"/>
      <c r="E143" s="27"/>
      <c r="F143" s="27"/>
      <c r="G143" s="27"/>
      <c r="V143" s="197"/>
    </row>
    <row r="144" spans="1:25" ht="18" hidden="1" customHeight="1">
      <c r="A144" s="196"/>
      <c r="D144" s="27"/>
      <c r="E144" s="27"/>
      <c r="F144" s="27"/>
      <c r="G144" s="27"/>
      <c r="V144" s="197"/>
    </row>
    <row r="145" spans="1:22" ht="18" hidden="1" customHeight="1">
      <c r="A145" s="196"/>
      <c r="D145" s="27"/>
      <c r="E145" s="27"/>
      <c r="F145" s="27"/>
      <c r="G145" s="27"/>
      <c r="V145" s="197"/>
    </row>
    <row r="146" spans="1:22" ht="18" hidden="1" customHeight="1">
      <c r="A146" s="196"/>
      <c r="V146" s="197"/>
    </row>
    <row r="147" spans="1:22" s="14" customFormat="1" ht="18" hidden="1" customHeight="1">
      <c r="A147" s="206"/>
      <c r="B147" s="207"/>
      <c r="C147" s="207"/>
      <c r="D147" s="207"/>
      <c r="E147" s="207"/>
      <c r="F147" s="207"/>
      <c r="G147" s="207"/>
      <c r="H147" s="207"/>
      <c r="I147" s="207"/>
      <c r="J147" s="207"/>
      <c r="K147" s="207"/>
      <c r="L147" s="207"/>
      <c r="M147" s="207"/>
      <c r="N147" s="207"/>
      <c r="O147" s="207"/>
      <c r="P147" s="207"/>
      <c r="Q147" s="236"/>
      <c r="R147" s="194"/>
      <c r="S147" s="237"/>
      <c r="T147" s="207"/>
      <c r="U147" s="207"/>
      <c r="V147" s="140" t="s">
        <v>563</v>
      </c>
    </row>
    <row r="148" spans="1:22" ht="18" hidden="1" customHeight="1">
      <c r="A148" s="238"/>
      <c r="B148" s="239"/>
      <c r="C148" s="239"/>
      <c r="D148" s="239"/>
      <c r="E148" s="239"/>
      <c r="F148" s="239"/>
      <c r="G148" s="239"/>
      <c r="H148" s="239"/>
      <c r="I148" s="239"/>
      <c r="J148" s="239"/>
      <c r="K148" s="239"/>
      <c r="L148" s="239"/>
      <c r="M148" s="239"/>
      <c r="N148" s="239"/>
      <c r="O148" s="239"/>
      <c r="P148" s="239"/>
      <c r="Q148" s="239"/>
      <c r="R148" s="239"/>
      <c r="S148" s="239"/>
      <c r="T148" s="239"/>
      <c r="U148" s="239"/>
      <c r="V148" s="240"/>
    </row>
    <row r="149" spans="1:22" ht="18" hidden="1" customHeight="1">
      <c r="A149" s="196"/>
      <c r="E149" s="256" t="s">
        <v>123</v>
      </c>
      <c r="F149" s="27" t="s">
        <v>138</v>
      </c>
      <c r="G149" s="638" t="s">
        <v>555</v>
      </c>
      <c r="H149" s="638"/>
      <c r="I149" s="203" t="s">
        <v>353</v>
      </c>
      <c r="J149" s="639" t="s">
        <v>434</v>
      </c>
      <c r="K149" s="639"/>
      <c r="V149" s="197"/>
    </row>
    <row r="150" spans="1:22" ht="18" hidden="1" customHeight="1">
      <c r="A150" s="196"/>
      <c r="F150" s="27" t="s">
        <v>138</v>
      </c>
      <c r="G150" s="639">
        <f>S129</f>
        <v>15000</v>
      </c>
      <c r="H150" s="639"/>
      <c r="I150" s="203" t="s">
        <v>353</v>
      </c>
      <c r="J150" s="639" t="str">
        <f>S130</f>
        <v>-</v>
      </c>
      <c r="K150" s="639"/>
      <c r="V150" s="197"/>
    </row>
    <row r="151" spans="1:22" ht="18" hidden="1" customHeight="1">
      <c r="A151" s="196"/>
      <c r="F151" s="27" t="s">
        <v>138</v>
      </c>
      <c r="G151" s="637" t="e">
        <f>G150/J150</f>
        <v>#VALUE!</v>
      </c>
      <c r="H151" s="637"/>
      <c r="I151" s="27"/>
      <c r="J151" s="27"/>
      <c r="K151" s="27"/>
      <c r="V151" s="197"/>
    </row>
    <row r="152" spans="1:22" ht="18" hidden="1" customHeight="1">
      <c r="A152" s="196"/>
      <c r="V152" s="197"/>
    </row>
    <row r="153" spans="1:22" ht="18" hidden="1" customHeight="1">
      <c r="A153" s="196"/>
      <c r="E153" s="256" t="s">
        <v>564</v>
      </c>
      <c r="F153" s="27" t="s">
        <v>138</v>
      </c>
      <c r="G153" s="27" t="s">
        <v>506</v>
      </c>
      <c r="H153" s="27" t="s">
        <v>565</v>
      </c>
      <c r="I153" s="120" t="s">
        <v>502</v>
      </c>
      <c r="J153" s="28" t="s">
        <v>358</v>
      </c>
      <c r="K153" s="120" t="s">
        <v>504</v>
      </c>
      <c r="L153" s="28" t="s">
        <v>550</v>
      </c>
      <c r="M153" s="120" t="s">
        <v>502</v>
      </c>
      <c r="N153" s="28" t="s">
        <v>358</v>
      </c>
      <c r="O153" s="120" t="s">
        <v>523</v>
      </c>
      <c r="P153" s="308" t="s">
        <v>361</v>
      </c>
      <c r="V153" s="197"/>
    </row>
    <row r="154" spans="1:22" ht="18" hidden="1" customHeight="1">
      <c r="A154" s="196"/>
      <c r="F154" s="27" t="s">
        <v>138</v>
      </c>
      <c r="G154" s="254">
        <f>S135</f>
        <v>20</v>
      </c>
      <c r="H154" s="257" t="s">
        <v>565</v>
      </c>
      <c r="I154" s="313">
        <f>S132</f>
        <v>12</v>
      </c>
      <c r="J154" s="257" t="s">
        <v>358</v>
      </c>
      <c r="K154" s="313">
        <f>E140</f>
        <v>66</v>
      </c>
      <c r="L154" s="257" t="s">
        <v>550</v>
      </c>
      <c r="M154" s="313">
        <f>S132</f>
        <v>12</v>
      </c>
      <c r="N154" s="257" t="s">
        <v>358</v>
      </c>
      <c r="O154" s="313">
        <f>S133</f>
        <v>1.5398674400000001</v>
      </c>
      <c r="P154" s="474" t="s">
        <v>361</v>
      </c>
      <c r="V154" s="197"/>
    </row>
    <row r="155" spans="1:22" ht="18" hidden="1" customHeight="1">
      <c r="A155" s="196"/>
      <c r="F155" s="27" t="s">
        <v>138</v>
      </c>
      <c r="G155" s="637">
        <f>G154*((I154+K154)/(M154+O154))</f>
        <v>115.21530819359336</v>
      </c>
      <c r="H155" s="637"/>
      <c r="V155" s="197"/>
    </row>
    <row r="156" spans="1:22" ht="18" hidden="1" customHeight="1">
      <c r="A156" s="196"/>
      <c r="V156" s="197"/>
    </row>
    <row r="157" spans="1:22" ht="18" hidden="1" customHeight="1">
      <c r="A157" s="196"/>
      <c r="E157" s="256" t="s">
        <v>566</v>
      </c>
      <c r="F157" s="27" t="e">
        <f>IF(D158&gt;G158,"&gt;","&lt;")</f>
        <v>#VALUE!</v>
      </c>
      <c r="G157" s="308" t="s">
        <v>123</v>
      </c>
      <c r="V157" s="197"/>
    </row>
    <row r="158" spans="1:22" ht="18" hidden="1" customHeight="1">
      <c r="A158" s="196"/>
      <c r="D158" s="637">
        <f>G155</f>
        <v>115.21530819359336</v>
      </c>
      <c r="E158" s="637"/>
      <c r="F158" s="27" t="e">
        <f>F157</f>
        <v>#VALUE!</v>
      </c>
      <c r="G158" s="637" t="e">
        <f>G151</f>
        <v>#VALUE!</v>
      </c>
      <c r="H158" s="637"/>
      <c r="V158" s="197"/>
    </row>
    <row r="159" spans="1:22" ht="18" hidden="1" customHeight="1">
      <c r="A159" s="196"/>
      <c r="E159" s="256" t="s">
        <v>489</v>
      </c>
      <c r="G159" s="18" t="e">
        <f>IF(F157="&gt;","Suitably Dimentioned","Under Dimentioned")</f>
        <v>#VALUE!</v>
      </c>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ht="18" hidden="1" customHeight="1">
      <c r="A174" s="196"/>
      <c r="V174" s="197"/>
    </row>
    <row r="175" spans="1:22" ht="18" hidden="1" customHeight="1">
      <c r="A175" s="196"/>
      <c r="V175" s="197"/>
    </row>
    <row r="176" spans="1:22" ht="18" hidden="1" customHeight="1">
      <c r="A176" s="196"/>
      <c r="V176" s="197"/>
    </row>
    <row r="177" spans="1:22" ht="18" hidden="1" customHeight="1">
      <c r="A177" s="196"/>
      <c r="V177" s="197"/>
    </row>
    <row r="178" spans="1:22" ht="18" hidden="1" customHeight="1">
      <c r="A178" s="196"/>
      <c r="V178" s="197"/>
    </row>
    <row r="179" spans="1:22" ht="18" hidden="1" customHeight="1">
      <c r="A179" s="196"/>
      <c r="V179" s="197"/>
    </row>
    <row r="180" spans="1:22" ht="18" hidden="1" customHeight="1">
      <c r="A180" s="196"/>
      <c r="V180" s="197"/>
    </row>
    <row r="181" spans="1:22" ht="18" hidden="1" customHeight="1">
      <c r="A181" s="196"/>
      <c r="V181" s="197"/>
    </row>
    <row r="182" spans="1:22" ht="18" hidden="1" customHeight="1">
      <c r="A182" s="196"/>
      <c r="V182" s="197"/>
    </row>
    <row r="183" spans="1:22" ht="18" hidden="1" customHeight="1">
      <c r="A183" s="196"/>
      <c r="V183" s="197"/>
    </row>
    <row r="184" spans="1:22" ht="18" hidden="1" customHeight="1">
      <c r="A184" s="196"/>
      <c r="V184" s="197"/>
    </row>
    <row r="185" spans="1:22" ht="18" hidden="1" customHeight="1">
      <c r="A185" s="196"/>
      <c r="V185" s="197"/>
    </row>
    <row r="186" spans="1:22" ht="18" hidden="1" customHeight="1">
      <c r="A186" s="196"/>
      <c r="V186" s="197"/>
    </row>
    <row r="187" spans="1:22" ht="18" hidden="1" customHeight="1">
      <c r="A187" s="196"/>
      <c r="V187" s="197"/>
    </row>
    <row r="188" spans="1:22" ht="18" hidden="1" customHeight="1">
      <c r="A188" s="196"/>
      <c r="V188" s="197"/>
    </row>
    <row r="189" spans="1:22" ht="18" hidden="1" customHeight="1">
      <c r="A189" s="196"/>
      <c r="V189" s="197"/>
    </row>
    <row r="190" spans="1:22" ht="18" hidden="1" customHeight="1">
      <c r="A190" s="196"/>
      <c r="V190" s="197"/>
    </row>
    <row r="191" spans="1:22" s="14" customFormat="1" ht="18" hidden="1" customHeight="1">
      <c r="A191" s="206"/>
      <c r="B191" s="207"/>
      <c r="C191" s="207"/>
      <c r="D191" s="207"/>
      <c r="E191" s="207"/>
      <c r="F191" s="207"/>
      <c r="G191" s="207"/>
      <c r="H191" s="207"/>
      <c r="I191" s="207"/>
      <c r="J191" s="207"/>
      <c r="K191" s="207"/>
      <c r="L191" s="207"/>
      <c r="M191" s="207"/>
      <c r="N191" s="207"/>
      <c r="O191" s="207"/>
      <c r="P191" s="207"/>
      <c r="Q191" s="236"/>
      <c r="R191" s="194"/>
      <c r="S191" s="237"/>
      <c r="T191" s="207"/>
      <c r="U191" s="207"/>
      <c r="V191" s="140" t="s">
        <v>563</v>
      </c>
    </row>
    <row r="192" spans="1:22" ht="18" hidden="1" customHeight="1">
      <c r="A192" s="238"/>
      <c r="B192" s="239"/>
      <c r="C192" s="239"/>
      <c r="D192" s="239"/>
      <c r="E192" s="239"/>
      <c r="F192" s="239"/>
      <c r="G192" s="239"/>
      <c r="H192" s="239"/>
      <c r="I192" s="239"/>
      <c r="J192" s="239"/>
      <c r="K192" s="239"/>
      <c r="L192" s="239"/>
      <c r="M192" s="239"/>
      <c r="N192" s="239"/>
      <c r="O192" s="239"/>
      <c r="P192" s="239"/>
      <c r="Q192" s="239"/>
      <c r="R192" s="239"/>
      <c r="S192" s="239"/>
      <c r="T192" s="239"/>
      <c r="U192" s="239"/>
      <c r="V192" s="240"/>
    </row>
    <row r="193" spans="1:23" ht="18" hidden="1" customHeight="1">
      <c r="A193" s="196"/>
      <c r="B193" s="650" t="str">
        <f>B105</f>
        <v>T1</v>
      </c>
      <c r="C193" s="651"/>
      <c r="D193" s="660" t="str">
        <f>D105</f>
        <v>Core1</v>
      </c>
      <c r="E193" s="623"/>
      <c r="F193" s="468"/>
      <c r="H193" s="639" t="str">
        <f>H105</f>
        <v>(OC+BCPU+FMS)</v>
      </c>
      <c r="I193" s="639"/>
      <c r="J193" s="639"/>
      <c r="K193" s="639"/>
      <c r="L193" s="639"/>
      <c r="M193" s="639"/>
      <c r="P193" s="198"/>
      <c r="S193" s="199" t="s">
        <v>398</v>
      </c>
      <c r="T193" s="658" t="str">
        <f>T105</f>
        <v>REC670</v>
      </c>
      <c r="U193" s="659"/>
      <c r="V193" s="197"/>
    </row>
    <row r="194" spans="1:23" ht="18" hidden="1" customHeight="1">
      <c r="A194" s="469"/>
      <c r="F194" s="468"/>
      <c r="T194" s="658" t="str">
        <f>T106</f>
        <v>REF615</v>
      </c>
      <c r="U194" s="659"/>
      <c r="V194" s="197"/>
    </row>
    <row r="195" spans="1:23" ht="18" hidden="1" customHeight="1">
      <c r="A195" s="196"/>
      <c r="H195" s="661" t="s">
        <v>401</v>
      </c>
      <c r="I195" s="661"/>
      <c r="J195" s="661" t="s">
        <v>402</v>
      </c>
      <c r="K195" s="661"/>
      <c r="L195" s="662" t="s">
        <v>403</v>
      </c>
      <c r="M195" s="662"/>
      <c r="T195" s="658" t="str">
        <f>T107</f>
        <v>FMS</v>
      </c>
      <c r="U195" s="659"/>
      <c r="V195" s="197"/>
    </row>
    <row r="196" spans="1:23" ht="18" hidden="1" customHeight="1">
      <c r="A196" s="196"/>
      <c r="B196" s="47" t="s">
        <v>404</v>
      </c>
      <c r="H196" s="650">
        <f>H108</f>
        <v>2500</v>
      </c>
      <c r="I196" s="651"/>
      <c r="J196" s="650" t="str">
        <f>J108</f>
        <v>-</v>
      </c>
      <c r="K196" s="651"/>
      <c r="L196" s="652" t="str">
        <f>L108</f>
        <v>-</v>
      </c>
      <c r="M196" s="653"/>
      <c r="N196" s="203" t="s">
        <v>353</v>
      </c>
      <c r="O196" s="268">
        <f>O108</f>
        <v>1</v>
      </c>
      <c r="P196" s="27" t="s">
        <v>9</v>
      </c>
      <c r="R196" s="267"/>
      <c r="S196" s="267"/>
      <c r="V196" s="197"/>
    </row>
    <row r="197" spans="1:23" ht="18" hidden="1" customHeight="1">
      <c r="A197" s="196"/>
      <c r="B197" s="47" t="s">
        <v>405</v>
      </c>
      <c r="L197" s="650" t="str">
        <f>J109</f>
        <v>PX</v>
      </c>
      <c r="M197" s="651"/>
      <c r="V197" s="197"/>
    </row>
    <row r="198" spans="1:23" ht="18" hidden="1" customHeight="1">
      <c r="A198" s="196"/>
      <c r="B198" s="47" t="s">
        <v>407</v>
      </c>
      <c r="K198" s="120" t="s">
        <v>508</v>
      </c>
      <c r="L198" s="940">
        <v>8</v>
      </c>
      <c r="M198" s="941"/>
      <c r="N198" s="204" t="s">
        <v>344</v>
      </c>
      <c r="V198" s="197"/>
    </row>
    <row r="199" spans="1:23" ht="18" hidden="1" customHeight="1">
      <c r="A199" s="196"/>
      <c r="B199" s="47" t="s">
        <v>409</v>
      </c>
      <c r="K199" s="120" t="s">
        <v>509</v>
      </c>
      <c r="L199" s="940">
        <v>800</v>
      </c>
      <c r="M199" s="941"/>
      <c r="N199" s="14" t="s">
        <v>316</v>
      </c>
      <c r="V199" s="197"/>
      <c r="W199" s="30" t="e">
        <f>G247</f>
        <v>#VALUE!</v>
      </c>
    </row>
    <row r="200" spans="1:23" ht="18" hidden="1" customHeight="1">
      <c r="A200" s="196"/>
      <c r="B200" s="14" t="s">
        <v>412</v>
      </c>
      <c r="K200" s="120" t="s">
        <v>413</v>
      </c>
      <c r="L200" s="940">
        <v>75</v>
      </c>
      <c r="M200" s="941"/>
      <c r="N200" s="14" t="s">
        <v>414</v>
      </c>
      <c r="V200" s="197"/>
    </row>
    <row r="201" spans="1:23" ht="18" hidden="1" customHeight="1">
      <c r="A201" s="196"/>
      <c r="V201" s="197"/>
    </row>
    <row r="202" spans="1:23" ht="18" hidden="1" customHeight="1">
      <c r="A202" s="205" t="s">
        <v>415</v>
      </c>
      <c r="V202" s="197"/>
    </row>
    <row r="203" spans="1:23" ht="18" hidden="1" customHeight="1">
      <c r="A203" s="196"/>
      <c r="V203" s="197"/>
    </row>
    <row r="204" spans="1:23" ht="18" hidden="1" customHeight="1">
      <c r="A204" s="196"/>
      <c r="B204" s="141" t="s">
        <v>416</v>
      </c>
      <c r="C204" s="285"/>
      <c r="D204" s="146" t="str">
        <f>T193</f>
        <v>REC670</v>
      </c>
      <c r="E204" s="239"/>
      <c r="F204" s="239"/>
      <c r="G204" s="239"/>
      <c r="H204" s="145"/>
      <c r="I204" s="272" t="s">
        <v>138</v>
      </c>
      <c r="J204" s="648">
        <f>J116</f>
        <v>0.02</v>
      </c>
      <c r="K204" s="649"/>
      <c r="L204" s="3" t="s">
        <v>168</v>
      </c>
      <c r="N204" s="209" t="s">
        <v>521</v>
      </c>
      <c r="V204" s="197"/>
    </row>
    <row r="205" spans="1:23" ht="18" hidden="1" customHeight="1">
      <c r="A205" s="196"/>
      <c r="B205" s="96" t="s">
        <v>416</v>
      </c>
      <c r="C205" s="14"/>
      <c r="D205" s="47" t="str">
        <f>T194</f>
        <v>REF615</v>
      </c>
      <c r="H205" s="28"/>
      <c r="I205" s="101" t="s">
        <v>138</v>
      </c>
      <c r="J205" s="648">
        <f>J117</f>
        <v>0.02</v>
      </c>
      <c r="K205" s="649"/>
      <c r="L205" s="3" t="s">
        <v>168</v>
      </c>
      <c r="N205" s="120" t="s">
        <v>502</v>
      </c>
      <c r="O205" s="27" t="s">
        <v>138</v>
      </c>
      <c r="P205" s="27" t="s">
        <v>522</v>
      </c>
      <c r="Q205" s="27" t="s">
        <v>326</v>
      </c>
      <c r="R205" s="27" t="s">
        <v>522</v>
      </c>
      <c r="S205" s="27" t="s">
        <v>326</v>
      </c>
      <c r="T205" s="27" t="s">
        <v>431</v>
      </c>
      <c r="V205" s="197"/>
    </row>
    <row r="206" spans="1:23" ht="18" hidden="1" customHeight="1">
      <c r="A206" s="196"/>
      <c r="B206" s="96" t="s">
        <v>416</v>
      </c>
      <c r="C206" s="14"/>
      <c r="D206" s="47" t="str">
        <f>T195</f>
        <v>FMS</v>
      </c>
      <c r="H206" s="28"/>
      <c r="I206" s="101" t="s">
        <v>138</v>
      </c>
      <c r="J206" s="648">
        <f>J118</f>
        <v>5.8000000000000003E-2</v>
      </c>
      <c r="K206" s="649"/>
      <c r="L206" s="3" t="s">
        <v>168</v>
      </c>
      <c r="N206" s="27"/>
      <c r="O206" s="27" t="s">
        <v>138</v>
      </c>
      <c r="P206" s="27">
        <f>O196</f>
        <v>1</v>
      </c>
      <c r="Q206" s="27" t="s">
        <v>326</v>
      </c>
      <c r="R206" s="27">
        <f>O196</f>
        <v>1</v>
      </c>
      <c r="S206" s="27" t="s">
        <v>326</v>
      </c>
      <c r="T206" s="27">
        <f>L198</f>
        <v>8</v>
      </c>
      <c r="V206" s="197"/>
    </row>
    <row r="207" spans="1:23" ht="18" hidden="1" customHeight="1">
      <c r="A207" s="196"/>
      <c r="B207" s="465" t="s">
        <v>423</v>
      </c>
      <c r="C207" s="271"/>
      <c r="D207" s="271"/>
      <c r="E207" s="271"/>
      <c r="F207" s="219"/>
      <c r="G207" s="219"/>
      <c r="H207" s="202"/>
      <c r="I207" s="220" t="s">
        <v>138</v>
      </c>
      <c r="J207" s="646">
        <f>J119</f>
        <v>1.44186744</v>
      </c>
      <c r="K207" s="647"/>
      <c r="L207" s="309" t="s">
        <v>168</v>
      </c>
      <c r="O207" s="27" t="s">
        <v>138</v>
      </c>
      <c r="P207" s="637">
        <f>P206*R206*T206</f>
        <v>8</v>
      </c>
      <c r="Q207" s="639"/>
      <c r="R207" s="27" t="s">
        <v>168</v>
      </c>
      <c r="V207" s="197"/>
    </row>
    <row r="208" spans="1:23" ht="18" hidden="1" customHeight="1">
      <c r="A208" s="196"/>
      <c r="B208" s="1" t="s">
        <v>424</v>
      </c>
      <c r="C208" s="2"/>
      <c r="D208" s="2"/>
      <c r="E208" s="2"/>
      <c r="F208" s="208"/>
      <c r="G208" s="208"/>
      <c r="H208" s="236" t="s">
        <v>523</v>
      </c>
      <c r="I208" s="195" t="s">
        <v>138</v>
      </c>
      <c r="J208" s="648">
        <f>SUM(J204:J207)</f>
        <v>1.5398674400000001</v>
      </c>
      <c r="K208" s="649"/>
      <c r="L208" s="3" t="s">
        <v>168</v>
      </c>
      <c r="V208" s="197"/>
    </row>
    <row r="209" spans="1:25" ht="18" hidden="1" customHeight="1">
      <c r="A209" s="196"/>
      <c r="B209" s="47"/>
      <c r="C209" s="47"/>
      <c r="D209" s="47"/>
      <c r="E209" s="47"/>
      <c r="H209" s="27"/>
      <c r="I209" s="28"/>
      <c r="J209" s="211"/>
      <c r="L209" s="47"/>
      <c r="S209" s="27"/>
      <c r="V209" s="197"/>
    </row>
    <row r="210" spans="1:25" ht="18" hidden="1" customHeight="1">
      <c r="A210" s="964" t="s">
        <v>547</v>
      </c>
      <c r="B210" s="965"/>
      <c r="C210" s="965"/>
      <c r="D210" s="965"/>
      <c r="E210" s="965"/>
      <c r="F210" s="965"/>
      <c r="G210" s="965"/>
      <c r="H210" s="965"/>
      <c r="I210" s="965"/>
      <c r="J210" s="965"/>
      <c r="K210" s="965"/>
      <c r="L210" s="965"/>
      <c r="M210" s="965"/>
      <c r="N210" s="965"/>
      <c r="O210" s="965"/>
      <c r="P210" s="965"/>
      <c r="Q210" s="965"/>
      <c r="R210" s="965"/>
      <c r="S210" s="965"/>
      <c r="T210" s="965"/>
      <c r="U210" s="965"/>
      <c r="V210" s="966"/>
    </row>
    <row r="211" spans="1:25" ht="18" hidden="1" customHeight="1">
      <c r="A211" s="967"/>
      <c r="B211" s="965"/>
      <c r="C211" s="965"/>
      <c r="D211" s="965"/>
      <c r="E211" s="965"/>
      <c r="F211" s="965"/>
      <c r="G211" s="965"/>
      <c r="H211" s="965"/>
      <c r="I211" s="965"/>
      <c r="J211" s="965"/>
      <c r="K211" s="965"/>
      <c r="L211" s="965"/>
      <c r="M211" s="965"/>
      <c r="N211" s="965"/>
      <c r="O211" s="965"/>
      <c r="P211" s="965"/>
      <c r="Q211" s="965"/>
      <c r="R211" s="965"/>
      <c r="S211" s="965"/>
      <c r="T211" s="965"/>
      <c r="U211" s="965"/>
      <c r="V211" s="966"/>
    </row>
    <row r="212" spans="1:25" ht="18" hidden="1" customHeight="1">
      <c r="A212" s="196"/>
      <c r="Q212" s="223"/>
      <c r="R212" s="204"/>
      <c r="V212" s="197"/>
    </row>
    <row r="213" spans="1:25" ht="18" hidden="1" customHeight="1">
      <c r="A213" s="196"/>
      <c r="C213" s="14" t="s">
        <v>484</v>
      </c>
      <c r="D213" s="28" t="s">
        <v>138</v>
      </c>
      <c r="E213" s="28" t="s">
        <v>548</v>
      </c>
      <c r="F213" s="120" t="s">
        <v>504</v>
      </c>
      <c r="G213" s="28" t="s">
        <v>358</v>
      </c>
      <c r="H213" s="120" t="s">
        <v>502</v>
      </c>
      <c r="I213" s="28" t="s">
        <v>549</v>
      </c>
      <c r="J213" s="28" t="s">
        <v>506</v>
      </c>
      <c r="K213" s="28" t="s">
        <v>550</v>
      </c>
      <c r="L213" s="28" t="s">
        <v>522</v>
      </c>
      <c r="M213" s="28" t="s">
        <v>326</v>
      </c>
      <c r="N213" s="28">
        <v>1.3</v>
      </c>
      <c r="O213" s="47" t="s">
        <v>361</v>
      </c>
      <c r="V213" s="197"/>
    </row>
    <row r="214" spans="1:25" ht="18" hidden="1" customHeight="1">
      <c r="A214" s="196" t="s">
        <v>551</v>
      </c>
      <c r="C214" s="14"/>
      <c r="D214" s="28"/>
      <c r="E214" s="14"/>
      <c r="F214" s="14"/>
      <c r="G214" s="14"/>
      <c r="H214" s="14"/>
      <c r="I214" s="14"/>
      <c r="J214" s="14"/>
      <c r="K214" s="14"/>
      <c r="L214" s="14"/>
      <c r="M214" s="14"/>
      <c r="N214" s="14"/>
      <c r="O214" s="14"/>
      <c r="V214" s="197"/>
    </row>
    <row r="215" spans="1:25" ht="18" hidden="1" customHeight="1">
      <c r="A215" s="196"/>
      <c r="C215" s="120" t="s">
        <v>504</v>
      </c>
      <c r="D215" s="28" t="s">
        <v>138</v>
      </c>
      <c r="E215" s="28" t="s">
        <v>548</v>
      </c>
      <c r="F215" s="28">
        <v>1.3</v>
      </c>
      <c r="G215" s="28" t="s">
        <v>326</v>
      </c>
      <c r="H215" s="638" t="s">
        <v>484</v>
      </c>
      <c r="I215" s="920"/>
      <c r="J215" s="28" t="s">
        <v>326</v>
      </c>
      <c r="K215" s="28" t="s">
        <v>522</v>
      </c>
      <c r="L215" s="28" t="s">
        <v>552</v>
      </c>
      <c r="M215" s="28" t="s">
        <v>506</v>
      </c>
      <c r="N215" s="47" t="s">
        <v>553</v>
      </c>
      <c r="O215" s="120" t="s">
        <v>502</v>
      </c>
      <c r="V215" s="197"/>
    </row>
    <row r="216" spans="1:25" ht="18" hidden="1" customHeight="1">
      <c r="A216" s="196"/>
      <c r="V216" s="197"/>
    </row>
    <row r="217" spans="1:25" ht="18" hidden="1" customHeight="1">
      <c r="A217" s="180"/>
      <c r="B217" s="5"/>
      <c r="C217" s="47" t="s">
        <v>554</v>
      </c>
      <c r="D217" s="14"/>
      <c r="E217" s="14"/>
      <c r="F217" s="14"/>
      <c r="G217" s="14"/>
      <c r="H217" s="291"/>
      <c r="I217" s="120"/>
      <c r="J217" s="291"/>
      <c r="K217" s="291"/>
      <c r="L217" s="14"/>
      <c r="M217" s="14"/>
      <c r="N217" s="14"/>
      <c r="O217" s="14"/>
      <c r="P217" s="14"/>
      <c r="Q217" s="120" t="s">
        <v>555</v>
      </c>
      <c r="R217" s="102" t="s">
        <v>138</v>
      </c>
      <c r="S217" s="638">
        <f>S129</f>
        <v>15000</v>
      </c>
      <c r="T217" s="638"/>
      <c r="U217" s="47" t="s">
        <v>9</v>
      </c>
      <c r="V217" s="197"/>
    </row>
    <row r="218" spans="1:25" ht="18" hidden="1" customHeight="1">
      <c r="A218" s="180"/>
      <c r="B218" s="5"/>
      <c r="C218" s="47" t="s">
        <v>556</v>
      </c>
      <c r="D218" s="14"/>
      <c r="E218" s="14"/>
      <c r="F218" s="18"/>
      <c r="G218" s="18"/>
      <c r="H218" s="291"/>
      <c r="I218" s="120"/>
      <c r="J218" s="291"/>
      <c r="K218" s="291"/>
      <c r="L218" s="14"/>
      <c r="M218" s="14"/>
      <c r="N218" s="14"/>
      <c r="O218" s="14"/>
      <c r="P218" s="14"/>
      <c r="Q218" s="120" t="s">
        <v>434</v>
      </c>
      <c r="R218" s="102" t="s">
        <v>138</v>
      </c>
      <c r="S218" s="638" t="str">
        <f>L196</f>
        <v>-</v>
      </c>
      <c r="T218" s="638"/>
      <c r="U218" s="14" t="s">
        <v>9</v>
      </c>
      <c r="V218" s="197"/>
    </row>
    <row r="219" spans="1:25" ht="18" hidden="1" customHeight="1">
      <c r="A219" s="180"/>
      <c r="B219" s="5"/>
      <c r="C219" s="47" t="s">
        <v>557</v>
      </c>
      <c r="D219" s="14"/>
      <c r="E219" s="14"/>
      <c r="F219" s="18"/>
      <c r="G219" s="18"/>
      <c r="H219" s="291"/>
      <c r="I219" s="120"/>
      <c r="J219" s="291"/>
      <c r="K219" s="291"/>
      <c r="L219" s="14"/>
      <c r="M219" s="14"/>
      <c r="N219" s="14"/>
      <c r="O219" s="14"/>
      <c r="P219" s="14"/>
      <c r="Q219" s="120" t="s">
        <v>484</v>
      </c>
      <c r="R219" s="102" t="s">
        <v>138</v>
      </c>
      <c r="S219" s="638">
        <f>L199</f>
        <v>800</v>
      </c>
      <c r="T219" s="638"/>
      <c r="U219" s="14" t="s">
        <v>316</v>
      </c>
      <c r="V219" s="197"/>
    </row>
    <row r="220" spans="1:25" ht="18" hidden="1" customHeight="1">
      <c r="A220" s="180"/>
      <c r="B220" s="5"/>
      <c r="C220" s="47" t="s">
        <v>558</v>
      </c>
      <c r="D220" s="14"/>
      <c r="E220" s="14"/>
      <c r="F220" s="18"/>
      <c r="G220" s="18"/>
      <c r="H220" s="291"/>
      <c r="I220" s="120"/>
      <c r="J220" s="291"/>
      <c r="K220" s="291"/>
      <c r="L220" s="14"/>
      <c r="M220" s="14"/>
      <c r="N220" s="14"/>
      <c r="O220" s="14"/>
      <c r="P220" s="14"/>
      <c r="Q220" s="120" t="s">
        <v>502</v>
      </c>
      <c r="R220" s="102" t="s">
        <v>138</v>
      </c>
      <c r="S220" s="641">
        <f>P207</f>
        <v>8</v>
      </c>
      <c r="T220" s="638"/>
      <c r="U220" s="14" t="s">
        <v>168</v>
      </c>
      <c r="V220" s="197"/>
      <c r="W220" s="291"/>
      <c r="X220" s="291"/>
      <c r="Y220" s="291"/>
    </row>
    <row r="221" spans="1:25" ht="18" hidden="1" customHeight="1">
      <c r="A221" s="180"/>
      <c r="B221" s="5"/>
      <c r="C221" s="47" t="s">
        <v>559</v>
      </c>
      <c r="D221" s="14"/>
      <c r="E221" s="14"/>
      <c r="F221" s="18"/>
      <c r="G221" s="18"/>
      <c r="H221" s="291"/>
      <c r="I221" s="120"/>
      <c r="J221" s="291"/>
      <c r="K221" s="291"/>
      <c r="L221" s="14"/>
      <c r="M221" s="14"/>
      <c r="N221" s="14"/>
      <c r="O221" s="14"/>
      <c r="P221" s="14"/>
      <c r="Q221" s="120" t="s">
        <v>523</v>
      </c>
      <c r="R221" s="102" t="s">
        <v>138</v>
      </c>
      <c r="S221" s="641">
        <f>J208</f>
        <v>1.5398674400000001</v>
      </c>
      <c r="T221" s="638"/>
      <c r="U221" s="14" t="s">
        <v>168</v>
      </c>
      <c r="V221" s="197"/>
      <c r="X221" s="291"/>
      <c r="Y221" s="291"/>
    </row>
    <row r="222" spans="1:25" ht="18" hidden="1" customHeight="1">
      <c r="A222" s="180"/>
      <c r="B222" s="5"/>
      <c r="C222" s="47" t="s">
        <v>560</v>
      </c>
      <c r="D222" s="14"/>
      <c r="E222" s="14"/>
      <c r="F222" s="14"/>
      <c r="G222" s="14"/>
      <c r="H222" s="291"/>
      <c r="I222" s="120"/>
      <c r="J222" s="291"/>
      <c r="K222" s="291"/>
      <c r="L222" s="14"/>
      <c r="M222" s="14"/>
      <c r="N222" s="14"/>
      <c r="O222" s="14"/>
      <c r="P222" s="14"/>
      <c r="Q222" s="120" t="s">
        <v>522</v>
      </c>
      <c r="R222" s="102" t="s">
        <v>138</v>
      </c>
      <c r="S222" s="638">
        <f>O196</f>
        <v>1</v>
      </c>
      <c r="T222" s="638"/>
      <c r="U222" s="14" t="s">
        <v>9</v>
      </c>
      <c r="V222" s="197"/>
      <c r="X222" s="291"/>
      <c r="Y222" s="291"/>
    </row>
    <row r="223" spans="1:25" ht="18" hidden="1" customHeight="1">
      <c r="A223" s="180"/>
      <c r="B223" s="5"/>
      <c r="C223" s="47" t="s">
        <v>561</v>
      </c>
      <c r="D223" s="14"/>
      <c r="E223" s="14"/>
      <c r="F223" s="14"/>
      <c r="G223" s="14"/>
      <c r="H223" s="291"/>
      <c r="I223" s="120"/>
      <c r="J223" s="291"/>
      <c r="K223" s="291"/>
      <c r="L223" s="14"/>
      <c r="M223" s="14"/>
      <c r="N223" s="14"/>
      <c r="O223" s="14"/>
      <c r="P223" s="14"/>
      <c r="Q223" s="120" t="s">
        <v>506</v>
      </c>
      <c r="R223" s="102" t="s">
        <v>138</v>
      </c>
      <c r="S223" s="638">
        <v>20</v>
      </c>
      <c r="T223" s="638"/>
      <c r="U223" s="47"/>
      <c r="V223" s="197"/>
    </row>
    <row r="224" spans="1:25" ht="18" hidden="1" customHeight="1">
      <c r="A224" s="311"/>
      <c r="B224" s="291"/>
      <c r="C224" s="47" t="s">
        <v>562</v>
      </c>
      <c r="D224" s="14"/>
      <c r="E224" s="14"/>
      <c r="F224" s="14"/>
      <c r="G224" s="14"/>
      <c r="H224" s="291"/>
      <c r="I224" s="120"/>
      <c r="J224" s="291"/>
      <c r="K224" s="291"/>
      <c r="L224" s="14"/>
      <c r="M224" s="14"/>
      <c r="N224" s="291"/>
      <c r="O224" s="291"/>
      <c r="P224" s="14"/>
      <c r="Q224" s="120" t="s">
        <v>504</v>
      </c>
      <c r="R224" s="14"/>
      <c r="S224" s="291"/>
      <c r="T224" s="291"/>
      <c r="U224" s="291"/>
      <c r="V224" s="312"/>
      <c r="W224" s="291"/>
      <c r="X224" s="291"/>
      <c r="Y224" s="291"/>
    </row>
    <row r="225" spans="1:22" ht="18" hidden="1" customHeight="1">
      <c r="A225" s="196"/>
      <c r="V225" s="197"/>
    </row>
    <row r="226" spans="1:22" ht="18" hidden="1" customHeight="1">
      <c r="A226" s="196"/>
      <c r="C226" s="120" t="s">
        <v>504</v>
      </c>
      <c r="D226" s="28" t="s">
        <v>138</v>
      </c>
      <c r="E226" s="28" t="s">
        <v>548</v>
      </c>
      <c r="F226" s="28">
        <v>1.3</v>
      </c>
      <c r="G226" s="28" t="s">
        <v>326</v>
      </c>
      <c r="H226" s="638" t="s">
        <v>484</v>
      </c>
      <c r="I226" s="920"/>
      <c r="J226" s="28" t="s">
        <v>326</v>
      </c>
      <c r="K226" s="28" t="s">
        <v>522</v>
      </c>
      <c r="L226" s="28" t="s">
        <v>552</v>
      </c>
      <c r="M226" s="28" t="s">
        <v>506</v>
      </c>
      <c r="N226" s="47" t="s">
        <v>553</v>
      </c>
      <c r="O226" s="120" t="s">
        <v>502</v>
      </c>
      <c r="V226" s="197"/>
    </row>
    <row r="227" spans="1:22" ht="18" hidden="1" customHeight="1">
      <c r="A227" s="196"/>
      <c r="C227" s="120" t="s">
        <v>504</v>
      </c>
      <c r="D227" s="28" t="s">
        <v>138</v>
      </c>
      <c r="E227" s="28" t="s">
        <v>548</v>
      </c>
      <c r="F227" s="28">
        <v>1.3</v>
      </c>
      <c r="G227" s="28" t="s">
        <v>326</v>
      </c>
      <c r="H227" s="638">
        <f>S219</f>
        <v>800</v>
      </c>
      <c r="I227" s="920"/>
      <c r="J227" s="28" t="s">
        <v>326</v>
      </c>
      <c r="K227" s="28">
        <f>S222</f>
        <v>1</v>
      </c>
      <c r="L227" s="28" t="s">
        <v>552</v>
      </c>
      <c r="M227" s="28">
        <f>S223</f>
        <v>20</v>
      </c>
      <c r="N227" s="47" t="s">
        <v>553</v>
      </c>
      <c r="O227" s="516">
        <f>S220</f>
        <v>8</v>
      </c>
      <c r="V227" s="197"/>
    </row>
    <row r="228" spans="1:22" ht="18" hidden="1" customHeight="1">
      <c r="A228" s="196"/>
      <c r="D228" s="27" t="s">
        <v>138</v>
      </c>
      <c r="E228" s="639">
        <f>((F227*H227*K227)/M227)-O227</f>
        <v>44</v>
      </c>
      <c r="F228" s="639"/>
      <c r="G228" s="27" t="s">
        <v>168</v>
      </c>
      <c r="V228" s="197"/>
    </row>
    <row r="229" spans="1:22" ht="18" hidden="1" customHeight="1">
      <c r="A229" s="196"/>
      <c r="D229" s="27"/>
      <c r="E229" s="27"/>
      <c r="F229" s="27"/>
      <c r="G229" s="27"/>
      <c r="V229" s="197"/>
    </row>
    <row r="230" spans="1:22" ht="18" hidden="1" customHeight="1">
      <c r="A230" s="196"/>
      <c r="D230" s="27"/>
      <c r="E230" s="27"/>
      <c r="F230" s="27"/>
      <c r="G230" s="27"/>
      <c r="V230" s="197"/>
    </row>
    <row r="231" spans="1:22" ht="18" hidden="1" customHeight="1">
      <c r="A231" s="196"/>
      <c r="D231" s="27"/>
      <c r="E231" s="27"/>
      <c r="F231" s="27"/>
      <c r="G231" s="27"/>
      <c r="V231" s="197"/>
    </row>
    <row r="232" spans="1:22" ht="18" hidden="1" customHeight="1">
      <c r="A232" s="196"/>
      <c r="D232" s="27"/>
      <c r="E232" s="27"/>
      <c r="F232" s="27"/>
      <c r="G232" s="27"/>
      <c r="V232" s="197"/>
    </row>
    <row r="233" spans="1:22" ht="18" hidden="1" customHeight="1">
      <c r="A233" s="196"/>
      <c r="D233" s="27"/>
      <c r="E233" s="27"/>
      <c r="F233" s="27"/>
      <c r="G233" s="27"/>
      <c r="V233" s="197"/>
    </row>
    <row r="234" spans="1:22" ht="18" hidden="1" customHeight="1">
      <c r="A234" s="196"/>
      <c r="V234" s="197"/>
    </row>
    <row r="235" spans="1:22" s="14" customFormat="1" ht="18" hidden="1" customHeight="1">
      <c r="A235" s="206"/>
      <c r="B235" s="207"/>
      <c r="C235" s="207"/>
      <c r="D235" s="207"/>
      <c r="E235" s="207"/>
      <c r="F235" s="207"/>
      <c r="G235" s="207"/>
      <c r="H235" s="207"/>
      <c r="I235" s="207"/>
      <c r="J235" s="207"/>
      <c r="K235" s="207"/>
      <c r="L235" s="207"/>
      <c r="M235" s="207"/>
      <c r="N235" s="207"/>
      <c r="O235" s="207"/>
      <c r="P235" s="207"/>
      <c r="Q235" s="236"/>
      <c r="R235" s="194"/>
      <c r="S235" s="237"/>
      <c r="T235" s="207"/>
      <c r="U235" s="207"/>
      <c r="V235" s="140" t="s">
        <v>563</v>
      </c>
    </row>
    <row r="236" spans="1:22" ht="18" hidden="1" customHeight="1">
      <c r="A236" s="238"/>
      <c r="B236" s="239"/>
      <c r="C236" s="239"/>
      <c r="D236" s="239"/>
      <c r="E236" s="239"/>
      <c r="F236" s="239"/>
      <c r="G236" s="239"/>
      <c r="H236" s="239"/>
      <c r="I236" s="239"/>
      <c r="J236" s="239"/>
      <c r="K236" s="239"/>
      <c r="L236" s="239"/>
      <c r="M236" s="239"/>
      <c r="N236" s="239"/>
      <c r="O236" s="239"/>
      <c r="P236" s="239"/>
      <c r="Q236" s="239"/>
      <c r="R236" s="239"/>
      <c r="S236" s="239"/>
      <c r="T236" s="239"/>
      <c r="U236" s="239"/>
      <c r="V236" s="240"/>
    </row>
    <row r="237" spans="1:22" ht="18" hidden="1" customHeight="1">
      <c r="A237" s="196"/>
      <c r="E237" s="256" t="s">
        <v>123</v>
      </c>
      <c r="F237" s="27" t="s">
        <v>138</v>
      </c>
      <c r="G237" s="638" t="s">
        <v>555</v>
      </c>
      <c r="H237" s="638"/>
      <c r="I237" s="203" t="s">
        <v>353</v>
      </c>
      <c r="J237" s="639" t="s">
        <v>434</v>
      </c>
      <c r="K237" s="639"/>
      <c r="V237" s="197"/>
    </row>
    <row r="238" spans="1:22" ht="18" hidden="1" customHeight="1">
      <c r="A238" s="196"/>
      <c r="F238" s="27" t="s">
        <v>138</v>
      </c>
      <c r="G238" s="639">
        <f>S217</f>
        <v>15000</v>
      </c>
      <c r="H238" s="639"/>
      <c r="I238" s="203" t="s">
        <v>353</v>
      </c>
      <c r="J238" s="639" t="str">
        <f>S218</f>
        <v>-</v>
      </c>
      <c r="K238" s="639"/>
      <c r="V238" s="197"/>
    </row>
    <row r="239" spans="1:22" ht="18" hidden="1" customHeight="1">
      <c r="A239" s="196"/>
      <c r="F239" s="27" t="s">
        <v>138</v>
      </c>
      <c r="G239" s="637" t="e">
        <f>G238/J238</f>
        <v>#VALUE!</v>
      </c>
      <c r="H239" s="637"/>
      <c r="I239" s="27"/>
      <c r="J239" s="27"/>
      <c r="K239" s="27"/>
      <c r="V239" s="197"/>
    </row>
    <row r="240" spans="1:22" ht="18" hidden="1" customHeight="1">
      <c r="A240" s="196"/>
      <c r="V240" s="197"/>
    </row>
    <row r="241" spans="1:22" ht="18" hidden="1" customHeight="1">
      <c r="A241" s="196"/>
      <c r="E241" s="256" t="s">
        <v>564</v>
      </c>
      <c r="F241" s="27" t="s">
        <v>138</v>
      </c>
      <c r="G241" s="27" t="s">
        <v>506</v>
      </c>
      <c r="H241" s="27" t="s">
        <v>565</v>
      </c>
      <c r="I241" s="120" t="s">
        <v>502</v>
      </c>
      <c r="J241" s="28" t="s">
        <v>358</v>
      </c>
      <c r="K241" s="120" t="s">
        <v>504</v>
      </c>
      <c r="L241" s="28" t="s">
        <v>550</v>
      </c>
      <c r="M241" s="120" t="s">
        <v>502</v>
      </c>
      <c r="N241" s="28" t="s">
        <v>358</v>
      </c>
      <c r="O241" s="120" t="s">
        <v>523</v>
      </c>
      <c r="P241" s="308" t="s">
        <v>361</v>
      </c>
      <c r="V241" s="197"/>
    </row>
    <row r="242" spans="1:22" ht="18" hidden="1" customHeight="1">
      <c r="A242" s="196"/>
      <c r="F242" s="27" t="s">
        <v>138</v>
      </c>
      <c r="G242" s="254">
        <f>S223</f>
        <v>20</v>
      </c>
      <c r="H242" s="257" t="s">
        <v>565</v>
      </c>
      <c r="I242" s="313">
        <f>S220</f>
        <v>8</v>
      </c>
      <c r="J242" s="257" t="s">
        <v>358</v>
      </c>
      <c r="K242" s="313">
        <f>E228</f>
        <v>44</v>
      </c>
      <c r="L242" s="257" t="s">
        <v>550</v>
      </c>
      <c r="M242" s="313">
        <f>S220</f>
        <v>8</v>
      </c>
      <c r="N242" s="257" t="s">
        <v>358</v>
      </c>
      <c r="O242" s="313">
        <f>S221</f>
        <v>1.5398674400000001</v>
      </c>
      <c r="P242" s="474" t="s">
        <v>361</v>
      </c>
      <c r="V242" s="197"/>
    </row>
    <row r="243" spans="1:22" ht="18" hidden="1" customHeight="1">
      <c r="A243" s="196"/>
      <c r="F243" s="27" t="s">
        <v>138</v>
      </c>
      <c r="G243" s="637">
        <f>G242*((I242+K242)/(M242+O242))</f>
        <v>109.01618985179526</v>
      </c>
      <c r="H243" s="637"/>
      <c r="V243" s="197"/>
    </row>
    <row r="244" spans="1:22" ht="18" hidden="1" customHeight="1">
      <c r="A244" s="196"/>
      <c r="V244" s="197"/>
    </row>
    <row r="245" spans="1:22" ht="18" hidden="1" customHeight="1">
      <c r="A245" s="196"/>
      <c r="E245" s="256" t="s">
        <v>566</v>
      </c>
      <c r="F245" s="27" t="e">
        <f>IF(D246&gt;G246,"&gt;","&lt;")</f>
        <v>#VALUE!</v>
      </c>
      <c r="G245" s="308" t="s">
        <v>123</v>
      </c>
      <c r="V245" s="197"/>
    </row>
    <row r="246" spans="1:22" ht="18" hidden="1" customHeight="1">
      <c r="A246" s="196"/>
      <c r="D246" s="637">
        <f>G243</f>
        <v>109.01618985179526</v>
      </c>
      <c r="E246" s="637"/>
      <c r="F246" s="27" t="e">
        <f>F245</f>
        <v>#VALUE!</v>
      </c>
      <c r="G246" s="637" t="e">
        <f>G239</f>
        <v>#VALUE!</v>
      </c>
      <c r="H246" s="637"/>
      <c r="V246" s="197"/>
    </row>
    <row r="247" spans="1:22" ht="18" hidden="1" customHeight="1">
      <c r="A247" s="196"/>
      <c r="E247" s="256" t="s">
        <v>489</v>
      </c>
      <c r="G247" s="18" t="e">
        <f>IF(F245="&gt;","Suitably Dimentioned","Under Dimentioned")</f>
        <v>#VALUE!</v>
      </c>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ht="18" hidden="1" customHeight="1">
      <c r="A262" s="196"/>
      <c r="V262" s="197"/>
    </row>
    <row r="263" spans="1:22" ht="18" hidden="1" customHeight="1">
      <c r="A263" s="196"/>
      <c r="V263" s="197"/>
    </row>
    <row r="264" spans="1:22" ht="18" hidden="1" customHeight="1">
      <c r="A264" s="196"/>
      <c r="V264" s="197"/>
    </row>
    <row r="265" spans="1:22" ht="18" hidden="1" customHeight="1">
      <c r="A265" s="196"/>
      <c r="V265" s="197"/>
    </row>
    <row r="266" spans="1:22" ht="18" hidden="1" customHeight="1">
      <c r="A266" s="196"/>
      <c r="V266" s="197"/>
    </row>
    <row r="267" spans="1:22" ht="18" hidden="1" customHeight="1">
      <c r="A267" s="196"/>
      <c r="V267" s="197"/>
    </row>
    <row r="268" spans="1:22" ht="18" hidden="1" customHeight="1">
      <c r="A268" s="196"/>
      <c r="V268" s="197"/>
    </row>
    <row r="269" spans="1:22" ht="18" hidden="1" customHeight="1">
      <c r="A269" s="196"/>
      <c r="V269" s="197"/>
    </row>
    <row r="270" spans="1:22" ht="18" hidden="1" customHeight="1">
      <c r="A270" s="196"/>
      <c r="V270" s="197"/>
    </row>
    <row r="271" spans="1:22" ht="18" hidden="1" customHeight="1">
      <c r="A271" s="196"/>
      <c r="V271" s="197"/>
    </row>
    <row r="272" spans="1:22" ht="18" hidden="1" customHeight="1">
      <c r="A272" s="196"/>
      <c r="V272" s="197"/>
    </row>
    <row r="273" spans="1:22" ht="18" hidden="1" customHeight="1">
      <c r="A273" s="196"/>
      <c r="V273" s="197"/>
    </row>
    <row r="274" spans="1:22" ht="18" hidden="1" customHeight="1">
      <c r="A274" s="196"/>
      <c r="V274" s="197"/>
    </row>
    <row r="275" spans="1:22" ht="18" hidden="1" customHeight="1">
      <c r="A275" s="196"/>
      <c r="V275" s="197"/>
    </row>
    <row r="276" spans="1:22" ht="18" hidden="1" customHeight="1">
      <c r="A276" s="196"/>
      <c r="V276" s="197"/>
    </row>
    <row r="277" spans="1:22" ht="18" hidden="1" customHeight="1">
      <c r="A277" s="196"/>
      <c r="V277" s="197"/>
    </row>
    <row r="278" spans="1:22" ht="18" hidden="1" customHeight="1">
      <c r="A278" s="196"/>
      <c r="V278" s="197"/>
    </row>
    <row r="279" spans="1:22" s="14" customFormat="1" ht="18" customHeight="1">
      <c r="A279" s="206"/>
      <c r="B279" s="207"/>
      <c r="C279" s="207"/>
      <c r="D279" s="207"/>
      <c r="E279" s="207"/>
      <c r="F279" s="207"/>
      <c r="G279" s="207"/>
      <c r="H279" s="207"/>
      <c r="I279" s="207"/>
      <c r="J279" s="207"/>
      <c r="K279" s="207"/>
      <c r="L279" s="207"/>
      <c r="M279" s="207"/>
      <c r="N279" s="207"/>
      <c r="O279" s="207"/>
      <c r="P279" s="207"/>
      <c r="Q279" s="236"/>
      <c r="R279" s="194"/>
      <c r="S279" s="237"/>
      <c r="T279" s="207"/>
      <c r="U279" s="207"/>
      <c r="V279" s="140"/>
    </row>
    <row r="280" spans="1:22" ht="18" customHeight="1">
      <c r="A280" s="238"/>
      <c r="B280" s="239"/>
      <c r="C280" s="239"/>
      <c r="D280" s="239"/>
      <c r="E280" s="239"/>
      <c r="F280" s="239"/>
      <c r="G280" s="239"/>
      <c r="H280" s="239"/>
      <c r="I280" s="239"/>
      <c r="J280" s="239"/>
      <c r="K280" s="239"/>
      <c r="L280" s="239"/>
      <c r="M280" s="239"/>
      <c r="N280" s="239"/>
      <c r="O280" s="239"/>
      <c r="P280" s="239"/>
      <c r="Q280" s="239"/>
      <c r="R280" s="239"/>
      <c r="S280" s="239"/>
      <c r="T280" s="239"/>
      <c r="U280" s="239"/>
      <c r="V280" s="240"/>
    </row>
    <row r="281" spans="1:22" ht="18" customHeight="1">
      <c r="A281" s="274" t="s">
        <v>543</v>
      </c>
      <c r="B281" s="14"/>
      <c r="C281" s="14"/>
      <c r="D281" s="120"/>
      <c r="E281" s="120"/>
      <c r="F281" s="18"/>
      <c r="G281" s="18"/>
      <c r="H281" s="14"/>
      <c r="I281" s="14"/>
      <c r="J281" s="14"/>
      <c r="K281" s="14"/>
      <c r="L281" s="14"/>
      <c r="M281" s="14"/>
      <c r="N281" s="14"/>
      <c r="O281" s="14"/>
      <c r="P281" s="28"/>
      <c r="Q281" s="120"/>
      <c r="R281" s="47"/>
      <c r="S281" s="218"/>
      <c r="T281" s="271"/>
      <c r="U281" s="14"/>
      <c r="V281" s="97"/>
    </row>
    <row r="282" spans="1:22" customFormat="1" ht="18" customHeight="1">
      <c r="A282" s="782" t="s">
        <v>97</v>
      </c>
      <c r="B282" s="782"/>
      <c r="C282" s="612"/>
      <c r="D282" s="782" t="s">
        <v>98</v>
      </c>
      <c r="E282" s="782"/>
      <c r="F282" s="782"/>
      <c r="G282" s="782" t="s">
        <v>99</v>
      </c>
      <c r="H282" s="782"/>
      <c r="I282" s="782" t="s">
        <v>100</v>
      </c>
      <c r="J282" s="782"/>
      <c r="K282" s="782" t="s">
        <v>513</v>
      </c>
      <c r="L282" s="782"/>
      <c r="M282" s="782" t="s">
        <v>514</v>
      </c>
      <c r="N282" s="782"/>
      <c r="O282" s="782" t="s">
        <v>515</v>
      </c>
      <c r="P282" s="782"/>
      <c r="Q282" s="782" t="s">
        <v>516</v>
      </c>
      <c r="R282" s="782"/>
      <c r="S282" s="782" t="s">
        <v>105</v>
      </c>
      <c r="T282" s="782"/>
      <c r="U282" s="782"/>
      <c r="V282" s="782"/>
    </row>
    <row r="283" spans="1:22" customFormat="1" ht="18" customHeight="1">
      <c r="A283" s="782"/>
      <c r="B283" s="782"/>
      <c r="C283" s="612"/>
      <c r="D283" s="782"/>
      <c r="E283" s="782"/>
      <c r="F283" s="782"/>
      <c r="G283" s="782"/>
      <c r="H283" s="782"/>
      <c r="I283" s="782"/>
      <c r="J283" s="782"/>
      <c r="K283" s="782"/>
      <c r="L283" s="782"/>
      <c r="M283" s="782"/>
      <c r="N283" s="782"/>
      <c r="O283" s="782"/>
      <c r="P283" s="782"/>
      <c r="Q283" s="782"/>
      <c r="R283" s="782"/>
      <c r="S283" s="782"/>
      <c r="T283" s="782"/>
      <c r="U283" s="782"/>
      <c r="V283" s="782"/>
    </row>
    <row r="284" spans="1:22" customFormat="1" ht="18" customHeight="1">
      <c r="A284" s="782"/>
      <c r="B284" s="782"/>
      <c r="C284" s="612"/>
      <c r="D284" s="782"/>
      <c r="E284" s="782"/>
      <c r="F284" s="782"/>
      <c r="G284" s="782"/>
      <c r="H284" s="782"/>
      <c r="I284" s="782"/>
      <c r="J284" s="782"/>
      <c r="K284" s="782"/>
      <c r="L284" s="782"/>
      <c r="M284" s="782"/>
      <c r="N284" s="782"/>
      <c r="O284" s="782"/>
      <c r="P284" s="782"/>
      <c r="Q284" s="782"/>
      <c r="R284" s="782"/>
      <c r="S284" s="782"/>
      <c r="T284" s="782"/>
      <c r="U284" s="782"/>
      <c r="V284" s="782"/>
    </row>
    <row r="285" spans="1:22" customFormat="1" ht="18" customHeight="1">
      <c r="A285" s="782"/>
      <c r="B285" s="782"/>
      <c r="C285" s="612"/>
      <c r="D285" s="782"/>
      <c r="E285" s="782"/>
      <c r="F285" s="782"/>
      <c r="G285" s="782"/>
      <c r="H285" s="782"/>
      <c r="I285" s="782"/>
      <c r="J285" s="782"/>
      <c r="K285" s="782"/>
      <c r="L285" s="782"/>
      <c r="M285" s="782"/>
      <c r="N285" s="782"/>
      <c r="O285" s="782"/>
      <c r="P285" s="782"/>
      <c r="Q285" s="782"/>
      <c r="R285" s="782"/>
      <c r="S285" s="782"/>
      <c r="T285" s="782"/>
      <c r="U285" s="782"/>
      <c r="V285" s="782"/>
    </row>
    <row r="286" spans="1:22" customFormat="1" ht="18" customHeight="1">
      <c r="A286" s="623" t="str">
        <f>B7</f>
        <v>T1</v>
      </c>
      <c r="B286" s="623" t="str">
        <f>D7</f>
        <v>Core1</v>
      </c>
      <c r="C286" s="623"/>
      <c r="D286" s="613">
        <f>H10</f>
        <v>2500</v>
      </c>
      <c r="E286" s="613"/>
      <c r="F286" s="624">
        <f>O10</f>
        <v>1</v>
      </c>
      <c r="G286" s="613">
        <f>'CT-VT Burdens'!S19</f>
        <v>80</v>
      </c>
      <c r="H286" s="783">
        <f>'CT-VT Burdens'!S28</f>
        <v>2.5</v>
      </c>
      <c r="I286" s="783" t="str">
        <f>H11</f>
        <v>PX</v>
      </c>
      <c r="J286" s="783"/>
      <c r="K286" s="612">
        <f>H12</f>
        <v>10</v>
      </c>
      <c r="L286" s="612"/>
      <c r="M286" s="612">
        <f>H13</f>
        <v>325</v>
      </c>
      <c r="N286" s="612"/>
      <c r="O286" s="613">
        <f>H14</f>
        <v>50</v>
      </c>
      <c r="P286" s="613"/>
      <c r="Q286" s="629" t="str">
        <f>CONCATENATE(T7,T8,T9)</f>
        <v>REC670REF615FMS</v>
      </c>
      <c r="R286" s="629"/>
      <c r="S286" s="786" t="s">
        <v>544</v>
      </c>
      <c r="T286" s="613"/>
      <c r="U286" s="613"/>
      <c r="V286" s="613"/>
    </row>
    <row r="287" spans="1:22" customFormat="1" ht="18" customHeight="1">
      <c r="A287" s="623"/>
      <c r="B287" s="623"/>
      <c r="C287" s="623"/>
      <c r="D287" s="786" t="s">
        <v>7</v>
      </c>
      <c r="E287" s="613"/>
      <c r="F287" s="625"/>
      <c r="G287" s="613"/>
      <c r="H287" s="613"/>
      <c r="I287" s="783"/>
      <c r="J287" s="783"/>
      <c r="K287" s="785" t="s">
        <v>7</v>
      </c>
      <c r="L287" s="612"/>
      <c r="M287" s="785" t="s">
        <v>7</v>
      </c>
      <c r="N287" s="612"/>
      <c r="O287" s="786" t="s">
        <v>7</v>
      </c>
      <c r="P287" s="613"/>
      <c r="Q287" s="629"/>
      <c r="R287" s="629"/>
      <c r="S287" s="786" t="s">
        <v>7</v>
      </c>
      <c r="T287" s="613"/>
      <c r="U287" s="613"/>
      <c r="V287" s="613"/>
    </row>
    <row r="288" spans="1:22" customFormat="1" ht="18" customHeight="1">
      <c r="A288" s="623"/>
      <c r="B288" s="623"/>
      <c r="C288" s="623"/>
      <c r="D288" s="786" t="s">
        <v>7</v>
      </c>
      <c r="E288" s="613"/>
      <c r="F288" s="626"/>
      <c r="G288" s="613"/>
      <c r="H288" s="613"/>
      <c r="I288" s="783"/>
      <c r="J288" s="783"/>
      <c r="K288" s="785" t="s">
        <v>7</v>
      </c>
      <c r="L288" s="612"/>
      <c r="M288" s="785" t="s">
        <v>7</v>
      </c>
      <c r="N288" s="612"/>
      <c r="O288" s="786" t="s">
        <v>7</v>
      </c>
      <c r="P288" s="613"/>
      <c r="Q288" s="629"/>
      <c r="R288" s="629"/>
      <c r="S288" s="613" t="s">
        <v>7</v>
      </c>
      <c r="T288" s="613"/>
      <c r="U288" s="613"/>
      <c r="V288" s="613"/>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196"/>
      <c r="V314" s="197"/>
    </row>
    <row r="315" spans="1:22" ht="18" customHeight="1">
      <c r="A315" s="196"/>
      <c r="V315" s="197"/>
    </row>
    <row r="316" spans="1:22" ht="18" customHeight="1">
      <c r="A316" s="196"/>
      <c r="V316" s="197"/>
    </row>
    <row r="317" spans="1:22" ht="18" customHeight="1">
      <c r="A317" s="196"/>
      <c r="V317" s="197"/>
    </row>
    <row r="318" spans="1:22" ht="18" customHeight="1">
      <c r="A318" s="196"/>
      <c r="V318" s="197"/>
    </row>
    <row r="319" spans="1:22" ht="18" customHeight="1">
      <c r="A319" s="196"/>
      <c r="V319" s="197"/>
    </row>
    <row r="320" spans="1:22" ht="18" customHeight="1">
      <c r="A320" s="196"/>
      <c r="V320" s="197"/>
    </row>
    <row r="321" spans="1:22" ht="18" customHeight="1">
      <c r="A321" s="196"/>
      <c r="V321" s="197"/>
    </row>
    <row r="322" spans="1:22" s="14" customFormat="1" ht="18" customHeight="1">
      <c r="A322" s="206"/>
      <c r="B322" s="207"/>
      <c r="C322" s="207"/>
      <c r="D322" s="207"/>
      <c r="E322" s="207"/>
      <c r="F322" s="207"/>
      <c r="G322" s="207"/>
      <c r="H322" s="207"/>
      <c r="I322" s="207"/>
      <c r="J322" s="207"/>
      <c r="K322" s="207"/>
      <c r="L322" s="207"/>
      <c r="M322" s="207"/>
      <c r="N322" s="207"/>
      <c r="O322" s="207"/>
      <c r="P322" s="207"/>
      <c r="Q322" s="236"/>
      <c r="R322" s="194"/>
      <c r="S322" s="237"/>
      <c r="T322" s="207"/>
      <c r="U322" s="207"/>
      <c r="V322" s="140"/>
    </row>
  </sheetData>
  <mergeCells count="238">
    <mergeCell ref="K288:L288"/>
    <mergeCell ref="M288:N288"/>
    <mergeCell ref="O288:P288"/>
    <mergeCell ref="S288:V288"/>
    <mergeCell ref="I286:J288"/>
    <mergeCell ref="K286:L286"/>
    <mergeCell ref="M286:N286"/>
    <mergeCell ref="O286:P286"/>
    <mergeCell ref="Q286:R288"/>
    <mergeCell ref="S286:V286"/>
    <mergeCell ref="K287:L287"/>
    <mergeCell ref="M287:N287"/>
    <mergeCell ref="O287:P287"/>
    <mergeCell ref="S287:V287"/>
    <mergeCell ref="A286:A288"/>
    <mergeCell ref="B286:C288"/>
    <mergeCell ref="D286:E286"/>
    <mergeCell ref="F286:F288"/>
    <mergeCell ref="G286:G288"/>
    <mergeCell ref="H286:H288"/>
    <mergeCell ref="D287:E287"/>
    <mergeCell ref="D288:E288"/>
    <mergeCell ref="I282:J285"/>
    <mergeCell ref="K282:L285"/>
    <mergeCell ref="M282:N285"/>
    <mergeCell ref="O282:P285"/>
    <mergeCell ref="Q282:R285"/>
    <mergeCell ref="S282:V285"/>
    <mergeCell ref="G243:H243"/>
    <mergeCell ref="D246:E246"/>
    <mergeCell ref="G246:H246"/>
    <mergeCell ref="A282:C285"/>
    <mergeCell ref="D282:F285"/>
    <mergeCell ref="G282:H285"/>
    <mergeCell ref="E228:F228"/>
    <mergeCell ref="G237:H237"/>
    <mergeCell ref="J237:K237"/>
    <mergeCell ref="G238:H238"/>
    <mergeCell ref="J238:K238"/>
    <mergeCell ref="G239:H239"/>
    <mergeCell ref="S220:T220"/>
    <mergeCell ref="S221:T221"/>
    <mergeCell ref="S222:T222"/>
    <mergeCell ref="S223:T223"/>
    <mergeCell ref="H226:I226"/>
    <mergeCell ref="H227:I227"/>
    <mergeCell ref="J208:K208"/>
    <mergeCell ref="A210:V211"/>
    <mergeCell ref="H215:I215"/>
    <mergeCell ref="S217:T217"/>
    <mergeCell ref="S218:T218"/>
    <mergeCell ref="S219:T219"/>
    <mergeCell ref="L200:M200"/>
    <mergeCell ref="J204:K204"/>
    <mergeCell ref="J205:K205"/>
    <mergeCell ref="J206:K206"/>
    <mergeCell ref="J207:K207"/>
    <mergeCell ref="P207:Q207"/>
    <mergeCell ref="H196:I196"/>
    <mergeCell ref="J196:K196"/>
    <mergeCell ref="L196:M196"/>
    <mergeCell ref="L197:M197"/>
    <mergeCell ref="L198:M198"/>
    <mergeCell ref="L199:M199"/>
    <mergeCell ref="T193:U193"/>
    <mergeCell ref="T194:U194"/>
    <mergeCell ref="H195:I195"/>
    <mergeCell ref="J195:K195"/>
    <mergeCell ref="L195:M195"/>
    <mergeCell ref="T195:U195"/>
    <mergeCell ref="G155:H155"/>
    <mergeCell ref="D158:E158"/>
    <mergeCell ref="G158:H158"/>
    <mergeCell ref="B193:C193"/>
    <mergeCell ref="D193:E193"/>
    <mergeCell ref="H193:M193"/>
    <mergeCell ref="E140:F140"/>
    <mergeCell ref="G149:H149"/>
    <mergeCell ref="J149:K149"/>
    <mergeCell ref="G150:H150"/>
    <mergeCell ref="J150:K150"/>
    <mergeCell ref="G151:H151"/>
    <mergeCell ref="S132:T132"/>
    <mergeCell ref="S133:T133"/>
    <mergeCell ref="S134:T134"/>
    <mergeCell ref="S135:T135"/>
    <mergeCell ref="H138:I138"/>
    <mergeCell ref="H139:I139"/>
    <mergeCell ref="J120:K120"/>
    <mergeCell ref="A122:V123"/>
    <mergeCell ref="H127:I127"/>
    <mergeCell ref="S129:T129"/>
    <mergeCell ref="S130:T130"/>
    <mergeCell ref="S131:T131"/>
    <mergeCell ref="J112:K112"/>
    <mergeCell ref="J116:K116"/>
    <mergeCell ref="J117:K117"/>
    <mergeCell ref="J118:K118"/>
    <mergeCell ref="J119:K119"/>
    <mergeCell ref="P119:Q119"/>
    <mergeCell ref="H108:I108"/>
    <mergeCell ref="J108:K108"/>
    <mergeCell ref="L108:M108"/>
    <mergeCell ref="J109:K109"/>
    <mergeCell ref="J110:K110"/>
    <mergeCell ref="J111:K111"/>
    <mergeCell ref="B105:C105"/>
    <mergeCell ref="D105:E105"/>
    <mergeCell ref="H105:M105"/>
    <mergeCell ref="T105:U105"/>
    <mergeCell ref="T106:U106"/>
    <mergeCell ref="H107:I107"/>
    <mergeCell ref="J107:K107"/>
    <mergeCell ref="L107:M107"/>
    <mergeCell ref="T107:U107"/>
    <mergeCell ref="D67:E67"/>
    <mergeCell ref="E71:F71"/>
    <mergeCell ref="H71:I71"/>
    <mergeCell ref="I64:J64"/>
    <mergeCell ref="K64:K65"/>
    <mergeCell ref="L64:L65"/>
    <mergeCell ref="M64:M65"/>
    <mergeCell ref="N64:N65"/>
    <mergeCell ref="O64:O65"/>
    <mergeCell ref="N70:O70"/>
    <mergeCell ref="N71:O71"/>
    <mergeCell ref="S58:T58"/>
    <mergeCell ref="S59:T59"/>
    <mergeCell ref="S60:T60"/>
    <mergeCell ref="S61:T61"/>
    <mergeCell ref="S62:T62"/>
    <mergeCell ref="B64:C65"/>
    <mergeCell ref="D64:D65"/>
    <mergeCell ref="E64:E65"/>
    <mergeCell ref="F64:G65"/>
    <mergeCell ref="H64:H65"/>
    <mergeCell ref="P64:P65"/>
    <mergeCell ref="Q64:S64"/>
    <mergeCell ref="T64:T65"/>
    <mergeCell ref="I65:J65"/>
    <mergeCell ref="S52:S53"/>
    <mergeCell ref="T52:T53"/>
    <mergeCell ref="H53:I53"/>
    <mergeCell ref="H54:I54"/>
    <mergeCell ref="S56:T56"/>
    <mergeCell ref="S57:T57"/>
    <mergeCell ref="K52:K53"/>
    <mergeCell ref="L52:L53"/>
    <mergeCell ref="M52:M53"/>
    <mergeCell ref="N52:N53"/>
    <mergeCell ref="O52:O53"/>
    <mergeCell ref="P52:R52"/>
    <mergeCell ref="S55:T55"/>
    <mergeCell ref="D40:E40"/>
    <mergeCell ref="B52:D53"/>
    <mergeCell ref="E52:E53"/>
    <mergeCell ref="F52:F53"/>
    <mergeCell ref="G52:G53"/>
    <mergeCell ref="H52:I52"/>
    <mergeCell ref="J52:J53"/>
    <mergeCell ref="K37:K38"/>
    <mergeCell ref="L37:L38"/>
    <mergeCell ref="S32:T32"/>
    <mergeCell ref="S33:T33"/>
    <mergeCell ref="S34:T34"/>
    <mergeCell ref="S35:T35"/>
    <mergeCell ref="B37:C38"/>
    <mergeCell ref="D37:D38"/>
    <mergeCell ref="E37:E38"/>
    <mergeCell ref="F37:G38"/>
    <mergeCell ref="H37:H38"/>
    <mergeCell ref="I37:J37"/>
    <mergeCell ref="Q37:S37"/>
    <mergeCell ref="T37:T38"/>
    <mergeCell ref="I38:J38"/>
    <mergeCell ref="M37:M38"/>
    <mergeCell ref="N37:N38"/>
    <mergeCell ref="O37:O38"/>
    <mergeCell ref="P37:P38"/>
    <mergeCell ref="T25:T26"/>
    <mergeCell ref="H26:I26"/>
    <mergeCell ref="H27:I27"/>
    <mergeCell ref="S29:T29"/>
    <mergeCell ref="S30:T30"/>
    <mergeCell ref="S31:T31"/>
    <mergeCell ref="L25:L26"/>
    <mergeCell ref="M25:M26"/>
    <mergeCell ref="N25:N26"/>
    <mergeCell ref="O25:O26"/>
    <mergeCell ref="P25:R25"/>
    <mergeCell ref="S25:S26"/>
    <mergeCell ref="S28:T28"/>
    <mergeCell ref="J22:K22"/>
    <mergeCell ref="B25:D26"/>
    <mergeCell ref="E25:E26"/>
    <mergeCell ref="F25:F26"/>
    <mergeCell ref="G25:G26"/>
    <mergeCell ref="H25:I25"/>
    <mergeCell ref="J25:J26"/>
    <mergeCell ref="K25:K26"/>
    <mergeCell ref="H14:I14"/>
    <mergeCell ref="J18:K18"/>
    <mergeCell ref="J19:K19"/>
    <mergeCell ref="J20:K20"/>
    <mergeCell ref="J21:K21"/>
    <mergeCell ref="P21:Q21"/>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159 G247">
    <cfRule type="cellIs" dxfId="46" priority="2" stopIfTrue="1" operator="equal">
      <formula>"Under Dimentioned"</formula>
    </cfRule>
  </conditionalFormatting>
  <conditionalFormatting sqref="H73">
    <cfRule type="cellIs" dxfId="45" priority="1" stopIfTrue="1" operator="equal">
      <formula>"Under Dimentioned"</formula>
    </cfRule>
  </conditionalFormatting>
  <dataValidations count="1">
    <dataValidation type="list" allowBlank="1" showInputMessage="1" showErrorMessage="1" sqref="D193 IZ193 SV193 ACR193 AMN193 AWJ193 BGF193 BQB193 BZX193 CJT193 CTP193 DDL193 DNH193 DXD193 EGZ193 EQV193 FAR193 FKN193 FUJ193 GEF193 GOB193 GXX193 HHT193 HRP193 IBL193 ILH193 IVD193 JEZ193 JOV193 JYR193 KIN193 KSJ193 LCF193 LMB193 LVX193 MFT193 MPP193 MZL193 NJH193 NTD193 OCZ193 OMV193 OWR193 PGN193 PQJ193 QAF193 QKB193 QTX193 RDT193 RNP193 RXL193 SHH193 SRD193 TAZ193 TKV193 TUR193 UEN193 UOJ193 UYF193 VIB193 VRX193 WBT193 WLP193 WVL193 D65728 IZ65728 SV65728 ACR65728 AMN65728 AWJ65728 BGF65728 BQB65728 BZX65728 CJT65728 CTP65728 DDL65728 DNH65728 DXD65728 EGZ65728 EQV65728 FAR65728 FKN65728 FUJ65728 GEF65728 GOB65728 GXX65728 HHT65728 HRP65728 IBL65728 ILH65728 IVD65728 JEZ65728 JOV65728 JYR65728 KIN65728 KSJ65728 LCF65728 LMB65728 LVX65728 MFT65728 MPP65728 MZL65728 NJH65728 NTD65728 OCZ65728 OMV65728 OWR65728 PGN65728 PQJ65728 QAF65728 QKB65728 QTX65728 RDT65728 RNP65728 RXL65728 SHH65728 SRD65728 TAZ65728 TKV65728 TUR65728 UEN65728 UOJ65728 UYF65728 VIB65728 VRX65728 WBT65728 WLP65728 WVL65728 D131264 IZ131264 SV131264 ACR131264 AMN131264 AWJ131264 BGF131264 BQB131264 BZX131264 CJT131264 CTP131264 DDL131264 DNH131264 DXD131264 EGZ131264 EQV131264 FAR131264 FKN131264 FUJ131264 GEF131264 GOB131264 GXX131264 HHT131264 HRP131264 IBL131264 ILH131264 IVD131264 JEZ131264 JOV131264 JYR131264 KIN131264 KSJ131264 LCF131264 LMB131264 LVX131264 MFT131264 MPP131264 MZL131264 NJH131264 NTD131264 OCZ131264 OMV131264 OWR131264 PGN131264 PQJ131264 QAF131264 QKB131264 QTX131264 RDT131264 RNP131264 RXL131264 SHH131264 SRD131264 TAZ131264 TKV131264 TUR131264 UEN131264 UOJ131264 UYF131264 VIB131264 VRX131264 WBT131264 WLP131264 WVL131264 D196800 IZ196800 SV196800 ACR196800 AMN196800 AWJ196800 BGF196800 BQB196800 BZX196800 CJT196800 CTP196800 DDL196800 DNH196800 DXD196800 EGZ196800 EQV196800 FAR196800 FKN196800 FUJ196800 GEF196800 GOB196800 GXX196800 HHT196800 HRP196800 IBL196800 ILH196800 IVD196800 JEZ196800 JOV196800 JYR196800 KIN196800 KSJ196800 LCF196800 LMB196800 LVX196800 MFT196800 MPP196800 MZL196800 NJH196800 NTD196800 OCZ196800 OMV196800 OWR196800 PGN196800 PQJ196800 QAF196800 QKB196800 QTX196800 RDT196800 RNP196800 RXL196800 SHH196800 SRD196800 TAZ196800 TKV196800 TUR196800 UEN196800 UOJ196800 UYF196800 VIB196800 VRX196800 WBT196800 WLP196800 WVL196800 D262336 IZ262336 SV262336 ACR262336 AMN262336 AWJ262336 BGF262336 BQB262336 BZX262336 CJT262336 CTP262336 DDL262336 DNH262336 DXD262336 EGZ262336 EQV262336 FAR262336 FKN262336 FUJ262336 GEF262336 GOB262336 GXX262336 HHT262336 HRP262336 IBL262336 ILH262336 IVD262336 JEZ262336 JOV262336 JYR262336 KIN262336 KSJ262336 LCF262336 LMB262336 LVX262336 MFT262336 MPP262336 MZL262336 NJH262336 NTD262336 OCZ262336 OMV262336 OWR262336 PGN262336 PQJ262336 QAF262336 QKB262336 QTX262336 RDT262336 RNP262336 RXL262336 SHH262336 SRD262336 TAZ262336 TKV262336 TUR262336 UEN262336 UOJ262336 UYF262336 VIB262336 VRX262336 WBT262336 WLP262336 WVL262336 D327872 IZ327872 SV327872 ACR327872 AMN327872 AWJ327872 BGF327872 BQB327872 BZX327872 CJT327872 CTP327872 DDL327872 DNH327872 DXD327872 EGZ327872 EQV327872 FAR327872 FKN327872 FUJ327872 GEF327872 GOB327872 GXX327872 HHT327872 HRP327872 IBL327872 ILH327872 IVD327872 JEZ327872 JOV327872 JYR327872 KIN327872 KSJ327872 LCF327872 LMB327872 LVX327872 MFT327872 MPP327872 MZL327872 NJH327872 NTD327872 OCZ327872 OMV327872 OWR327872 PGN327872 PQJ327872 QAF327872 QKB327872 QTX327872 RDT327872 RNP327872 RXL327872 SHH327872 SRD327872 TAZ327872 TKV327872 TUR327872 UEN327872 UOJ327872 UYF327872 VIB327872 VRX327872 WBT327872 WLP327872 WVL327872 D393408 IZ393408 SV393408 ACR393408 AMN393408 AWJ393408 BGF393408 BQB393408 BZX393408 CJT393408 CTP393408 DDL393408 DNH393408 DXD393408 EGZ393408 EQV393408 FAR393408 FKN393408 FUJ393408 GEF393408 GOB393408 GXX393408 HHT393408 HRP393408 IBL393408 ILH393408 IVD393408 JEZ393408 JOV393408 JYR393408 KIN393408 KSJ393408 LCF393408 LMB393408 LVX393408 MFT393408 MPP393408 MZL393408 NJH393408 NTD393408 OCZ393408 OMV393408 OWR393408 PGN393408 PQJ393408 QAF393408 QKB393408 QTX393408 RDT393408 RNP393408 RXL393408 SHH393408 SRD393408 TAZ393408 TKV393408 TUR393408 UEN393408 UOJ393408 UYF393408 VIB393408 VRX393408 WBT393408 WLP393408 WVL393408 D458944 IZ458944 SV458944 ACR458944 AMN458944 AWJ458944 BGF458944 BQB458944 BZX458944 CJT458944 CTP458944 DDL458944 DNH458944 DXD458944 EGZ458944 EQV458944 FAR458944 FKN458944 FUJ458944 GEF458944 GOB458944 GXX458944 HHT458944 HRP458944 IBL458944 ILH458944 IVD458944 JEZ458944 JOV458944 JYR458944 KIN458944 KSJ458944 LCF458944 LMB458944 LVX458944 MFT458944 MPP458944 MZL458944 NJH458944 NTD458944 OCZ458944 OMV458944 OWR458944 PGN458944 PQJ458944 QAF458944 QKB458944 QTX458944 RDT458944 RNP458944 RXL458944 SHH458944 SRD458944 TAZ458944 TKV458944 TUR458944 UEN458944 UOJ458944 UYF458944 VIB458944 VRX458944 WBT458944 WLP458944 WVL458944 D524480 IZ524480 SV524480 ACR524480 AMN524480 AWJ524480 BGF524480 BQB524480 BZX524480 CJT524480 CTP524480 DDL524480 DNH524480 DXD524480 EGZ524480 EQV524480 FAR524480 FKN524480 FUJ524480 GEF524480 GOB524480 GXX524480 HHT524480 HRP524480 IBL524480 ILH524480 IVD524480 JEZ524480 JOV524480 JYR524480 KIN524480 KSJ524480 LCF524480 LMB524480 LVX524480 MFT524480 MPP524480 MZL524480 NJH524480 NTD524480 OCZ524480 OMV524480 OWR524480 PGN524480 PQJ524480 QAF524480 QKB524480 QTX524480 RDT524480 RNP524480 RXL524480 SHH524480 SRD524480 TAZ524480 TKV524480 TUR524480 UEN524480 UOJ524480 UYF524480 VIB524480 VRX524480 WBT524480 WLP524480 WVL524480 D590016 IZ590016 SV590016 ACR590016 AMN590016 AWJ590016 BGF590016 BQB590016 BZX590016 CJT590016 CTP590016 DDL590016 DNH590016 DXD590016 EGZ590016 EQV590016 FAR590016 FKN590016 FUJ590016 GEF590016 GOB590016 GXX590016 HHT590016 HRP590016 IBL590016 ILH590016 IVD590016 JEZ590016 JOV590016 JYR590016 KIN590016 KSJ590016 LCF590016 LMB590016 LVX590016 MFT590016 MPP590016 MZL590016 NJH590016 NTD590016 OCZ590016 OMV590016 OWR590016 PGN590016 PQJ590016 QAF590016 QKB590016 QTX590016 RDT590016 RNP590016 RXL590016 SHH590016 SRD590016 TAZ590016 TKV590016 TUR590016 UEN590016 UOJ590016 UYF590016 VIB590016 VRX590016 WBT590016 WLP590016 WVL590016 D655552 IZ655552 SV655552 ACR655552 AMN655552 AWJ655552 BGF655552 BQB655552 BZX655552 CJT655552 CTP655552 DDL655552 DNH655552 DXD655552 EGZ655552 EQV655552 FAR655552 FKN655552 FUJ655552 GEF655552 GOB655552 GXX655552 HHT655552 HRP655552 IBL655552 ILH655552 IVD655552 JEZ655552 JOV655552 JYR655552 KIN655552 KSJ655552 LCF655552 LMB655552 LVX655552 MFT655552 MPP655552 MZL655552 NJH655552 NTD655552 OCZ655552 OMV655552 OWR655552 PGN655552 PQJ655552 QAF655552 QKB655552 QTX655552 RDT655552 RNP655552 RXL655552 SHH655552 SRD655552 TAZ655552 TKV655552 TUR655552 UEN655552 UOJ655552 UYF655552 VIB655552 VRX655552 WBT655552 WLP655552 WVL655552 D721088 IZ721088 SV721088 ACR721088 AMN721088 AWJ721088 BGF721088 BQB721088 BZX721088 CJT721088 CTP721088 DDL721088 DNH721088 DXD721088 EGZ721088 EQV721088 FAR721088 FKN721088 FUJ721088 GEF721088 GOB721088 GXX721088 HHT721088 HRP721088 IBL721088 ILH721088 IVD721088 JEZ721088 JOV721088 JYR721088 KIN721088 KSJ721088 LCF721088 LMB721088 LVX721088 MFT721088 MPP721088 MZL721088 NJH721088 NTD721088 OCZ721088 OMV721088 OWR721088 PGN721088 PQJ721088 QAF721088 QKB721088 QTX721088 RDT721088 RNP721088 RXL721088 SHH721088 SRD721088 TAZ721088 TKV721088 TUR721088 UEN721088 UOJ721088 UYF721088 VIB721088 VRX721088 WBT721088 WLP721088 WVL721088 D786624 IZ786624 SV786624 ACR786624 AMN786624 AWJ786624 BGF786624 BQB786624 BZX786624 CJT786624 CTP786624 DDL786624 DNH786624 DXD786624 EGZ786624 EQV786624 FAR786624 FKN786624 FUJ786624 GEF786624 GOB786624 GXX786624 HHT786624 HRP786624 IBL786624 ILH786624 IVD786624 JEZ786624 JOV786624 JYR786624 KIN786624 KSJ786624 LCF786624 LMB786624 LVX786624 MFT786624 MPP786624 MZL786624 NJH786624 NTD786624 OCZ786624 OMV786624 OWR786624 PGN786624 PQJ786624 QAF786624 QKB786624 QTX786624 RDT786624 RNP786624 RXL786624 SHH786624 SRD786624 TAZ786624 TKV786624 TUR786624 UEN786624 UOJ786624 UYF786624 VIB786624 VRX786624 WBT786624 WLP786624 WVL786624 D852160 IZ852160 SV852160 ACR852160 AMN852160 AWJ852160 BGF852160 BQB852160 BZX852160 CJT852160 CTP852160 DDL852160 DNH852160 DXD852160 EGZ852160 EQV852160 FAR852160 FKN852160 FUJ852160 GEF852160 GOB852160 GXX852160 HHT852160 HRP852160 IBL852160 ILH852160 IVD852160 JEZ852160 JOV852160 JYR852160 KIN852160 KSJ852160 LCF852160 LMB852160 LVX852160 MFT852160 MPP852160 MZL852160 NJH852160 NTD852160 OCZ852160 OMV852160 OWR852160 PGN852160 PQJ852160 QAF852160 QKB852160 QTX852160 RDT852160 RNP852160 RXL852160 SHH852160 SRD852160 TAZ852160 TKV852160 TUR852160 UEN852160 UOJ852160 UYF852160 VIB852160 VRX852160 WBT852160 WLP852160 WVL852160 D917696 IZ917696 SV917696 ACR917696 AMN917696 AWJ917696 BGF917696 BQB917696 BZX917696 CJT917696 CTP917696 DDL917696 DNH917696 DXD917696 EGZ917696 EQV917696 FAR917696 FKN917696 FUJ917696 GEF917696 GOB917696 GXX917696 HHT917696 HRP917696 IBL917696 ILH917696 IVD917696 JEZ917696 JOV917696 JYR917696 KIN917696 KSJ917696 LCF917696 LMB917696 LVX917696 MFT917696 MPP917696 MZL917696 NJH917696 NTD917696 OCZ917696 OMV917696 OWR917696 PGN917696 PQJ917696 QAF917696 QKB917696 QTX917696 RDT917696 RNP917696 RXL917696 SHH917696 SRD917696 TAZ917696 TKV917696 TUR917696 UEN917696 UOJ917696 UYF917696 VIB917696 VRX917696 WBT917696 WLP917696 WVL917696 D983232 IZ983232 SV983232 ACR983232 AMN983232 AWJ983232 BGF983232 BQB983232 BZX983232 CJT983232 CTP983232 DDL983232 DNH983232 DXD983232 EGZ983232 EQV983232 FAR983232 FKN983232 FUJ983232 GEF983232 GOB983232 GXX983232 HHT983232 HRP983232 IBL983232 ILH983232 IVD983232 JEZ983232 JOV983232 JYR983232 KIN983232 KSJ983232 LCF983232 LMB983232 LVX983232 MFT983232 MPP983232 MZL983232 NJH983232 NTD983232 OCZ983232 OMV983232 OWR983232 PGN983232 PQJ983232 QAF983232 QKB983232 QTX983232 RDT983232 RNP983232 RXL983232 SHH983232 SRD983232 TAZ983232 TKV983232 TUR983232 UEN983232 UOJ983232 UYF983232 VIB983232 VRX983232 WBT983232 WLP983232 WVL983232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D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D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D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D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D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D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D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D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D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D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D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D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D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D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D105 IZ105 SV105 ACR105 AMN105 AWJ105 BGF105 BQB105 BZX105 CJT105 CTP105 DDL105 DNH105 DXD105 EGZ105 EQV105 FAR105 FKN105 FUJ105 GEF105 GOB105 GXX105 HHT105 HRP105 IBL105 ILH105 IVD105 JEZ105 JOV105 JYR105 KIN105 KSJ105 LCF105 LMB105 LVX105 MFT105 MPP105 MZL105 NJH105 NTD105 OCZ105 OMV105 OWR105 PGN105 PQJ105 QAF105 QKB105 QTX105 RDT105 RNP105 RXL105 SHH105 SRD105 TAZ105 TKV105 TUR105 UEN105 UOJ105 UYF105 VIB105 VRX105 WBT105 WLP105 WVL105 D65640 IZ65640 SV65640 ACR65640 AMN65640 AWJ65640 BGF65640 BQB65640 BZX65640 CJT65640 CTP65640 DDL65640 DNH65640 DXD65640 EGZ65640 EQV65640 FAR65640 FKN65640 FUJ65640 GEF65640 GOB65640 GXX65640 HHT65640 HRP65640 IBL65640 ILH65640 IVD65640 JEZ65640 JOV65640 JYR65640 KIN65640 KSJ65640 LCF65640 LMB65640 LVX65640 MFT65640 MPP65640 MZL65640 NJH65640 NTD65640 OCZ65640 OMV65640 OWR65640 PGN65640 PQJ65640 QAF65640 QKB65640 QTX65640 RDT65640 RNP65640 RXL65640 SHH65640 SRD65640 TAZ65640 TKV65640 TUR65640 UEN65640 UOJ65640 UYF65640 VIB65640 VRX65640 WBT65640 WLP65640 WVL65640 D131176 IZ131176 SV131176 ACR131176 AMN131176 AWJ131176 BGF131176 BQB131176 BZX131176 CJT131176 CTP131176 DDL131176 DNH131176 DXD131176 EGZ131176 EQV131176 FAR131176 FKN131176 FUJ131176 GEF131176 GOB131176 GXX131176 HHT131176 HRP131176 IBL131176 ILH131176 IVD131176 JEZ131176 JOV131176 JYR131176 KIN131176 KSJ131176 LCF131176 LMB131176 LVX131176 MFT131176 MPP131176 MZL131176 NJH131176 NTD131176 OCZ131176 OMV131176 OWR131176 PGN131176 PQJ131176 QAF131176 QKB131176 QTX131176 RDT131176 RNP131176 RXL131176 SHH131176 SRD131176 TAZ131176 TKV131176 TUR131176 UEN131176 UOJ131176 UYF131176 VIB131176 VRX131176 WBT131176 WLP131176 WVL131176 D196712 IZ196712 SV196712 ACR196712 AMN196712 AWJ196712 BGF196712 BQB196712 BZX196712 CJT196712 CTP196712 DDL196712 DNH196712 DXD196712 EGZ196712 EQV196712 FAR196712 FKN196712 FUJ196712 GEF196712 GOB196712 GXX196712 HHT196712 HRP196712 IBL196712 ILH196712 IVD196712 JEZ196712 JOV196712 JYR196712 KIN196712 KSJ196712 LCF196712 LMB196712 LVX196712 MFT196712 MPP196712 MZL196712 NJH196712 NTD196712 OCZ196712 OMV196712 OWR196712 PGN196712 PQJ196712 QAF196712 QKB196712 QTX196712 RDT196712 RNP196712 RXL196712 SHH196712 SRD196712 TAZ196712 TKV196712 TUR196712 UEN196712 UOJ196712 UYF196712 VIB196712 VRX196712 WBT196712 WLP196712 WVL196712 D262248 IZ262248 SV262248 ACR262248 AMN262248 AWJ262248 BGF262248 BQB262248 BZX262248 CJT262248 CTP262248 DDL262248 DNH262248 DXD262248 EGZ262248 EQV262248 FAR262248 FKN262248 FUJ262248 GEF262248 GOB262248 GXX262248 HHT262248 HRP262248 IBL262248 ILH262248 IVD262248 JEZ262248 JOV262248 JYR262248 KIN262248 KSJ262248 LCF262248 LMB262248 LVX262248 MFT262248 MPP262248 MZL262248 NJH262248 NTD262248 OCZ262248 OMV262248 OWR262248 PGN262248 PQJ262248 QAF262248 QKB262248 QTX262248 RDT262248 RNP262248 RXL262248 SHH262248 SRD262248 TAZ262248 TKV262248 TUR262248 UEN262248 UOJ262248 UYF262248 VIB262248 VRX262248 WBT262248 WLP262248 WVL262248 D327784 IZ327784 SV327784 ACR327784 AMN327784 AWJ327784 BGF327784 BQB327784 BZX327784 CJT327784 CTP327784 DDL327784 DNH327784 DXD327784 EGZ327784 EQV327784 FAR327784 FKN327784 FUJ327784 GEF327784 GOB327784 GXX327784 HHT327784 HRP327784 IBL327784 ILH327784 IVD327784 JEZ327784 JOV327784 JYR327784 KIN327784 KSJ327784 LCF327784 LMB327784 LVX327784 MFT327784 MPP327784 MZL327784 NJH327784 NTD327784 OCZ327784 OMV327784 OWR327784 PGN327784 PQJ327784 QAF327784 QKB327784 QTX327784 RDT327784 RNP327784 RXL327784 SHH327784 SRD327784 TAZ327784 TKV327784 TUR327784 UEN327784 UOJ327784 UYF327784 VIB327784 VRX327784 WBT327784 WLP327784 WVL327784 D393320 IZ393320 SV393320 ACR393320 AMN393320 AWJ393320 BGF393320 BQB393320 BZX393320 CJT393320 CTP393320 DDL393320 DNH393320 DXD393320 EGZ393320 EQV393320 FAR393320 FKN393320 FUJ393320 GEF393320 GOB393320 GXX393320 HHT393320 HRP393320 IBL393320 ILH393320 IVD393320 JEZ393320 JOV393320 JYR393320 KIN393320 KSJ393320 LCF393320 LMB393320 LVX393320 MFT393320 MPP393320 MZL393320 NJH393320 NTD393320 OCZ393320 OMV393320 OWR393320 PGN393320 PQJ393320 QAF393320 QKB393320 QTX393320 RDT393320 RNP393320 RXL393320 SHH393320 SRD393320 TAZ393320 TKV393320 TUR393320 UEN393320 UOJ393320 UYF393320 VIB393320 VRX393320 WBT393320 WLP393320 WVL393320 D458856 IZ458856 SV458856 ACR458856 AMN458856 AWJ458856 BGF458856 BQB458856 BZX458856 CJT458856 CTP458856 DDL458856 DNH458856 DXD458856 EGZ458856 EQV458856 FAR458856 FKN458856 FUJ458856 GEF458856 GOB458856 GXX458856 HHT458856 HRP458856 IBL458856 ILH458856 IVD458856 JEZ458856 JOV458856 JYR458856 KIN458856 KSJ458856 LCF458856 LMB458856 LVX458856 MFT458856 MPP458856 MZL458856 NJH458856 NTD458856 OCZ458856 OMV458856 OWR458856 PGN458856 PQJ458856 QAF458856 QKB458856 QTX458856 RDT458856 RNP458856 RXL458856 SHH458856 SRD458856 TAZ458856 TKV458856 TUR458856 UEN458856 UOJ458856 UYF458856 VIB458856 VRX458856 WBT458856 WLP458856 WVL458856 D524392 IZ524392 SV524392 ACR524392 AMN524392 AWJ524392 BGF524392 BQB524392 BZX524392 CJT524392 CTP524392 DDL524392 DNH524392 DXD524392 EGZ524392 EQV524392 FAR524392 FKN524392 FUJ524392 GEF524392 GOB524392 GXX524392 HHT524392 HRP524392 IBL524392 ILH524392 IVD524392 JEZ524392 JOV524392 JYR524392 KIN524392 KSJ524392 LCF524392 LMB524392 LVX524392 MFT524392 MPP524392 MZL524392 NJH524392 NTD524392 OCZ524392 OMV524392 OWR524392 PGN524392 PQJ524392 QAF524392 QKB524392 QTX524392 RDT524392 RNP524392 RXL524392 SHH524392 SRD524392 TAZ524392 TKV524392 TUR524392 UEN524392 UOJ524392 UYF524392 VIB524392 VRX524392 WBT524392 WLP524392 WVL524392 D589928 IZ589928 SV589928 ACR589928 AMN589928 AWJ589928 BGF589928 BQB589928 BZX589928 CJT589928 CTP589928 DDL589928 DNH589928 DXD589928 EGZ589928 EQV589928 FAR589928 FKN589928 FUJ589928 GEF589928 GOB589928 GXX589928 HHT589928 HRP589928 IBL589928 ILH589928 IVD589928 JEZ589928 JOV589928 JYR589928 KIN589928 KSJ589928 LCF589928 LMB589928 LVX589928 MFT589928 MPP589928 MZL589928 NJH589928 NTD589928 OCZ589928 OMV589928 OWR589928 PGN589928 PQJ589928 QAF589928 QKB589928 QTX589928 RDT589928 RNP589928 RXL589928 SHH589928 SRD589928 TAZ589928 TKV589928 TUR589928 UEN589928 UOJ589928 UYF589928 VIB589928 VRX589928 WBT589928 WLP589928 WVL589928 D655464 IZ655464 SV655464 ACR655464 AMN655464 AWJ655464 BGF655464 BQB655464 BZX655464 CJT655464 CTP655464 DDL655464 DNH655464 DXD655464 EGZ655464 EQV655464 FAR655464 FKN655464 FUJ655464 GEF655464 GOB655464 GXX655464 HHT655464 HRP655464 IBL655464 ILH655464 IVD655464 JEZ655464 JOV655464 JYR655464 KIN655464 KSJ655464 LCF655464 LMB655464 LVX655464 MFT655464 MPP655464 MZL655464 NJH655464 NTD655464 OCZ655464 OMV655464 OWR655464 PGN655464 PQJ655464 QAF655464 QKB655464 QTX655464 RDT655464 RNP655464 RXL655464 SHH655464 SRD655464 TAZ655464 TKV655464 TUR655464 UEN655464 UOJ655464 UYF655464 VIB655464 VRX655464 WBT655464 WLP655464 WVL655464 D721000 IZ721000 SV721000 ACR721000 AMN721000 AWJ721000 BGF721000 BQB721000 BZX721000 CJT721000 CTP721000 DDL721000 DNH721000 DXD721000 EGZ721000 EQV721000 FAR721000 FKN721000 FUJ721000 GEF721000 GOB721000 GXX721000 HHT721000 HRP721000 IBL721000 ILH721000 IVD721000 JEZ721000 JOV721000 JYR721000 KIN721000 KSJ721000 LCF721000 LMB721000 LVX721000 MFT721000 MPP721000 MZL721000 NJH721000 NTD721000 OCZ721000 OMV721000 OWR721000 PGN721000 PQJ721000 QAF721000 QKB721000 QTX721000 RDT721000 RNP721000 RXL721000 SHH721000 SRD721000 TAZ721000 TKV721000 TUR721000 UEN721000 UOJ721000 UYF721000 VIB721000 VRX721000 WBT721000 WLP721000 WVL721000 D786536 IZ786536 SV786536 ACR786536 AMN786536 AWJ786536 BGF786536 BQB786536 BZX786536 CJT786536 CTP786536 DDL786536 DNH786536 DXD786536 EGZ786536 EQV786536 FAR786536 FKN786536 FUJ786536 GEF786536 GOB786536 GXX786536 HHT786536 HRP786536 IBL786536 ILH786536 IVD786536 JEZ786536 JOV786536 JYR786536 KIN786536 KSJ786536 LCF786536 LMB786536 LVX786536 MFT786536 MPP786536 MZL786536 NJH786536 NTD786536 OCZ786536 OMV786536 OWR786536 PGN786536 PQJ786536 QAF786536 QKB786536 QTX786536 RDT786536 RNP786536 RXL786536 SHH786536 SRD786536 TAZ786536 TKV786536 TUR786536 UEN786536 UOJ786536 UYF786536 VIB786536 VRX786536 WBT786536 WLP786536 WVL786536 D852072 IZ852072 SV852072 ACR852072 AMN852072 AWJ852072 BGF852072 BQB852072 BZX852072 CJT852072 CTP852072 DDL852072 DNH852072 DXD852072 EGZ852072 EQV852072 FAR852072 FKN852072 FUJ852072 GEF852072 GOB852072 GXX852072 HHT852072 HRP852072 IBL852072 ILH852072 IVD852072 JEZ852072 JOV852072 JYR852072 KIN852072 KSJ852072 LCF852072 LMB852072 LVX852072 MFT852072 MPP852072 MZL852072 NJH852072 NTD852072 OCZ852072 OMV852072 OWR852072 PGN852072 PQJ852072 QAF852072 QKB852072 QTX852072 RDT852072 RNP852072 RXL852072 SHH852072 SRD852072 TAZ852072 TKV852072 TUR852072 UEN852072 UOJ852072 UYF852072 VIB852072 VRX852072 WBT852072 WLP852072 WVL852072 D917608 IZ917608 SV917608 ACR917608 AMN917608 AWJ917608 BGF917608 BQB917608 BZX917608 CJT917608 CTP917608 DDL917608 DNH917608 DXD917608 EGZ917608 EQV917608 FAR917608 FKN917608 FUJ917608 GEF917608 GOB917608 GXX917608 HHT917608 HRP917608 IBL917608 ILH917608 IVD917608 JEZ917608 JOV917608 JYR917608 KIN917608 KSJ917608 LCF917608 LMB917608 LVX917608 MFT917608 MPP917608 MZL917608 NJH917608 NTD917608 OCZ917608 OMV917608 OWR917608 PGN917608 PQJ917608 QAF917608 QKB917608 QTX917608 RDT917608 RNP917608 RXL917608 SHH917608 SRD917608 TAZ917608 TKV917608 TUR917608 UEN917608 UOJ917608 UYF917608 VIB917608 VRX917608 WBT917608 WLP917608 WVL917608 D983144 IZ983144 SV983144 ACR983144 AMN983144 AWJ983144 BGF983144 BQB983144 BZX983144 CJT983144 CTP983144 DDL983144 DNH983144 DXD983144 EGZ983144 EQV983144 FAR983144 FKN983144 FUJ983144 GEF983144 GOB983144 GXX983144 HHT983144 HRP983144 IBL983144 ILH983144 IVD983144 JEZ983144 JOV983144 JYR983144 KIN983144 KSJ983144 LCF983144 LMB983144 LVX983144 MFT983144 MPP983144 MZL983144 NJH983144 NTD983144 OCZ983144 OMV983144 OWR983144 PGN983144 PQJ983144 QAF983144 QKB983144 QTX983144 RDT983144 RNP983144 RXL983144 SHH983144 SRD983144 TAZ983144 TKV983144 TUR983144 UEN983144 UOJ983144 UYF983144 VIB983144 VRX983144 WBT983144 WLP983144 WVL983144" xr:uid="{C2232358-4915-4DE0-83D8-353AD90B3125}">
      <formula1>"Core1,Core2,Core3"</formula1>
    </dataValidation>
  </dataValidations>
  <printOptions horizontalCentered="1" verticalCentered="1"/>
  <pageMargins left="0.51181102362204722" right="0.51181102362204722" top="0.51181102362204722" bottom="0.51181102362204722" header="0" footer="0"/>
  <pageSetup paperSize="9" scale="94" orientation="portrait" r:id="rId1"/>
  <headerFooter alignWithMargins="0">
    <oddFooter>Page &amp;P of &amp;N</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E0EB3-7107-4B5D-B0C5-F81484A93A26}">
  <sheetPr>
    <tabColor indexed="45"/>
  </sheetPr>
  <dimension ref="A1:AE178"/>
  <sheetViews>
    <sheetView showZeros="0" view="pageBreakPreview" zoomScale="145" zoomScaleNormal="100" zoomScaleSheetLayoutView="145" workbookViewId="0">
      <selection activeCell="AB12" sqref="AB12"/>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Title!H2</f>
        <v>ADEQUACY CHECK</v>
      </c>
      <c r="I2" s="730"/>
      <c r="J2" s="730"/>
      <c r="K2" s="730"/>
      <c r="L2" s="730"/>
      <c r="M2" s="730"/>
      <c r="N2" s="731"/>
      <c r="O2" s="702" t="str">
        <f>Title!O2</f>
        <v>Date</v>
      </c>
      <c r="P2" s="703"/>
      <c r="Q2" s="704"/>
      <c r="R2" s="732">
        <f>Title!R2</f>
        <v>46106</v>
      </c>
      <c r="S2" s="733"/>
      <c r="T2" s="733"/>
      <c r="U2" s="733"/>
      <c r="V2" s="734"/>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14"/>
      <c r="X4" s="14"/>
    </row>
    <row r="5" spans="1:24" ht="18" customHeight="1">
      <c r="A5" s="708" t="str">
        <f>Title!A5</f>
        <v>Prep. By</v>
      </c>
      <c r="B5" s="709"/>
      <c r="C5" s="25" t="str">
        <f>Title!C5</f>
        <v>AP</v>
      </c>
      <c r="D5" s="708" t="str">
        <f>Title!D5</f>
        <v>Checked By</v>
      </c>
      <c r="E5" s="710"/>
      <c r="F5" s="709"/>
      <c r="G5" s="25" t="str">
        <f>Title!G5</f>
        <v>RB</v>
      </c>
      <c r="H5" s="711" t="s">
        <v>720</v>
      </c>
      <c r="I5" s="712"/>
      <c r="J5" s="712"/>
      <c r="K5" s="712"/>
      <c r="L5" s="712"/>
      <c r="M5" s="712"/>
      <c r="N5" s="713"/>
      <c r="O5" s="714" t="str">
        <f>Title!O5</f>
        <v>Contractor</v>
      </c>
      <c r="P5" s="715"/>
      <c r="Q5" s="716"/>
      <c r="R5" s="705" t="str">
        <f>Title!R5</f>
        <v>HITACHI</v>
      </c>
      <c r="S5" s="706"/>
      <c r="T5" s="706"/>
      <c r="U5" s="706"/>
      <c r="V5" s="707"/>
      <c r="W5" s="14"/>
      <c r="X5" s="14"/>
    </row>
    <row r="6" spans="1:24" ht="18" customHeight="1">
      <c r="A6" s="196"/>
      <c r="V6" s="197"/>
    </row>
    <row r="7" spans="1:24" ht="18" customHeight="1">
      <c r="A7" s="196"/>
      <c r="B7" s="696" t="s">
        <v>120</v>
      </c>
      <c r="C7" s="697"/>
      <c r="D7" s="696" t="s">
        <v>517</v>
      </c>
      <c r="E7" s="698"/>
      <c r="F7" s="267"/>
      <c r="H7" s="639" t="s">
        <v>576</v>
      </c>
      <c r="I7" s="639"/>
      <c r="J7" s="639"/>
      <c r="K7" s="639"/>
      <c r="L7" s="639"/>
      <c r="M7" s="639"/>
      <c r="P7" s="198"/>
      <c r="R7" s="267"/>
      <c r="S7" s="199" t="s">
        <v>398</v>
      </c>
      <c r="T7" s="1051" t="s">
        <v>255</v>
      </c>
      <c r="U7" s="1052"/>
      <c r="V7" s="197"/>
    </row>
    <row r="8" spans="1:24" ht="18" customHeight="1">
      <c r="A8" s="196"/>
      <c r="B8" s="654"/>
      <c r="C8" s="655"/>
      <c r="D8" s="699"/>
      <c r="E8" s="700"/>
      <c r="F8" s="267"/>
      <c r="T8" s="1051" t="s">
        <v>577</v>
      </c>
      <c r="U8" s="1052"/>
      <c r="V8" s="197"/>
    </row>
    <row r="9" spans="1:24" ht="18" customHeight="1">
      <c r="A9" s="196"/>
      <c r="H9" s="662" t="s">
        <v>401</v>
      </c>
      <c r="I9" s="662"/>
      <c r="J9" s="701" t="s">
        <v>402</v>
      </c>
      <c r="K9" s="701"/>
      <c r="L9" s="701" t="s">
        <v>403</v>
      </c>
      <c r="M9" s="701"/>
      <c r="T9" s="1051"/>
      <c r="U9" s="1052"/>
      <c r="V9" s="197"/>
    </row>
    <row r="10" spans="1:24" ht="18" customHeight="1">
      <c r="A10" s="196"/>
      <c r="B10" s="47" t="s">
        <v>404</v>
      </c>
      <c r="H10" s="692">
        <v>2500</v>
      </c>
      <c r="I10" s="693"/>
      <c r="J10" s="656" t="s">
        <v>7</v>
      </c>
      <c r="K10" s="657"/>
      <c r="L10" s="656" t="s">
        <v>7</v>
      </c>
      <c r="M10" s="657"/>
      <c r="N10" s="203" t="s">
        <v>353</v>
      </c>
      <c r="O10" s="125">
        <v>1</v>
      </c>
      <c r="P10" s="27" t="s">
        <v>9</v>
      </c>
      <c r="T10" s="1051"/>
      <c r="U10" s="1052"/>
      <c r="V10" s="197"/>
    </row>
    <row r="11" spans="1:24" ht="18" customHeight="1">
      <c r="A11" s="196"/>
      <c r="B11" s="47" t="s">
        <v>405</v>
      </c>
      <c r="H11" s="656" t="s">
        <v>719</v>
      </c>
      <c r="I11" s="657"/>
      <c r="T11" s="1053"/>
      <c r="U11" s="1053"/>
      <c r="V11" s="197"/>
    </row>
    <row r="12" spans="1:24" ht="18" customHeight="1">
      <c r="A12" s="196"/>
      <c r="B12" s="47" t="s">
        <v>407</v>
      </c>
      <c r="G12" s="120" t="s">
        <v>508</v>
      </c>
      <c r="H12" s="656">
        <v>10</v>
      </c>
      <c r="I12" s="657"/>
      <c r="J12" s="204" t="s">
        <v>344</v>
      </c>
      <c r="T12" s="307"/>
      <c r="U12" s="18"/>
      <c r="V12" s="197"/>
    </row>
    <row r="13" spans="1:24" ht="18" customHeight="1">
      <c r="A13" s="196"/>
      <c r="B13" s="30" t="s">
        <v>579</v>
      </c>
      <c r="G13" s="120" t="s">
        <v>580</v>
      </c>
      <c r="H13" s="656">
        <v>5</v>
      </c>
      <c r="I13" s="657"/>
      <c r="T13" s="307"/>
      <c r="U13" s="18"/>
      <c r="V13" s="197"/>
      <c r="W13" s="30" t="str">
        <f>J47</f>
        <v>Suitable Dimensions</v>
      </c>
    </row>
    <row r="14" spans="1:24" ht="18" customHeight="1">
      <c r="A14" s="196"/>
      <c r="B14" s="47" t="s">
        <v>573</v>
      </c>
      <c r="G14" s="120" t="s">
        <v>504</v>
      </c>
      <c r="H14" s="656">
        <v>7.5</v>
      </c>
      <c r="I14" s="657"/>
      <c r="J14" s="14"/>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t="str">
        <f>T8</f>
        <v>POINTER</v>
      </c>
      <c r="I19" s="189" t="s">
        <v>138</v>
      </c>
      <c r="J19" s="686">
        <f>'CT-VT Burdens'!Q97</f>
        <v>1.25</v>
      </c>
      <c r="K19" s="687"/>
      <c r="L19" s="210" t="s">
        <v>168</v>
      </c>
      <c r="P19" s="256"/>
      <c r="V19" s="197"/>
    </row>
    <row r="20" spans="1:31" ht="18" customHeight="1">
      <c r="A20" s="196"/>
      <c r="B20" s="96" t="s">
        <v>416</v>
      </c>
      <c r="C20" s="14"/>
      <c r="D20" s="47">
        <f>T9</f>
        <v>0</v>
      </c>
      <c r="E20" s="14"/>
      <c r="G20" s="211"/>
      <c r="H20" s="27"/>
      <c r="I20" s="101" t="s">
        <v>138</v>
      </c>
      <c r="J20" s="688"/>
      <c r="K20" s="689"/>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688"/>
      <c r="K21" s="689"/>
      <c r="L21" s="214" t="s">
        <v>168</v>
      </c>
      <c r="O21" s="27" t="s">
        <v>138</v>
      </c>
      <c r="P21" s="27">
        <f>O10</f>
        <v>1</v>
      </c>
      <c r="Q21" s="27" t="s">
        <v>326</v>
      </c>
      <c r="R21" s="27">
        <f>O10</f>
        <v>1</v>
      </c>
      <c r="S21" s="27" t="s">
        <v>326</v>
      </c>
      <c r="T21" s="27">
        <f>H12</f>
        <v>10</v>
      </c>
      <c r="V21" s="197"/>
    </row>
    <row r="22" spans="1:31" ht="18" customHeight="1">
      <c r="A22" s="196"/>
      <c r="B22" s="196" t="s">
        <v>423</v>
      </c>
      <c r="C22" s="14"/>
      <c r="D22" s="47"/>
      <c r="E22" s="14"/>
      <c r="H22" s="27"/>
      <c r="I22" s="101" t="s">
        <v>138</v>
      </c>
      <c r="J22" s="690">
        <f>'CT-VT Burdens'!S22</f>
        <v>1.44186744</v>
      </c>
      <c r="K22" s="691"/>
      <c r="L22" s="309" t="s">
        <v>168</v>
      </c>
      <c r="O22" s="27" t="s">
        <v>138</v>
      </c>
      <c r="P22" s="637">
        <f>P21*R21*T21</f>
        <v>10</v>
      </c>
      <c r="Q22" s="639"/>
      <c r="R22" s="27" t="s">
        <v>168</v>
      </c>
      <c r="S22" s="27"/>
      <c r="T22" s="27"/>
      <c r="V22" s="197"/>
    </row>
    <row r="23" spans="1:31" ht="18" customHeight="1">
      <c r="A23" s="196"/>
      <c r="B23" s="1" t="s">
        <v>424</v>
      </c>
      <c r="C23" s="2"/>
      <c r="D23" s="2"/>
      <c r="E23" s="2"/>
      <c r="F23" s="208"/>
      <c r="G23" s="208"/>
      <c r="H23" s="236" t="s">
        <v>523</v>
      </c>
      <c r="I23" s="195" t="s">
        <v>138</v>
      </c>
      <c r="J23" s="648">
        <f>SUM(J18:K22)</f>
        <v>2.6998674400000002</v>
      </c>
      <c r="K23" s="649"/>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86">
        <f>H10</f>
        <v>2500</v>
      </c>
      <c r="Q25" s="986"/>
      <c r="R25" s="204" t="s">
        <v>9</v>
      </c>
      <c r="V25" s="197"/>
    </row>
    <row r="26" spans="1:31" ht="18" customHeight="1">
      <c r="A26" s="196"/>
      <c r="B26" s="47" t="s">
        <v>558</v>
      </c>
      <c r="C26" s="47"/>
      <c r="D26" s="47"/>
      <c r="E26" s="47"/>
      <c r="H26" s="27"/>
      <c r="I26" s="28"/>
      <c r="J26" s="211"/>
      <c r="L26" s="47"/>
      <c r="N26" s="120" t="s">
        <v>583</v>
      </c>
      <c r="O26" s="28" t="s">
        <v>138</v>
      </c>
      <c r="P26" s="986">
        <f>H12</f>
        <v>10</v>
      </c>
      <c r="Q26" s="986"/>
      <c r="R26" s="316" t="s">
        <v>168</v>
      </c>
      <c r="V26" s="197"/>
    </row>
    <row r="27" spans="1:31" ht="18" customHeight="1">
      <c r="A27" s="196"/>
      <c r="B27" s="47" t="s">
        <v>559</v>
      </c>
      <c r="C27" s="47"/>
      <c r="D27" s="47"/>
      <c r="E27" s="47"/>
      <c r="H27" s="27"/>
      <c r="I27" s="28"/>
      <c r="J27" s="211"/>
      <c r="L27" s="47"/>
      <c r="N27" s="120" t="s">
        <v>584</v>
      </c>
      <c r="O27" s="28" t="s">
        <v>138</v>
      </c>
      <c r="P27" s="960">
        <f>J23</f>
        <v>2.6998674400000002</v>
      </c>
      <c r="Q27" s="986"/>
      <c r="R27" s="316" t="s">
        <v>168</v>
      </c>
      <c r="V27" s="197"/>
    </row>
    <row r="28" spans="1:31" ht="18" customHeight="1">
      <c r="A28" s="196"/>
      <c r="B28" s="47" t="s">
        <v>560</v>
      </c>
      <c r="C28" s="47"/>
      <c r="D28" s="47"/>
      <c r="E28" s="47"/>
      <c r="H28" s="27"/>
      <c r="I28" s="28"/>
      <c r="J28" s="211"/>
      <c r="L28" s="47"/>
      <c r="N28" s="120" t="s">
        <v>522</v>
      </c>
      <c r="O28" s="28" t="s">
        <v>138</v>
      </c>
      <c r="P28" s="986">
        <f>O10</f>
        <v>1</v>
      </c>
      <c r="Q28" s="986"/>
      <c r="R28" s="204" t="s">
        <v>9</v>
      </c>
      <c r="V28" s="197"/>
    </row>
    <row r="29" spans="1:31" ht="18" customHeight="1">
      <c r="A29" s="196"/>
      <c r="B29" s="47" t="s">
        <v>585</v>
      </c>
      <c r="C29" s="47"/>
      <c r="D29" s="47"/>
      <c r="E29" s="47"/>
      <c r="H29" s="27"/>
      <c r="I29" s="28"/>
      <c r="J29" s="211"/>
      <c r="L29" s="47"/>
      <c r="N29" s="120" t="s">
        <v>506</v>
      </c>
      <c r="O29" s="28" t="s">
        <v>138</v>
      </c>
      <c r="P29" s="986">
        <v>10</v>
      </c>
      <c r="Q29" s="986"/>
      <c r="R29" s="204"/>
      <c r="V29" s="197"/>
    </row>
    <row r="30" spans="1:31" ht="18" customHeight="1">
      <c r="A30" s="196"/>
      <c r="B30" s="308" t="s">
        <v>587</v>
      </c>
      <c r="C30" s="47"/>
      <c r="D30" s="47"/>
      <c r="E30" s="47"/>
      <c r="H30" s="27"/>
      <c r="I30" s="28"/>
      <c r="J30" s="211"/>
      <c r="L30" s="47"/>
      <c r="O30" s="28" t="s">
        <v>138</v>
      </c>
      <c r="P30" s="960">
        <v>20</v>
      </c>
      <c r="Q30" s="960"/>
      <c r="R30" s="204"/>
      <c r="S30" s="14"/>
      <c r="V30" s="197"/>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656">
        <v>20</v>
      </c>
      <c r="T32" s="657"/>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637">
        <f>J23</f>
        <v>2.6998674400000002</v>
      </c>
      <c r="K35" s="639"/>
      <c r="L35" s="28"/>
      <c r="M35" s="637"/>
      <c r="N35" s="639"/>
      <c r="V35" s="197"/>
    </row>
    <row r="36" spans="1:22" ht="18" customHeight="1">
      <c r="A36" s="196"/>
      <c r="I36" s="28"/>
      <c r="J36" s="637"/>
      <c r="K36" s="639"/>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10</v>
      </c>
      <c r="M38" s="257" t="s">
        <v>358</v>
      </c>
      <c r="N38" s="254">
        <f>H14</f>
        <v>7.5</v>
      </c>
      <c r="O38" s="257" t="s">
        <v>550</v>
      </c>
      <c r="P38" s="313">
        <f>P22</f>
        <v>10</v>
      </c>
      <c r="Q38" s="257" t="s">
        <v>358</v>
      </c>
      <c r="R38" s="313">
        <f>J23</f>
        <v>2.6998674400000002</v>
      </c>
      <c r="S38" s="308" t="s">
        <v>361</v>
      </c>
      <c r="V38" s="197"/>
    </row>
    <row r="39" spans="1:22" ht="18" customHeight="1">
      <c r="A39" s="196"/>
      <c r="I39" s="27" t="s">
        <v>138</v>
      </c>
      <c r="J39" s="640">
        <f>J38*((L38+N38)/(P38+R38))</f>
        <v>6.8898356942220174</v>
      </c>
      <c r="K39" s="640"/>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639">
        <f>H14</f>
        <v>7.5</v>
      </c>
      <c r="H43" s="639"/>
      <c r="I43" s="27" t="str">
        <f>IF(G43&gt;J43,"&gt;","&lt;")</f>
        <v>&gt;</v>
      </c>
      <c r="J43" s="637">
        <f>J35</f>
        <v>2.6998674400000002</v>
      </c>
      <c r="K43" s="639"/>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637">
        <f>P30</f>
        <v>20</v>
      </c>
      <c r="H46" s="637"/>
      <c r="I46" s="27" t="str">
        <f>IF(G46&gt;J46,"&gt;","&lt;")</f>
        <v>&gt;</v>
      </c>
      <c r="J46" s="637">
        <f>J39</f>
        <v>6.8898356942220174</v>
      </c>
      <c r="K46" s="637"/>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667" t="str">
        <f>B7</f>
        <v>T1</v>
      </c>
      <c r="C50" s="668"/>
      <c r="D50" s="680" t="str">
        <f>D7</f>
        <v>Core2</v>
      </c>
      <c r="E50" s="681"/>
      <c r="F50" s="267"/>
      <c r="H50" s="639" t="str">
        <f>H7</f>
        <v>(Metering + Ammeter)</v>
      </c>
      <c r="I50" s="639"/>
      <c r="J50" s="639"/>
      <c r="K50" s="639"/>
      <c r="L50" s="639"/>
      <c r="M50" s="639"/>
      <c r="P50" s="198"/>
      <c r="R50" s="267"/>
      <c r="S50" s="199" t="s">
        <v>398</v>
      </c>
      <c r="T50" s="1051" t="str">
        <f>T7</f>
        <v>XC-RACK</v>
      </c>
      <c r="U50" s="1052"/>
      <c r="V50" s="197"/>
    </row>
    <row r="51" spans="1:23" ht="18" hidden="1" customHeight="1">
      <c r="A51" s="196"/>
      <c r="B51" s="679">
        <f>B8</f>
        <v>0</v>
      </c>
      <c r="C51" s="679"/>
      <c r="D51" s="682"/>
      <c r="E51" s="683"/>
      <c r="F51" s="267"/>
      <c r="T51" s="1051"/>
      <c r="U51" s="1052"/>
      <c r="V51" s="197"/>
    </row>
    <row r="52" spans="1:23" ht="18" hidden="1" customHeight="1">
      <c r="A52" s="196"/>
      <c r="H52" s="661" t="s">
        <v>401</v>
      </c>
      <c r="I52" s="661"/>
      <c r="J52" s="662" t="s">
        <v>402</v>
      </c>
      <c r="K52" s="662"/>
      <c r="L52" s="701" t="s">
        <v>403</v>
      </c>
      <c r="M52" s="701"/>
      <c r="T52" s="1051"/>
      <c r="U52" s="1052"/>
      <c r="V52" s="197"/>
    </row>
    <row r="53" spans="1:23" ht="18" hidden="1" customHeight="1">
      <c r="A53" s="196"/>
      <c r="B53" s="47" t="s">
        <v>404</v>
      </c>
      <c r="H53" s="667">
        <f>H10</f>
        <v>2500</v>
      </c>
      <c r="I53" s="668"/>
      <c r="J53" s="1030" t="str">
        <f>J10</f>
        <v>-</v>
      </c>
      <c r="K53" s="1031"/>
      <c r="L53" s="667" t="str">
        <f>L10</f>
        <v>-</v>
      </c>
      <c r="M53" s="668"/>
      <c r="N53" s="203" t="s">
        <v>353</v>
      </c>
      <c r="O53" s="501">
        <f>O10</f>
        <v>1</v>
      </c>
      <c r="P53" s="27" t="s">
        <v>9</v>
      </c>
      <c r="T53" s="1051"/>
      <c r="U53" s="1052"/>
      <c r="V53" s="197"/>
    </row>
    <row r="54" spans="1:23" ht="18" hidden="1" customHeight="1">
      <c r="A54" s="196"/>
      <c r="B54" s="47" t="s">
        <v>405</v>
      </c>
      <c r="H54" s="14"/>
      <c r="I54" s="14"/>
      <c r="J54" s="667" t="str">
        <f>H11</f>
        <v>0.5FS5</v>
      </c>
      <c r="K54" s="668"/>
      <c r="L54" s="14"/>
      <c r="M54" s="14"/>
      <c r="V54" s="197"/>
    </row>
    <row r="55" spans="1:23" ht="18" hidden="1" customHeight="1">
      <c r="A55" s="196"/>
      <c r="B55" s="47" t="s">
        <v>407</v>
      </c>
      <c r="I55" s="120" t="s">
        <v>508</v>
      </c>
      <c r="J55" s="656">
        <v>5</v>
      </c>
      <c r="K55" s="657"/>
      <c r="L55" s="204" t="s">
        <v>344</v>
      </c>
      <c r="T55" s="307"/>
      <c r="U55" s="18"/>
      <c r="V55" s="197"/>
    </row>
    <row r="56" spans="1:23" ht="18" hidden="1" customHeight="1">
      <c r="A56" s="196"/>
      <c r="B56" s="30" t="s">
        <v>579</v>
      </c>
      <c r="I56" s="120" t="s">
        <v>580</v>
      </c>
      <c r="J56" s="656">
        <v>10</v>
      </c>
      <c r="K56" s="657"/>
      <c r="T56" s="307"/>
      <c r="U56" s="18"/>
      <c r="V56" s="197"/>
      <c r="W56" s="30" t="str">
        <f>J90</f>
        <v>Suitable Dimensions</v>
      </c>
    </row>
    <row r="57" spans="1:23" ht="18" hidden="1" customHeight="1">
      <c r="A57" s="196"/>
      <c r="B57" s="47" t="s">
        <v>573</v>
      </c>
      <c r="I57" s="120" t="s">
        <v>504</v>
      </c>
      <c r="J57" s="656">
        <v>5</v>
      </c>
      <c r="K57" s="657"/>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hidden="1" customHeight="1">
      <c r="A62" s="196"/>
      <c r="B62" s="96" t="s">
        <v>416</v>
      </c>
      <c r="D62" s="308" t="str">
        <f>D19</f>
        <v>POINTER</v>
      </c>
      <c r="I62" s="189" t="s">
        <v>138</v>
      </c>
      <c r="J62" s="642">
        <f t="shared" si="0"/>
        <v>1.25</v>
      </c>
      <c r="K62" s="643"/>
      <c r="L62" s="210" t="s">
        <v>168</v>
      </c>
      <c r="P62" s="256"/>
      <c r="V62" s="197"/>
    </row>
    <row r="63" spans="1:23" ht="18" hidden="1" customHeight="1">
      <c r="A63" s="196"/>
      <c r="B63" s="96" t="s">
        <v>416</v>
      </c>
      <c r="C63" s="14"/>
      <c r="D63" s="47">
        <f>D20</f>
        <v>0</v>
      </c>
      <c r="E63" s="14"/>
      <c r="G63" s="211"/>
      <c r="H63" s="27"/>
      <c r="I63" s="101" t="s">
        <v>138</v>
      </c>
      <c r="J63" s="644">
        <f t="shared" si="0"/>
        <v>0</v>
      </c>
      <c r="K63" s="645"/>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644">
        <f t="shared" si="0"/>
        <v>0</v>
      </c>
      <c r="K64" s="645"/>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646">
        <f t="shared" si="0"/>
        <v>1.44186744</v>
      </c>
      <c r="K65" s="647"/>
      <c r="L65" s="309" t="s">
        <v>168</v>
      </c>
      <c r="O65" s="27" t="s">
        <v>138</v>
      </c>
      <c r="P65" s="637">
        <f>P64*R64*T64</f>
        <v>5</v>
      </c>
      <c r="Q65" s="639"/>
      <c r="R65" s="27" t="s">
        <v>168</v>
      </c>
      <c r="S65" s="27"/>
      <c r="T65" s="27"/>
      <c r="V65" s="197"/>
    </row>
    <row r="66" spans="1:22" ht="18" hidden="1" customHeight="1">
      <c r="A66" s="196"/>
      <c r="B66" s="1" t="s">
        <v>424</v>
      </c>
      <c r="C66" s="2"/>
      <c r="D66" s="2"/>
      <c r="E66" s="2"/>
      <c r="F66" s="208"/>
      <c r="G66" s="208"/>
      <c r="H66" s="236" t="s">
        <v>523</v>
      </c>
      <c r="I66" s="195" t="s">
        <v>138</v>
      </c>
      <c r="J66" s="648">
        <f t="shared" si="0"/>
        <v>2.6998674400000002</v>
      </c>
      <c r="K66" s="649"/>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86" t="str">
        <f>J53</f>
        <v>-</v>
      </c>
      <c r="Q68" s="986"/>
      <c r="R68" s="204" t="s">
        <v>9</v>
      </c>
      <c r="V68" s="197"/>
    </row>
    <row r="69" spans="1:22" ht="18" hidden="1" customHeight="1">
      <c r="A69" s="196"/>
      <c r="B69" s="47" t="s">
        <v>558</v>
      </c>
      <c r="C69" s="47"/>
      <c r="D69" s="47"/>
      <c r="E69" s="47"/>
      <c r="H69" s="27"/>
      <c r="I69" s="28"/>
      <c r="J69" s="211"/>
      <c r="L69" s="47"/>
      <c r="N69" s="120" t="s">
        <v>583</v>
      </c>
      <c r="O69" s="28" t="s">
        <v>138</v>
      </c>
      <c r="P69" s="986">
        <f>J55</f>
        <v>5</v>
      </c>
      <c r="Q69" s="986"/>
      <c r="R69" s="316" t="s">
        <v>168</v>
      </c>
      <c r="V69" s="197"/>
    </row>
    <row r="70" spans="1:22" ht="18" hidden="1" customHeight="1">
      <c r="A70" s="196"/>
      <c r="B70" s="47" t="s">
        <v>559</v>
      </c>
      <c r="C70" s="47"/>
      <c r="D70" s="47"/>
      <c r="E70" s="47"/>
      <c r="H70" s="27"/>
      <c r="I70" s="28"/>
      <c r="J70" s="211"/>
      <c r="L70" s="47"/>
      <c r="N70" s="120" t="s">
        <v>584</v>
      </c>
      <c r="O70" s="28" t="s">
        <v>138</v>
      </c>
      <c r="P70" s="960">
        <f>J66</f>
        <v>2.6998674400000002</v>
      </c>
      <c r="Q70" s="986"/>
      <c r="R70" s="316" t="s">
        <v>168</v>
      </c>
      <c r="V70" s="197"/>
    </row>
    <row r="71" spans="1:22" ht="18" hidden="1" customHeight="1">
      <c r="A71" s="196"/>
      <c r="B71" s="47" t="s">
        <v>560</v>
      </c>
      <c r="C71" s="47"/>
      <c r="D71" s="47"/>
      <c r="E71" s="47"/>
      <c r="H71" s="27"/>
      <c r="I71" s="28"/>
      <c r="J71" s="211"/>
      <c r="L71" s="47"/>
      <c r="N71" s="120" t="s">
        <v>522</v>
      </c>
      <c r="O71" s="28" t="s">
        <v>138</v>
      </c>
      <c r="P71" s="986">
        <f>O53</f>
        <v>1</v>
      </c>
      <c r="Q71" s="986"/>
      <c r="R71" s="204" t="s">
        <v>9</v>
      </c>
      <c r="V71" s="197"/>
    </row>
    <row r="72" spans="1:22" ht="18" hidden="1" customHeight="1">
      <c r="A72" s="196"/>
      <c r="B72" s="47" t="s">
        <v>585</v>
      </c>
      <c r="C72" s="47"/>
      <c r="D72" s="47"/>
      <c r="E72" s="47"/>
      <c r="H72" s="27"/>
      <c r="I72" s="28"/>
      <c r="J72" s="211"/>
      <c r="L72" s="47"/>
      <c r="N72" s="120" t="s">
        <v>506</v>
      </c>
      <c r="O72" s="28" t="s">
        <v>138</v>
      </c>
      <c r="P72" s="986">
        <v>10</v>
      </c>
      <c r="Q72" s="986"/>
      <c r="R72" s="204"/>
      <c r="V72" s="197"/>
    </row>
    <row r="73" spans="1:22" ht="18" hidden="1" customHeight="1">
      <c r="A73" s="196"/>
      <c r="B73" s="47" t="s">
        <v>588</v>
      </c>
      <c r="C73" s="47"/>
      <c r="D73" s="47"/>
      <c r="E73" s="47"/>
      <c r="H73" s="27"/>
      <c r="I73" s="28"/>
      <c r="J73" s="211"/>
      <c r="L73" s="47"/>
      <c r="O73" s="28" t="s">
        <v>138</v>
      </c>
      <c r="P73" s="960">
        <v>20</v>
      </c>
      <c r="Q73" s="960"/>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705">
        <f>S32</f>
        <v>20</v>
      </c>
      <c r="T75" s="707"/>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637">
        <f>J66</f>
        <v>2.6998674400000002</v>
      </c>
      <c r="K78" s="639"/>
      <c r="L78" s="28"/>
      <c r="M78" s="637"/>
      <c r="N78" s="639"/>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2.6998674400000002</v>
      </c>
      <c r="S81" s="308" t="s">
        <v>361</v>
      </c>
      <c r="V81" s="197"/>
    </row>
    <row r="82" spans="1:22" ht="18" hidden="1" customHeight="1">
      <c r="A82" s="196"/>
      <c r="I82" s="27" t="s">
        <v>138</v>
      </c>
      <c r="J82" s="640">
        <f>J81*((L81+N81)/(P81+R81))</f>
        <v>12.98723656988048</v>
      </c>
      <c r="K82" s="640"/>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639">
        <f>J57</f>
        <v>5</v>
      </c>
      <c r="H86" s="639"/>
      <c r="I86" s="27" t="str">
        <f>IF(G86&gt;J86,"&gt;","&lt;")</f>
        <v>&gt;</v>
      </c>
      <c r="J86" s="637">
        <f>J78</f>
        <v>2.6998674400000002</v>
      </c>
      <c r="K86" s="639"/>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637">
        <f>P73</f>
        <v>20</v>
      </c>
      <c r="H89" s="637"/>
      <c r="I89" s="27" t="str">
        <f>IF(G89&gt;J89,"&gt;","&lt;")</f>
        <v>&gt;</v>
      </c>
      <c r="J89" s="637">
        <f>J82</f>
        <v>12.98723656988048</v>
      </c>
      <c r="K89" s="637"/>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650" t="str">
        <f>B50</f>
        <v>T1</v>
      </c>
      <c r="C95" s="651"/>
      <c r="D95" s="663" t="str">
        <f>D50</f>
        <v>Core2</v>
      </c>
      <c r="E95" s="664"/>
      <c r="F95" s="267"/>
      <c r="H95" s="639" t="str">
        <f>H50</f>
        <v>(Metering + Ammeter)</v>
      </c>
      <c r="I95" s="639"/>
      <c r="J95" s="639"/>
      <c r="K95" s="639"/>
      <c r="L95" s="639"/>
      <c r="M95" s="639"/>
      <c r="P95" s="198"/>
      <c r="V95" s="197"/>
    </row>
    <row r="96" spans="1:22" ht="18" hidden="1" customHeight="1">
      <c r="A96" s="196"/>
      <c r="B96" s="660">
        <f>B51</f>
        <v>0</v>
      </c>
      <c r="C96" s="660"/>
      <c r="D96" s="665"/>
      <c r="E96" s="666"/>
      <c r="F96" s="267"/>
      <c r="V96" s="197"/>
    </row>
    <row r="97" spans="1:23" ht="18" hidden="1" customHeight="1">
      <c r="A97" s="196"/>
      <c r="H97" s="661" t="s">
        <v>401</v>
      </c>
      <c r="I97" s="661"/>
      <c r="J97" s="661" t="s">
        <v>402</v>
      </c>
      <c r="K97" s="661"/>
      <c r="L97" s="662" t="s">
        <v>403</v>
      </c>
      <c r="M97" s="662"/>
      <c r="V97" s="197"/>
    </row>
    <row r="98" spans="1:23" ht="18" hidden="1" customHeight="1">
      <c r="A98" s="196"/>
      <c r="B98" s="47" t="s">
        <v>404</v>
      </c>
      <c r="H98" s="650">
        <f>H53</f>
        <v>2500</v>
      </c>
      <c r="I98" s="651"/>
      <c r="J98" s="650" t="str">
        <f>J53</f>
        <v>-</v>
      </c>
      <c r="K98" s="651"/>
      <c r="L98" s="652" t="str">
        <f>L53</f>
        <v>-</v>
      </c>
      <c r="M98" s="653"/>
      <c r="N98" s="203" t="s">
        <v>353</v>
      </c>
      <c r="O98" s="268">
        <f>O53</f>
        <v>1</v>
      </c>
      <c r="P98" s="27" t="s">
        <v>9</v>
      </c>
      <c r="V98" s="197"/>
    </row>
    <row r="99" spans="1:23" ht="18" hidden="1" customHeight="1">
      <c r="A99" s="196"/>
      <c r="B99" s="47" t="s">
        <v>405</v>
      </c>
      <c r="H99" s="14"/>
      <c r="I99" s="14"/>
      <c r="K99" s="14"/>
      <c r="L99" s="650" t="str">
        <f>J54</f>
        <v>0.5FS5</v>
      </c>
      <c r="M99" s="651"/>
      <c r="N99" s="14"/>
      <c r="V99" s="197"/>
    </row>
    <row r="100" spans="1:23" ht="18" hidden="1" customHeight="1">
      <c r="A100" s="196"/>
      <c r="B100" s="47" t="s">
        <v>407</v>
      </c>
      <c r="I100" s="120"/>
      <c r="K100" s="120" t="s">
        <v>508</v>
      </c>
      <c r="L100" s="656" t="s">
        <v>7</v>
      </c>
      <c r="M100" s="657"/>
      <c r="N100" s="204" t="s">
        <v>344</v>
      </c>
      <c r="T100" s="307"/>
      <c r="U100" s="18"/>
      <c r="V100" s="197"/>
    </row>
    <row r="101" spans="1:23" ht="18" hidden="1" customHeight="1">
      <c r="A101" s="196"/>
      <c r="B101" s="30" t="s">
        <v>579</v>
      </c>
      <c r="I101" s="120"/>
      <c r="K101" s="120" t="s">
        <v>580</v>
      </c>
      <c r="L101" s="656" t="s">
        <v>7</v>
      </c>
      <c r="M101" s="657"/>
      <c r="T101" s="307"/>
      <c r="U101" s="18"/>
      <c r="V101" s="197"/>
      <c r="W101" s="30" t="e">
        <f>J130</f>
        <v>#VALUE!</v>
      </c>
    </row>
    <row r="102" spans="1:23" ht="18" hidden="1" customHeight="1">
      <c r="A102" s="196"/>
      <c r="B102" s="47" t="s">
        <v>573</v>
      </c>
      <c r="I102" s="120"/>
      <c r="K102" s="120" t="s">
        <v>504</v>
      </c>
      <c r="L102" s="656" t="s">
        <v>7</v>
      </c>
      <c r="M102" s="657"/>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648">
        <f t="shared" ref="J106:J111" si="1">J61</f>
        <v>8.0000000000000002E-3</v>
      </c>
      <c r="K106" s="649"/>
      <c r="L106" s="3" t="s">
        <v>168</v>
      </c>
      <c r="N106" s="209" t="s">
        <v>521</v>
      </c>
      <c r="V106" s="197"/>
    </row>
    <row r="107" spans="1:23" ht="18" hidden="1" customHeight="1">
      <c r="A107" s="196"/>
      <c r="B107" s="96" t="s">
        <v>416</v>
      </c>
      <c r="D107" s="308" t="str">
        <f>D62</f>
        <v>POINTER</v>
      </c>
      <c r="I107" s="189" t="s">
        <v>138</v>
      </c>
      <c r="J107" s="642">
        <f t="shared" si="1"/>
        <v>1.25</v>
      </c>
      <c r="K107" s="643"/>
      <c r="L107" s="210" t="s">
        <v>168</v>
      </c>
      <c r="P107" s="256"/>
      <c r="V107" s="197"/>
    </row>
    <row r="108" spans="1:23" ht="18" hidden="1" customHeight="1">
      <c r="A108" s="196"/>
      <c r="B108" s="96" t="s">
        <v>416</v>
      </c>
      <c r="C108" s="14"/>
      <c r="D108" s="47">
        <f>D63</f>
        <v>0</v>
      </c>
      <c r="E108" s="14"/>
      <c r="G108" s="211"/>
      <c r="H108" s="27"/>
      <c r="I108" s="101" t="s">
        <v>138</v>
      </c>
      <c r="J108" s="644">
        <f t="shared" si="1"/>
        <v>0</v>
      </c>
      <c r="K108" s="645"/>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644">
        <f t="shared" si="1"/>
        <v>0</v>
      </c>
      <c r="K109" s="645"/>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646">
        <f t="shared" si="1"/>
        <v>1.44186744</v>
      </c>
      <c r="K110" s="647"/>
      <c r="L110" s="309" t="s">
        <v>168</v>
      </c>
      <c r="O110" s="27" t="s">
        <v>138</v>
      </c>
      <c r="P110" s="637" t="e">
        <f>P109*R109*T109</f>
        <v>#VALUE!</v>
      </c>
      <c r="Q110" s="639"/>
      <c r="R110" s="27" t="s">
        <v>168</v>
      </c>
      <c r="S110" s="27"/>
      <c r="T110" s="27"/>
      <c r="V110" s="197"/>
    </row>
    <row r="111" spans="1:23" ht="18" hidden="1" customHeight="1">
      <c r="A111" s="196"/>
      <c r="B111" s="1" t="s">
        <v>424</v>
      </c>
      <c r="C111" s="2"/>
      <c r="D111" s="2"/>
      <c r="E111" s="2"/>
      <c r="F111" s="208"/>
      <c r="G111" s="208"/>
      <c r="H111" s="236" t="s">
        <v>523</v>
      </c>
      <c r="I111" s="195" t="s">
        <v>138</v>
      </c>
      <c r="J111" s="897">
        <f t="shared" si="1"/>
        <v>2.6998674400000002</v>
      </c>
      <c r="K111" s="649"/>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705">
        <f>S75</f>
        <v>20</v>
      </c>
      <c r="T113" s="707"/>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637" t="e">
        <f>P110</f>
        <v>#VALUE!</v>
      </c>
      <c r="K116" s="639"/>
      <c r="L116" s="28" t="s">
        <v>358</v>
      </c>
      <c r="M116" s="637">
        <f>J111</f>
        <v>2.6998674400000002</v>
      </c>
      <c r="N116" s="639"/>
      <c r="V116" s="197"/>
    </row>
    <row r="117" spans="1:22" ht="18" hidden="1" customHeight="1">
      <c r="A117" s="196"/>
      <c r="I117" s="28" t="s">
        <v>138</v>
      </c>
      <c r="J117" s="637" t="e">
        <f>J116+M116</f>
        <v>#VALUE!</v>
      </c>
      <c r="K117" s="639"/>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2.6998674400000002</v>
      </c>
      <c r="S120" s="308" t="s">
        <v>361</v>
      </c>
      <c r="V120" s="197"/>
    </row>
    <row r="121" spans="1:22" ht="18" hidden="1" customHeight="1">
      <c r="A121" s="196"/>
      <c r="I121" s="27" t="s">
        <v>138</v>
      </c>
      <c r="J121" s="640" t="e">
        <f>J120*((L120+N120)/(P120+R120))</f>
        <v>#VALUE!</v>
      </c>
      <c r="K121" s="640"/>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639" t="str">
        <f>L102</f>
        <v>-</v>
      </c>
      <c r="H125" s="639"/>
      <c r="I125" s="27" t="e">
        <f>IF(G125&gt;J125,"&gt;","&lt;")</f>
        <v>#VALUE!</v>
      </c>
      <c r="J125" s="637" t="e">
        <f>J117</f>
        <v>#VALUE!</v>
      </c>
      <c r="K125" s="639"/>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637">
        <f>S113</f>
        <v>20</v>
      </c>
      <c r="H128" s="637"/>
      <c r="I128" s="27" t="e">
        <f>IF(G128&gt;J128,"&gt;","&lt;")</f>
        <v>#VALUE!</v>
      </c>
      <c r="J128" s="637" t="e">
        <f>J121</f>
        <v>#VALUE!</v>
      </c>
      <c r="K128" s="637"/>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614" t="s">
        <v>97</v>
      </c>
      <c r="B140" s="620"/>
      <c r="C140" s="615"/>
      <c r="D140" s="614" t="s">
        <v>98</v>
      </c>
      <c r="E140" s="620"/>
      <c r="F140" s="615"/>
      <c r="G140" s="614" t="s">
        <v>99</v>
      </c>
      <c r="H140" s="615"/>
      <c r="I140" s="614" t="s">
        <v>100</v>
      </c>
      <c r="J140" s="615"/>
      <c r="K140" s="614" t="s">
        <v>513</v>
      </c>
      <c r="L140" s="615"/>
      <c r="M140" s="614" t="s">
        <v>114</v>
      </c>
      <c r="N140" s="615"/>
      <c r="O140" s="614"/>
      <c r="P140" s="615"/>
      <c r="Q140" s="614" t="s">
        <v>516</v>
      </c>
      <c r="R140" s="615"/>
      <c r="S140" s="614" t="s">
        <v>105</v>
      </c>
      <c r="T140" s="620"/>
      <c r="U140" s="620"/>
      <c r="V140" s="615"/>
    </row>
    <row r="141" spans="1:22" ht="18" customHeight="1">
      <c r="A141" s="616"/>
      <c r="B141" s="621"/>
      <c r="C141" s="617"/>
      <c r="D141" s="616"/>
      <c r="E141" s="621"/>
      <c r="F141" s="617"/>
      <c r="G141" s="616"/>
      <c r="H141" s="617"/>
      <c r="I141" s="616"/>
      <c r="J141" s="617"/>
      <c r="K141" s="616"/>
      <c r="L141" s="617"/>
      <c r="M141" s="616"/>
      <c r="N141" s="617"/>
      <c r="O141" s="616"/>
      <c r="P141" s="617"/>
      <c r="Q141" s="616"/>
      <c r="R141" s="617"/>
      <c r="S141" s="616"/>
      <c r="T141" s="621"/>
      <c r="U141" s="621"/>
      <c r="V141" s="617"/>
    </row>
    <row r="142" spans="1:22" ht="18" customHeight="1">
      <c r="A142" s="616"/>
      <c r="B142" s="621"/>
      <c r="C142" s="617"/>
      <c r="D142" s="616"/>
      <c r="E142" s="621"/>
      <c r="F142" s="617"/>
      <c r="G142" s="616"/>
      <c r="H142" s="617"/>
      <c r="I142" s="616"/>
      <c r="J142" s="617"/>
      <c r="K142" s="616"/>
      <c r="L142" s="617"/>
      <c r="M142" s="616"/>
      <c r="N142" s="617"/>
      <c r="O142" s="616"/>
      <c r="P142" s="617"/>
      <c r="Q142" s="616"/>
      <c r="R142" s="617"/>
      <c r="S142" s="616"/>
      <c r="T142" s="621"/>
      <c r="U142" s="621"/>
      <c r="V142" s="617"/>
    </row>
    <row r="143" spans="1:22" ht="18" customHeight="1">
      <c r="A143" s="618"/>
      <c r="B143" s="622"/>
      <c r="C143" s="619"/>
      <c r="D143" s="618"/>
      <c r="E143" s="622"/>
      <c r="F143" s="619"/>
      <c r="G143" s="618"/>
      <c r="H143" s="619"/>
      <c r="I143" s="618"/>
      <c r="J143" s="619"/>
      <c r="K143" s="618"/>
      <c r="L143" s="619"/>
      <c r="M143" s="618"/>
      <c r="N143" s="619"/>
      <c r="O143" s="618"/>
      <c r="P143" s="619"/>
      <c r="Q143" s="618"/>
      <c r="R143" s="619"/>
      <c r="S143" s="618"/>
      <c r="T143" s="622"/>
      <c r="U143" s="622"/>
      <c r="V143" s="619"/>
    </row>
    <row r="144" spans="1:22" ht="18" customHeight="1">
      <c r="A144" s="623" t="str">
        <f>B95</f>
        <v>T1</v>
      </c>
      <c r="B144" s="623" t="str">
        <f>D95</f>
        <v>Core2</v>
      </c>
      <c r="C144" s="623"/>
      <c r="D144" s="613">
        <f>H98</f>
        <v>2500</v>
      </c>
      <c r="E144" s="613"/>
      <c r="F144" s="624">
        <f>O98</f>
        <v>1</v>
      </c>
      <c r="G144" s="627">
        <f>'CT-VT Burdens'!S19</f>
        <v>80</v>
      </c>
      <c r="H144" s="630">
        <f>'CT-VT Burdens'!S10</f>
        <v>2.5</v>
      </c>
      <c r="I144" s="783" t="str">
        <f>L99</f>
        <v>0.5FS5</v>
      </c>
      <c r="J144" s="783"/>
      <c r="K144" s="612">
        <f>H12</f>
        <v>10</v>
      </c>
      <c r="L144" s="612"/>
      <c r="M144" s="612">
        <f>H14</f>
        <v>7.5</v>
      </c>
      <c r="N144" s="612"/>
      <c r="O144" s="613" t="s">
        <v>7</v>
      </c>
      <c r="P144" s="613"/>
      <c r="Q144" s="629" t="str">
        <f>CONCATENATE(T7," ",T8," ",T9," ",T10)</f>
        <v xml:space="preserve">XC-RACK POINTER  </v>
      </c>
      <c r="R144" s="629"/>
      <c r="S144" s="628" t="str">
        <f>J47</f>
        <v>Suitable Dimensions</v>
      </c>
      <c r="T144" s="628"/>
      <c r="U144" s="628"/>
      <c r="V144" s="628"/>
    </row>
    <row r="145" spans="1:22" ht="18" customHeight="1">
      <c r="A145" s="623"/>
      <c r="B145" s="623"/>
      <c r="C145" s="623"/>
      <c r="D145" s="613" t="str">
        <f>J98</f>
        <v>-</v>
      </c>
      <c r="E145" s="613"/>
      <c r="F145" s="625"/>
      <c r="G145" s="627"/>
      <c r="H145" s="630"/>
      <c r="I145" s="783"/>
      <c r="J145" s="783"/>
      <c r="K145" s="785" t="s">
        <v>7</v>
      </c>
      <c r="L145" s="612"/>
      <c r="M145" s="785" t="s">
        <v>7</v>
      </c>
      <c r="N145" s="612"/>
      <c r="O145" s="613" t="s">
        <v>7</v>
      </c>
      <c r="P145" s="613"/>
      <c r="Q145" s="629"/>
      <c r="R145" s="629"/>
      <c r="S145" s="961" t="s">
        <v>7</v>
      </c>
      <c r="T145" s="628"/>
      <c r="U145" s="628"/>
      <c r="V145" s="628"/>
    </row>
    <row r="146" spans="1:22" ht="18" customHeight="1">
      <c r="A146" s="623"/>
      <c r="B146" s="623"/>
      <c r="C146" s="623"/>
      <c r="D146" s="613" t="s">
        <v>7</v>
      </c>
      <c r="E146" s="613"/>
      <c r="F146" s="626"/>
      <c r="G146" s="627"/>
      <c r="H146" s="630"/>
      <c r="I146" s="783"/>
      <c r="J146" s="783"/>
      <c r="K146" s="612" t="s">
        <v>7</v>
      </c>
      <c r="L146" s="612"/>
      <c r="M146" s="612" t="s">
        <v>7</v>
      </c>
      <c r="N146" s="612"/>
      <c r="O146" s="613" t="s">
        <v>7</v>
      </c>
      <c r="P146" s="613"/>
      <c r="Q146" s="629"/>
      <c r="R146" s="629"/>
      <c r="S146" s="628" t="s">
        <v>7</v>
      </c>
      <c r="T146" s="628"/>
      <c r="U146" s="628"/>
      <c r="V146" s="628"/>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J121:K121"/>
    <mergeCell ref="G125:H125"/>
    <mergeCell ref="J125:K125"/>
    <mergeCell ref="G128:H128"/>
    <mergeCell ref="J128:K128"/>
    <mergeCell ref="A140:C143"/>
    <mergeCell ref="D140:F143"/>
    <mergeCell ref="G140:H143"/>
    <mergeCell ref="I140:J143"/>
    <mergeCell ref="K140:L143"/>
    <mergeCell ref="P110:Q110"/>
    <mergeCell ref="J111:K111"/>
    <mergeCell ref="S113:T113"/>
    <mergeCell ref="J116:K116"/>
    <mergeCell ref="M116:N116"/>
    <mergeCell ref="J117:K117"/>
    <mergeCell ref="L102:M102"/>
    <mergeCell ref="J106:K106"/>
    <mergeCell ref="J107:K107"/>
    <mergeCell ref="J108:K108"/>
    <mergeCell ref="J109:K109"/>
    <mergeCell ref="J110:K110"/>
    <mergeCell ref="H98:I98"/>
    <mergeCell ref="J98:K98"/>
    <mergeCell ref="L98:M98"/>
    <mergeCell ref="L99:M99"/>
    <mergeCell ref="L100:M100"/>
    <mergeCell ref="L101:M101"/>
    <mergeCell ref="B95:C95"/>
    <mergeCell ref="D95:E96"/>
    <mergeCell ref="H95:M95"/>
    <mergeCell ref="B96:C96"/>
    <mergeCell ref="H97:I97"/>
    <mergeCell ref="J97:K97"/>
    <mergeCell ref="L97:M97"/>
    <mergeCell ref="J78:K78"/>
    <mergeCell ref="M78:N78"/>
    <mergeCell ref="J82:K82"/>
    <mergeCell ref="G86:H86"/>
    <mergeCell ref="J86:K86"/>
    <mergeCell ref="G89:H89"/>
    <mergeCell ref="J89:K89"/>
    <mergeCell ref="P69:Q69"/>
    <mergeCell ref="P70:Q70"/>
    <mergeCell ref="P71:Q71"/>
    <mergeCell ref="P72:Q72"/>
    <mergeCell ref="P73:Q73"/>
    <mergeCell ref="S75:T75"/>
    <mergeCell ref="J63:K63"/>
    <mergeCell ref="J64:K64"/>
    <mergeCell ref="J65:K65"/>
    <mergeCell ref="P65:Q65"/>
    <mergeCell ref="J66:K66"/>
    <mergeCell ref="P68:Q68"/>
    <mergeCell ref="J54:K54"/>
    <mergeCell ref="J55:K55"/>
    <mergeCell ref="J56:K56"/>
    <mergeCell ref="J57:K57"/>
    <mergeCell ref="J61:K61"/>
    <mergeCell ref="J62:K62"/>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H12:I12"/>
    <mergeCell ref="H13:I13"/>
    <mergeCell ref="H14:I14"/>
    <mergeCell ref="J18:K18"/>
    <mergeCell ref="J19:K19"/>
    <mergeCell ref="J20:K20"/>
    <mergeCell ref="H10:I10"/>
    <mergeCell ref="J10:K10"/>
    <mergeCell ref="L10:M10"/>
    <mergeCell ref="T10:U10"/>
    <mergeCell ref="H11:I11"/>
    <mergeCell ref="T11:U11"/>
    <mergeCell ref="B7:C8"/>
    <mergeCell ref="D7:E8"/>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47:J47 I90:J92 I129:J135">
    <cfRule type="cellIs" dxfId="44" priority="2" stopIfTrue="1" operator="equal">
      <formula>"Not suitable"</formula>
    </cfRule>
  </conditionalFormatting>
  <conditionalFormatting sqref="S43 S46 S86 S89 S125 S128">
    <cfRule type="cellIs" dxfId="43" priority="1" stopIfTrue="1" operator="equal">
      <formula>"Not satisfied"</formula>
    </cfRule>
  </conditionalFormatting>
  <dataValidations count="2">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WVL983043:WVM983044" xr:uid="{C9A76931-3F1A-4A09-8853-EA82E9FB4279}">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C9AEBEA8-721E-4C31-8390-1BE25632E8A3}">
      <formula1>"Core1,Core2,Core3"</formula1>
    </dataValidation>
  </dataValidations>
  <printOptions horizontalCentered="1" verticalCentered="1"/>
  <pageMargins left="0.5" right="0.5" top="0.5" bottom="0.5" header="0" footer="0"/>
  <pageSetup paperSize="9" scale="99" orientation="portrait" r:id="rId1"/>
  <headerFooter alignWithMargins="0"/>
  <rowBreaks count="1" manualBreakCount="1">
    <brk id="48" max="21" man="1"/>
  </rowBreaks>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C205-487E-41FC-AD25-8A140FD417EE}">
  <sheetPr codeName="Sheet220">
    <tabColor rgb="FF99CCFF"/>
  </sheetPr>
  <dimension ref="A1:Y44"/>
  <sheetViews>
    <sheetView view="pageBreakPreview" zoomScale="85" zoomScaleNormal="100" zoomScaleSheetLayoutView="85" workbookViewId="0">
      <selection activeCell="E22" sqref="E22:R2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879" t="s">
        <v>721</v>
      </c>
      <c r="F22" s="1167"/>
      <c r="G22" s="1167"/>
      <c r="H22" s="1167"/>
      <c r="I22" s="1167"/>
      <c r="J22" s="1167"/>
      <c r="K22" s="1167"/>
      <c r="L22" s="1167"/>
      <c r="M22" s="1167"/>
      <c r="N22" s="1167"/>
      <c r="O22" s="1167"/>
      <c r="P22" s="1167"/>
      <c r="Q22" s="1167"/>
      <c r="R22" s="1167"/>
      <c r="S22" s="27"/>
      <c r="T22" s="27"/>
      <c r="U22" s="27"/>
      <c r="V22" s="189"/>
      <c r="W22" s="27"/>
      <c r="X22" s="27"/>
    </row>
    <row r="23" spans="1:24" ht="18" customHeight="1">
      <c r="A23" s="69"/>
      <c r="B23" s="27"/>
      <c r="C23" s="27"/>
      <c r="D23" s="27"/>
      <c r="E23" s="1167"/>
      <c r="F23" s="1167"/>
      <c r="G23" s="1167"/>
      <c r="H23" s="1167"/>
      <c r="I23" s="1167"/>
      <c r="J23" s="1167"/>
      <c r="K23" s="1167"/>
      <c r="L23" s="1167"/>
      <c r="M23" s="1167"/>
      <c r="N23" s="1167"/>
      <c r="O23" s="1167"/>
      <c r="P23" s="1167"/>
      <c r="Q23" s="1167"/>
      <c r="R23" s="1167"/>
      <c r="S23" s="27"/>
      <c r="T23" s="27"/>
      <c r="U23" s="27"/>
      <c r="V23" s="189"/>
      <c r="W23" s="27"/>
      <c r="X23" s="27"/>
    </row>
    <row r="24" spans="1:24" ht="18" customHeight="1">
      <c r="A24" s="69"/>
      <c r="C24" s="190"/>
      <c r="D24" s="190"/>
      <c r="E24" s="879"/>
      <c r="F24" s="1167"/>
      <c r="G24" s="1167"/>
      <c r="H24" s="1167"/>
      <c r="I24" s="1167"/>
      <c r="J24" s="1167"/>
      <c r="K24" s="1167"/>
      <c r="L24" s="1167"/>
      <c r="M24" s="1167"/>
      <c r="N24" s="1167"/>
      <c r="O24" s="1167"/>
      <c r="P24" s="1167"/>
      <c r="Q24" s="1167"/>
      <c r="R24" s="1167"/>
      <c r="S24" s="4"/>
      <c r="T24" s="4"/>
      <c r="U24" s="4"/>
      <c r="V24" s="71"/>
      <c r="W24" s="4"/>
      <c r="X24" s="4"/>
    </row>
    <row r="25" spans="1:24" ht="18" customHeight="1">
      <c r="A25" s="69"/>
      <c r="B25" s="26"/>
      <c r="C25" s="4"/>
      <c r="D25" s="73"/>
      <c r="E25" s="1167"/>
      <c r="F25" s="1167"/>
      <c r="G25" s="1167"/>
      <c r="H25" s="1167"/>
      <c r="I25" s="1167"/>
      <c r="J25" s="1167"/>
      <c r="K25" s="1167"/>
      <c r="L25" s="1167"/>
      <c r="M25" s="1167"/>
      <c r="N25" s="1167"/>
      <c r="O25" s="1167"/>
      <c r="P25" s="1167"/>
      <c r="Q25" s="1167"/>
      <c r="R25" s="1167"/>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2">
    <mergeCell ref="E22:R23"/>
    <mergeCell ref="E24:R25"/>
  </mergeCells>
  <printOptions horizontalCentered="1" verticalCentered="1"/>
  <pageMargins left="0.5" right="0.5" top="0.5" bottom="0.5" header="0" footer="0"/>
  <pageSetup paperSize="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3313"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E19DD-8A87-4744-9B7A-84FF73212A55}">
  <sheetPr>
    <tabColor rgb="FFFFFF00"/>
  </sheetPr>
  <dimension ref="A1:AC162"/>
  <sheetViews>
    <sheetView showZeros="0" view="pageBreakPreview" topLeftCell="A6" zoomScale="85" zoomScaleNormal="100" zoomScaleSheetLayoutView="85" workbookViewId="0">
      <selection activeCell="K13" sqref="K13"/>
    </sheetView>
  </sheetViews>
  <sheetFormatPr defaultColWidth="4.33203125" defaultRowHeight="18" customHeight="1"/>
  <cols>
    <col min="1" max="3" width="4.33203125" style="30"/>
    <col min="4" max="4" width="5" style="30" bestFit="1" customWidth="1"/>
    <col min="5" max="16" width="4.33203125" style="30"/>
    <col min="17" max="17" width="4.33203125" style="30" customWidth="1"/>
    <col min="18" max="18" width="4.44140625" style="30" customWidth="1"/>
    <col min="19" max="21" width="4.33203125" style="30"/>
    <col min="22" max="22" width="4.33203125" style="30" customWidth="1"/>
    <col min="23" max="16384" width="4.33203125" style="30"/>
  </cols>
  <sheetData>
    <row r="1" spans="1:29" ht="18" customHeight="1">
      <c r="A1" s="717" t="s">
        <v>0</v>
      </c>
      <c r="B1" s="718"/>
      <c r="C1" s="718"/>
      <c r="D1" s="718"/>
      <c r="E1" s="718"/>
      <c r="F1" s="718"/>
      <c r="G1" s="719"/>
      <c r="H1" s="726" t="str">
        <f>[4]Title!H1</f>
        <v>CT / VT</v>
      </c>
      <c r="I1" s="727"/>
      <c r="J1" s="727"/>
      <c r="K1" s="727"/>
      <c r="L1" s="727"/>
      <c r="M1" s="727"/>
      <c r="N1" s="728"/>
      <c r="O1" s="702" t="str">
        <f>[4]Title!O1</f>
        <v>Contract No.</v>
      </c>
      <c r="P1" s="703"/>
      <c r="Q1" s="704"/>
      <c r="R1" s="705" t="str">
        <f>Title!R1</f>
        <v>N-19957.1-DF5W</v>
      </c>
      <c r="S1" s="706"/>
      <c r="T1" s="706"/>
      <c r="U1" s="706"/>
      <c r="V1" s="707"/>
      <c r="W1" s="14"/>
      <c r="X1" s="14"/>
    </row>
    <row r="2" spans="1:29" ht="18" customHeight="1">
      <c r="A2" s="720"/>
      <c r="B2" s="721"/>
      <c r="C2" s="721"/>
      <c r="D2" s="721"/>
      <c r="E2" s="721"/>
      <c r="F2" s="721"/>
      <c r="G2" s="722"/>
      <c r="H2" s="729" t="str">
        <f>[4]Title!H2</f>
        <v>ADEQUACY CHECK</v>
      </c>
      <c r="I2" s="730"/>
      <c r="J2" s="730"/>
      <c r="K2" s="730"/>
      <c r="L2" s="730"/>
      <c r="M2" s="730"/>
      <c r="N2" s="731"/>
      <c r="O2" s="702" t="str">
        <f>[4]Title!O2</f>
        <v>Date</v>
      </c>
      <c r="P2" s="703"/>
      <c r="Q2" s="704"/>
      <c r="R2" s="732">
        <f>Title!R2</f>
        <v>46106</v>
      </c>
      <c r="S2" s="706"/>
      <c r="T2" s="706"/>
      <c r="U2" s="706"/>
      <c r="V2" s="707"/>
      <c r="W2" s="14"/>
      <c r="X2" s="14"/>
    </row>
    <row r="3" spans="1:29" ht="18" customHeight="1">
      <c r="A3" s="720"/>
      <c r="B3" s="721"/>
      <c r="C3" s="721"/>
      <c r="D3" s="721"/>
      <c r="E3" s="721"/>
      <c r="F3" s="721"/>
      <c r="G3" s="722"/>
      <c r="H3" s="735" t="str">
        <f>Title!H3</f>
        <v>LT14 - LEWIS
400/132kV SUBSTATION</v>
      </c>
      <c r="I3" s="736"/>
      <c r="J3" s="736"/>
      <c r="K3" s="736"/>
      <c r="L3" s="736"/>
      <c r="M3" s="736"/>
      <c r="N3" s="737"/>
      <c r="O3" s="702" t="str">
        <f>[4]Title!O3</f>
        <v>Document No.</v>
      </c>
      <c r="P3" s="703"/>
      <c r="Q3" s="704"/>
      <c r="R3" s="705" t="str">
        <f>Title!R3</f>
        <v>-</v>
      </c>
      <c r="S3" s="706"/>
      <c r="T3" s="706"/>
      <c r="U3" s="706"/>
      <c r="V3" s="707"/>
      <c r="W3" s="14"/>
      <c r="X3" s="14"/>
    </row>
    <row r="4" spans="1:29" ht="18" customHeight="1">
      <c r="A4" s="723"/>
      <c r="B4" s="724"/>
      <c r="C4" s="724"/>
      <c r="D4" s="724"/>
      <c r="E4" s="724"/>
      <c r="F4" s="724"/>
      <c r="G4" s="725"/>
      <c r="H4" s="738"/>
      <c r="I4" s="739"/>
      <c r="J4" s="739"/>
      <c r="K4" s="739"/>
      <c r="L4" s="739"/>
      <c r="M4" s="739"/>
      <c r="N4" s="740"/>
      <c r="O4" s="702" t="str">
        <f>[4]Title!O4</f>
        <v>Revision No.</v>
      </c>
      <c r="P4" s="703"/>
      <c r="Q4" s="704"/>
      <c r="R4" s="705" t="str">
        <f>Title!R4</f>
        <v>A</v>
      </c>
      <c r="S4" s="706"/>
      <c r="T4" s="706"/>
      <c r="U4" s="706"/>
      <c r="V4" s="707"/>
      <c r="W4" s="14"/>
      <c r="X4" s="14"/>
    </row>
    <row r="5" spans="1:29" ht="18" customHeight="1">
      <c r="A5" s="708" t="str">
        <f>[4]Title!A5</f>
        <v>Prep. By</v>
      </c>
      <c r="B5" s="709"/>
      <c r="C5" s="25" t="str">
        <f>[4]Title!C5</f>
        <v>AP</v>
      </c>
      <c r="D5" s="708" t="str">
        <f>[4]Title!D5</f>
        <v>Checked By</v>
      </c>
      <c r="E5" s="710"/>
      <c r="F5" s="709"/>
      <c r="G5" s="25" t="str">
        <f>[4]Title!G5</f>
        <v>RB</v>
      </c>
      <c r="H5" s="711" t="s">
        <v>927</v>
      </c>
      <c r="I5" s="712"/>
      <c r="J5" s="712"/>
      <c r="K5" s="712"/>
      <c r="L5" s="712"/>
      <c r="M5" s="712"/>
      <c r="N5" s="713"/>
      <c r="O5" s="714" t="str">
        <f>[4]Title!O5</f>
        <v>Contractor</v>
      </c>
      <c r="P5" s="715"/>
      <c r="Q5" s="716"/>
      <c r="R5" s="705" t="str">
        <f>Title!R5</f>
        <v>HITACHI</v>
      </c>
      <c r="S5" s="706"/>
      <c r="T5" s="706"/>
      <c r="U5" s="706"/>
      <c r="V5" s="707"/>
      <c r="W5" s="14"/>
      <c r="X5" s="14"/>
    </row>
    <row r="6" spans="1:29" ht="18" customHeight="1">
      <c r="A6" s="196"/>
      <c r="V6" s="197"/>
    </row>
    <row r="7" spans="1:29" ht="18" customHeight="1">
      <c r="A7" s="196"/>
      <c r="B7" s="940" t="s">
        <v>120</v>
      </c>
      <c r="C7" s="941"/>
      <c r="D7" s="940" t="s">
        <v>517</v>
      </c>
      <c r="E7" s="941"/>
      <c r="F7" s="1182" t="s">
        <v>871</v>
      </c>
      <c r="G7" s="1182"/>
      <c r="H7" s="638" t="s">
        <v>872</v>
      </c>
      <c r="I7" s="638"/>
      <c r="J7" s="638"/>
      <c r="K7" s="638"/>
      <c r="L7" s="638"/>
      <c r="M7" s="638"/>
      <c r="P7" s="198"/>
      <c r="S7" s="199" t="s">
        <v>398</v>
      </c>
      <c r="T7" s="940" t="s">
        <v>920</v>
      </c>
      <c r="U7" s="941"/>
      <c r="V7" s="197"/>
    </row>
    <row r="8" spans="1:29" ht="18" customHeight="1">
      <c r="A8" s="196"/>
      <c r="B8" s="571"/>
      <c r="C8" s="571"/>
      <c r="D8" s="571"/>
      <c r="E8" s="571"/>
      <c r="F8" s="468"/>
      <c r="T8" s="940"/>
      <c r="U8" s="941"/>
      <c r="V8" s="197"/>
    </row>
    <row r="9" spans="1:29" ht="18" customHeight="1">
      <c r="A9" s="196"/>
      <c r="H9" s="662" t="s">
        <v>401</v>
      </c>
      <c r="I9" s="662"/>
      <c r="J9" s="701" t="s">
        <v>402</v>
      </c>
      <c r="K9" s="701"/>
      <c r="L9" s="701" t="s">
        <v>403</v>
      </c>
      <c r="M9" s="701"/>
      <c r="T9" s="940"/>
      <c r="U9" s="941"/>
      <c r="V9" s="197"/>
    </row>
    <row r="10" spans="1:29" ht="18" customHeight="1">
      <c r="A10" s="196"/>
      <c r="B10" s="47" t="s">
        <v>404</v>
      </c>
      <c r="H10" s="942">
        <v>2500</v>
      </c>
      <c r="I10" s="943"/>
      <c r="J10" s="940" t="s">
        <v>7</v>
      </c>
      <c r="K10" s="941"/>
      <c r="L10" s="940" t="s">
        <v>7</v>
      </c>
      <c r="M10" s="941"/>
      <c r="N10" s="203" t="s">
        <v>353</v>
      </c>
      <c r="O10" s="515">
        <v>1</v>
      </c>
      <c r="P10" s="27" t="s">
        <v>9</v>
      </c>
      <c r="V10" s="197"/>
    </row>
    <row r="11" spans="1:29" ht="18" customHeight="1">
      <c r="A11" s="196"/>
      <c r="B11" s="47" t="s">
        <v>405</v>
      </c>
      <c r="H11" s="940" t="s">
        <v>850</v>
      </c>
      <c r="I11" s="941"/>
      <c r="V11" s="197"/>
    </row>
    <row r="12" spans="1:29" ht="18" customHeight="1">
      <c r="A12" s="196"/>
      <c r="B12" s="47" t="s">
        <v>407</v>
      </c>
      <c r="G12" s="120" t="s">
        <v>508</v>
      </c>
      <c r="H12" s="940">
        <v>5</v>
      </c>
      <c r="I12" s="941"/>
      <c r="J12" s="204" t="s">
        <v>344</v>
      </c>
      <c r="V12" s="197"/>
    </row>
    <row r="13" spans="1:29" ht="18" customHeight="1">
      <c r="A13" s="196"/>
      <c r="B13" s="47" t="s">
        <v>409</v>
      </c>
      <c r="G13" s="120" t="s">
        <v>509</v>
      </c>
      <c r="H13" s="940">
        <v>3750</v>
      </c>
      <c r="I13" s="941"/>
      <c r="J13" s="14" t="s">
        <v>316</v>
      </c>
      <c r="V13" s="197"/>
      <c r="W13" s="30" t="s">
        <v>411</v>
      </c>
      <c r="AB13" s="996">
        <f>M118</f>
        <v>1746.9252171825324</v>
      </c>
      <c r="AC13" s="997"/>
    </row>
    <row r="14" spans="1:29" ht="18" customHeight="1">
      <c r="A14" s="196"/>
      <c r="B14" s="14" t="s">
        <v>412</v>
      </c>
      <c r="G14" s="120" t="s">
        <v>413</v>
      </c>
      <c r="H14" s="940">
        <v>60</v>
      </c>
      <c r="I14" s="941"/>
      <c r="J14" s="14" t="s">
        <v>414</v>
      </c>
      <c r="V14" s="197"/>
    </row>
    <row r="15" spans="1:29" ht="18" customHeight="1">
      <c r="A15" s="196"/>
      <c r="V15" s="197"/>
    </row>
    <row r="16" spans="1:29" ht="18" customHeight="1">
      <c r="A16" s="205" t="s">
        <v>415</v>
      </c>
      <c r="V16" s="197"/>
    </row>
    <row r="17" spans="1:22" ht="18" customHeight="1">
      <c r="A17" s="196"/>
      <c r="V17" s="197"/>
    </row>
    <row r="18" spans="1:22" ht="18" customHeight="1">
      <c r="A18" s="196"/>
      <c r="B18" s="206" t="s">
        <v>416</v>
      </c>
      <c r="C18" s="207"/>
      <c r="D18" s="207" t="str">
        <f>T7</f>
        <v>P545</v>
      </c>
      <c r="E18" s="208"/>
      <c r="F18" s="208"/>
      <c r="G18" s="208"/>
      <c r="H18" s="194" t="s">
        <v>417</v>
      </c>
      <c r="I18" s="195" t="s">
        <v>138</v>
      </c>
      <c r="J18" s="1178">
        <f>'CT-VT Burdens'!Q99</f>
        <v>0.02</v>
      </c>
      <c r="K18" s="1179"/>
      <c r="L18" s="214" t="s">
        <v>168</v>
      </c>
      <c r="V18" s="197"/>
    </row>
    <row r="19" spans="1:22" ht="18" customHeight="1">
      <c r="A19" s="196"/>
      <c r="B19" s="196" t="s">
        <v>416</v>
      </c>
      <c r="D19" s="308">
        <f>T8</f>
        <v>0</v>
      </c>
      <c r="I19" s="28" t="s">
        <v>138</v>
      </c>
      <c r="J19" s="1178"/>
      <c r="K19" s="1179"/>
      <c r="L19" s="309" t="s">
        <v>168</v>
      </c>
      <c r="V19" s="197"/>
    </row>
    <row r="20" spans="1:22" ht="18" customHeight="1">
      <c r="A20" s="196"/>
      <c r="B20" s="196" t="s">
        <v>416</v>
      </c>
      <c r="D20" s="308">
        <f>T9</f>
        <v>0</v>
      </c>
      <c r="E20" s="14"/>
      <c r="G20" s="211"/>
      <c r="H20" s="27"/>
      <c r="I20" s="101" t="s">
        <v>138</v>
      </c>
      <c r="J20" s="1178"/>
      <c r="K20" s="1179"/>
      <c r="L20" s="439" t="s">
        <v>168</v>
      </c>
      <c r="V20" s="197"/>
    </row>
    <row r="21" spans="1:22" ht="18" customHeight="1">
      <c r="A21" s="196"/>
      <c r="B21" s="196" t="s">
        <v>423</v>
      </c>
      <c r="H21" s="27"/>
      <c r="I21" s="189" t="s">
        <v>138</v>
      </c>
      <c r="J21" s="1180">
        <f>'CT-VT Burdens'!S22</f>
        <v>1.44186744</v>
      </c>
      <c r="K21" s="1181"/>
      <c r="L21" s="439" t="s">
        <v>168</v>
      </c>
      <c r="V21" s="197"/>
    </row>
    <row r="22" spans="1:22" ht="18" customHeight="1">
      <c r="A22" s="196"/>
      <c r="B22" s="217" t="s">
        <v>424</v>
      </c>
      <c r="C22" s="218"/>
      <c r="D22" s="218"/>
      <c r="E22" s="218"/>
      <c r="F22" s="219"/>
      <c r="G22" s="219"/>
      <c r="H22" s="202" t="s">
        <v>420</v>
      </c>
      <c r="I22" s="220" t="s">
        <v>138</v>
      </c>
      <c r="J22" s="897">
        <f>SUM(J19:K21)</f>
        <v>1.44186744</v>
      </c>
      <c r="K22" s="797"/>
      <c r="L22" s="441"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57" t="s">
        <v>660</v>
      </c>
      <c r="C25" s="257" t="s">
        <v>138</v>
      </c>
      <c r="D25" s="254" t="s">
        <v>417</v>
      </c>
      <c r="E25" s="559" t="s">
        <v>421</v>
      </c>
      <c r="F25" s="257" t="s">
        <v>157</v>
      </c>
      <c r="G25" s="233" t="s">
        <v>326</v>
      </c>
      <c r="H25" s="234" t="s">
        <v>157</v>
      </c>
      <c r="I25" s="254" t="s">
        <v>361</v>
      </c>
      <c r="J25" s="516"/>
      <c r="K25" s="254"/>
      <c r="L25" s="560"/>
      <c r="M25" s="257" t="s">
        <v>419</v>
      </c>
      <c r="N25" s="257" t="s">
        <v>138</v>
      </c>
      <c r="O25" s="254" t="s">
        <v>420</v>
      </c>
      <c r="P25" s="561" t="s">
        <v>421</v>
      </c>
      <c r="Q25" s="556" t="s">
        <v>422</v>
      </c>
      <c r="R25" s="257" t="s">
        <v>326</v>
      </c>
      <c r="S25" s="254" t="s">
        <v>422</v>
      </c>
      <c r="T25" s="254" t="s">
        <v>361</v>
      </c>
      <c r="V25" s="197"/>
    </row>
    <row r="26" spans="1:22" ht="18" customHeight="1">
      <c r="A26" s="196"/>
      <c r="B26" s="560"/>
      <c r="C26" s="257" t="s">
        <v>138</v>
      </c>
      <c r="D26" s="313">
        <f>J18</f>
        <v>0.02</v>
      </c>
      <c r="E26" s="561" t="s">
        <v>421</v>
      </c>
      <c r="F26" s="257">
        <f>'[6]CT-VT Burdens'!S19</f>
        <v>1</v>
      </c>
      <c r="G26" s="257" t="s">
        <v>326</v>
      </c>
      <c r="H26" s="257">
        <f>'[6]CT-VT Burdens'!S19</f>
        <v>1</v>
      </c>
      <c r="I26" s="254" t="s">
        <v>361</v>
      </c>
      <c r="J26" s="516"/>
      <c r="K26" s="254"/>
      <c r="L26" s="560"/>
      <c r="M26" s="254"/>
      <c r="N26" s="257" t="s">
        <v>138</v>
      </c>
      <c r="O26" s="313">
        <f>J22</f>
        <v>1.44186744</v>
      </c>
      <c r="P26" s="561" t="s">
        <v>421</v>
      </c>
      <c r="Q26" s="257">
        <f>O10</f>
        <v>1</v>
      </c>
      <c r="R26" s="257" t="s">
        <v>326</v>
      </c>
      <c r="S26" s="257">
        <f>O10</f>
        <v>1</v>
      </c>
      <c r="T26" s="254" t="s">
        <v>361</v>
      </c>
      <c r="V26" s="197"/>
    </row>
    <row r="27" spans="1:22" ht="18" customHeight="1">
      <c r="A27" s="196"/>
      <c r="B27" s="560"/>
      <c r="C27" s="257" t="s">
        <v>138</v>
      </c>
      <c r="D27" s="640">
        <f>D26/(F26*H26)</f>
        <v>0.02</v>
      </c>
      <c r="E27" s="640"/>
      <c r="F27" s="562" t="s">
        <v>344</v>
      </c>
      <c r="G27" s="254"/>
      <c r="H27" s="254"/>
      <c r="I27" s="254"/>
      <c r="J27" s="516"/>
      <c r="K27" s="254"/>
      <c r="L27" s="560"/>
      <c r="M27" s="254"/>
      <c r="N27" s="257" t="s">
        <v>138</v>
      </c>
      <c r="O27" s="640">
        <f>O26/(Q26*S26)</f>
        <v>1.44186744</v>
      </c>
      <c r="P27" s="640"/>
      <c r="Q27" s="562" t="s">
        <v>344</v>
      </c>
      <c r="R27" s="254"/>
      <c r="S27" s="254"/>
      <c r="T27" s="254"/>
      <c r="V27" s="197"/>
    </row>
    <row r="28" spans="1:22" ht="18" customHeight="1">
      <c r="A28" s="196"/>
      <c r="B28" s="47"/>
      <c r="C28" s="47"/>
      <c r="D28" s="47"/>
      <c r="E28" s="47"/>
      <c r="H28" s="27"/>
      <c r="I28" s="28"/>
      <c r="J28" s="211"/>
      <c r="L28" s="47"/>
      <c r="O28" s="27"/>
      <c r="P28" s="223"/>
      <c r="Q28" s="223"/>
      <c r="V28" s="197"/>
    </row>
    <row r="29" spans="1:22" ht="18" customHeight="1">
      <c r="A29" s="196"/>
      <c r="B29" s="47" t="s">
        <v>874</v>
      </c>
      <c r="C29" s="47"/>
      <c r="D29" s="47"/>
      <c r="E29" s="47"/>
      <c r="H29" s="27"/>
      <c r="I29" s="28"/>
      <c r="J29" s="211"/>
      <c r="L29" s="28" t="s">
        <v>138</v>
      </c>
      <c r="M29" s="640">
        <f>D27</f>
        <v>0.02</v>
      </c>
      <c r="N29" s="640"/>
      <c r="O29" s="257" t="s">
        <v>358</v>
      </c>
      <c r="P29" s="640">
        <f>O27</f>
        <v>1.44186744</v>
      </c>
      <c r="Q29" s="640"/>
      <c r="R29" s="555" t="s">
        <v>138</v>
      </c>
      <c r="S29" s="640">
        <f>M29+P29</f>
        <v>1.46186744</v>
      </c>
      <c r="T29" s="640"/>
      <c r="U29" s="204" t="s">
        <v>344</v>
      </c>
      <c r="V29" s="197"/>
    </row>
    <row r="30" spans="1:22" ht="18" customHeight="1">
      <c r="A30" s="196"/>
      <c r="B30" s="47"/>
      <c r="C30" s="47"/>
      <c r="D30" s="47"/>
      <c r="E30" s="47"/>
      <c r="H30" s="27"/>
      <c r="I30" s="28"/>
      <c r="J30" s="211"/>
      <c r="L30" s="47"/>
      <c r="M30" s="313"/>
      <c r="N30" s="257"/>
      <c r="O30" s="555"/>
      <c r="P30" s="555"/>
      <c r="Q30" s="555"/>
      <c r="R30" s="204"/>
      <c r="V30" s="197"/>
    </row>
    <row r="31" spans="1:22" ht="18" customHeight="1">
      <c r="A31" s="116" t="s">
        <v>425</v>
      </c>
      <c r="B31" s="47"/>
      <c r="D31" s="47"/>
      <c r="E31" s="47"/>
      <c r="H31" s="27"/>
      <c r="I31" s="28"/>
      <c r="J31" s="211"/>
      <c r="L31" s="47"/>
      <c r="M31" s="313"/>
      <c r="N31" s="257"/>
      <c r="O31" s="555"/>
      <c r="P31" s="555"/>
      <c r="Q31" s="555"/>
      <c r="R31" s="204"/>
      <c r="V31" s="197"/>
    </row>
    <row r="32" spans="1:22" ht="18" customHeight="1">
      <c r="A32" s="284" t="s">
        <v>875</v>
      </c>
      <c r="V32" s="197"/>
    </row>
    <row r="33" spans="1:27" ht="18" customHeight="1">
      <c r="A33" s="196"/>
      <c r="B33" s="30" t="s">
        <v>484</v>
      </c>
      <c r="C33" s="27" t="s">
        <v>540</v>
      </c>
      <c r="D33" s="27" t="s">
        <v>876</v>
      </c>
      <c r="E33" s="27" t="s">
        <v>326</v>
      </c>
      <c r="F33" s="27" t="s">
        <v>522</v>
      </c>
      <c r="G33" s="27" t="s">
        <v>383</v>
      </c>
      <c r="H33" s="27" t="s">
        <v>431</v>
      </c>
      <c r="I33" s="27" t="s">
        <v>358</v>
      </c>
      <c r="J33" s="27" t="s">
        <v>877</v>
      </c>
      <c r="K33" s="30" t="s">
        <v>361</v>
      </c>
      <c r="U33" s="30" t="s">
        <v>878</v>
      </c>
      <c r="V33" s="197"/>
    </row>
    <row r="34" spans="1:27" ht="18" customHeight="1">
      <c r="A34" s="196"/>
      <c r="V34" s="197"/>
    </row>
    <row r="35" spans="1:27" s="291" customFormat="1" ht="18" customHeight="1">
      <c r="A35" s="1002" t="s">
        <v>879</v>
      </c>
      <c r="B35" s="965"/>
      <c r="C35" s="965"/>
      <c r="D35" s="965"/>
      <c r="E35" s="965"/>
      <c r="F35" s="965"/>
      <c r="G35" s="965"/>
      <c r="H35" s="965"/>
      <c r="I35" s="965"/>
      <c r="J35" s="965"/>
      <c r="K35" s="965"/>
      <c r="L35" s="965"/>
      <c r="M35" s="965"/>
      <c r="N35" s="965"/>
      <c r="O35" s="965"/>
      <c r="P35" s="965"/>
      <c r="Q35" s="965"/>
      <c r="R35" s="965"/>
      <c r="S35" s="965"/>
      <c r="T35" s="965"/>
      <c r="U35" s="965"/>
      <c r="V35" s="966"/>
      <c r="AA35" s="209"/>
    </row>
    <row r="36" spans="1:27" s="291" customFormat="1" ht="18" customHeight="1">
      <c r="A36" s="967"/>
      <c r="B36" s="965"/>
      <c r="C36" s="965"/>
      <c r="D36" s="965"/>
      <c r="E36" s="965"/>
      <c r="F36" s="965"/>
      <c r="G36" s="965"/>
      <c r="H36" s="965"/>
      <c r="I36" s="965"/>
      <c r="J36" s="965"/>
      <c r="K36" s="965"/>
      <c r="L36" s="965"/>
      <c r="M36" s="965"/>
      <c r="N36" s="965"/>
      <c r="O36" s="965"/>
      <c r="P36" s="965"/>
      <c r="Q36" s="965"/>
      <c r="R36" s="965"/>
      <c r="S36" s="965"/>
      <c r="T36" s="965"/>
      <c r="U36" s="965"/>
      <c r="V36" s="966"/>
    </row>
    <row r="37" spans="1:27" s="291" customFormat="1" ht="18" customHeight="1">
      <c r="A37" s="925">
        <v>1</v>
      </c>
      <c r="B37" s="1176" t="s">
        <v>880</v>
      </c>
      <c r="C37" s="1176"/>
      <c r="D37" s="1176"/>
      <c r="E37" s="1176"/>
      <c r="F37" s="1176"/>
      <c r="G37" s="1176"/>
      <c r="H37" s="1176"/>
      <c r="I37" s="1176"/>
      <c r="J37" s="1176"/>
      <c r="K37" s="1176"/>
      <c r="L37" s="1176"/>
      <c r="M37" s="1176"/>
      <c r="N37" s="1176"/>
      <c r="O37" s="1176"/>
      <c r="P37" s="1176"/>
      <c r="Q37" s="1176"/>
      <c r="R37" s="1176"/>
      <c r="S37" s="1176"/>
      <c r="T37" s="1176"/>
      <c r="U37" s="1176"/>
      <c r="V37" s="1177"/>
    </row>
    <row r="38" spans="1:27" s="291" customFormat="1" ht="18" customHeight="1">
      <c r="A38" s="925"/>
      <c r="B38" s="1176"/>
      <c r="C38" s="1176"/>
      <c r="D38" s="1176"/>
      <c r="E38" s="1176"/>
      <c r="F38" s="1176"/>
      <c r="G38" s="1176"/>
      <c r="H38" s="1176"/>
      <c r="I38" s="1176"/>
      <c r="J38" s="1176"/>
      <c r="K38" s="1176"/>
      <c r="L38" s="1176"/>
      <c r="M38" s="1176"/>
      <c r="N38" s="1176"/>
      <c r="O38" s="1176"/>
      <c r="P38" s="1176"/>
      <c r="Q38" s="1176"/>
      <c r="R38" s="1176"/>
      <c r="S38" s="1176"/>
      <c r="T38" s="1176"/>
      <c r="U38" s="1176"/>
      <c r="V38" s="1177"/>
    </row>
    <row r="39" spans="1:27" s="291" customFormat="1" ht="18" customHeight="1">
      <c r="A39" s="96"/>
      <c r="B39" s="120" t="s">
        <v>881</v>
      </c>
      <c r="C39" s="120" t="s">
        <v>430</v>
      </c>
      <c r="D39" s="638" t="s">
        <v>882</v>
      </c>
      <c r="E39" s="985"/>
      <c r="F39" s="28" t="s">
        <v>326</v>
      </c>
      <c r="G39" s="28" t="s">
        <v>352</v>
      </c>
      <c r="H39" s="47" t="s">
        <v>361</v>
      </c>
      <c r="I39" s="166" t="s">
        <v>710</v>
      </c>
      <c r="J39" s="120" t="s">
        <v>430</v>
      </c>
      <c r="K39" s="233">
        <v>1000</v>
      </c>
      <c r="L39" s="28" t="s">
        <v>326</v>
      </c>
      <c r="M39" s="28" t="s">
        <v>522</v>
      </c>
      <c r="N39" s="47" t="s">
        <v>361</v>
      </c>
      <c r="O39" s="28"/>
      <c r="P39" s="28"/>
      <c r="Q39" s="28"/>
      <c r="R39" s="28"/>
      <c r="S39" s="28"/>
      <c r="U39" s="14" t="s">
        <v>883</v>
      </c>
      <c r="V39" s="97"/>
    </row>
    <row r="40" spans="1:27" s="291" customFormat="1" ht="18" customHeight="1">
      <c r="A40" s="311"/>
      <c r="C40" s="14" t="s">
        <v>884</v>
      </c>
      <c r="M40" s="28"/>
      <c r="N40" s="28"/>
      <c r="O40" s="28"/>
      <c r="P40" s="28"/>
      <c r="Q40" s="28"/>
      <c r="R40" s="28"/>
      <c r="S40" s="28"/>
      <c r="T40" s="14"/>
      <c r="U40" s="28"/>
      <c r="V40" s="97"/>
    </row>
    <row r="41" spans="1:27" s="291" customFormat="1" ht="18" customHeight="1">
      <c r="A41" s="311"/>
      <c r="C41" s="14"/>
      <c r="D41" s="28" t="s">
        <v>876</v>
      </c>
      <c r="E41" s="28" t="s">
        <v>540</v>
      </c>
      <c r="F41" s="28">
        <v>40</v>
      </c>
      <c r="G41" s="28" t="s">
        <v>358</v>
      </c>
      <c r="H41" s="233">
        <v>7.0000000000000007E-2</v>
      </c>
      <c r="I41" s="28" t="s">
        <v>683</v>
      </c>
      <c r="J41" s="638" t="s">
        <v>882</v>
      </c>
      <c r="K41" s="985"/>
      <c r="L41" s="28" t="s">
        <v>326</v>
      </c>
      <c r="M41" s="28" t="s">
        <v>352</v>
      </c>
      <c r="N41" s="47" t="s">
        <v>361</v>
      </c>
      <c r="O41" s="28"/>
      <c r="P41" s="28"/>
      <c r="Q41" s="28"/>
      <c r="R41" s="28"/>
      <c r="S41" s="28"/>
      <c r="T41" s="14"/>
      <c r="U41" s="28"/>
      <c r="V41" s="97"/>
    </row>
    <row r="42" spans="1:27" s="291" customFormat="1" ht="18" customHeight="1">
      <c r="A42" s="337"/>
      <c r="B42" s="28"/>
      <c r="C42" s="28" t="s">
        <v>885</v>
      </c>
      <c r="D42" s="28" t="s">
        <v>876</v>
      </c>
      <c r="E42" s="28" t="s">
        <v>540</v>
      </c>
      <c r="F42" s="28">
        <v>65</v>
      </c>
      <c r="G42" s="14"/>
      <c r="H42" s="14"/>
      <c r="I42" s="120"/>
      <c r="J42" s="28"/>
      <c r="K42" s="28"/>
      <c r="L42" s="28"/>
      <c r="M42" s="28"/>
      <c r="N42" s="28"/>
      <c r="O42" s="28"/>
      <c r="P42" s="28"/>
      <c r="Q42" s="28"/>
      <c r="R42" s="28"/>
      <c r="S42" s="28"/>
      <c r="T42" s="14"/>
      <c r="U42" s="28"/>
      <c r="V42" s="97"/>
    </row>
    <row r="43" spans="1:27" s="291" customFormat="1" ht="18" customHeight="1">
      <c r="A43" s="337"/>
      <c r="B43" s="28"/>
      <c r="C43" s="28"/>
      <c r="D43" s="28"/>
      <c r="E43" s="28"/>
      <c r="F43" s="28"/>
      <c r="G43" s="14"/>
      <c r="H43" s="14"/>
      <c r="I43" s="120"/>
      <c r="J43" s="28"/>
      <c r="K43" s="28"/>
      <c r="L43" s="28"/>
      <c r="M43" s="28"/>
      <c r="N43" s="28"/>
      <c r="O43" s="28"/>
      <c r="P43" s="28"/>
      <c r="Q43" s="28"/>
      <c r="R43" s="28"/>
      <c r="S43" s="28"/>
      <c r="T43" s="14"/>
      <c r="U43" s="28"/>
      <c r="V43" s="97"/>
    </row>
    <row r="44" spans="1:27" s="291" customFormat="1" ht="18" customHeight="1">
      <c r="A44" s="337"/>
      <c r="B44" s="28"/>
      <c r="C44" s="28"/>
      <c r="D44" s="28"/>
      <c r="E44" s="14"/>
      <c r="F44" s="14"/>
      <c r="G44" s="120"/>
      <c r="H44" s="28"/>
      <c r="I44" s="28"/>
      <c r="J44" s="28"/>
      <c r="K44" s="28"/>
      <c r="L44" s="28"/>
      <c r="M44" s="28"/>
      <c r="N44" s="28"/>
      <c r="O44" s="28"/>
      <c r="P44" s="28"/>
      <c r="Q44" s="28"/>
      <c r="R44" s="28"/>
      <c r="S44" s="28"/>
      <c r="T44" s="14"/>
      <c r="U44" s="28"/>
      <c r="V44" s="97"/>
    </row>
    <row r="45" spans="1:27" s="291"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7" s="291" customFormat="1" ht="18" customHeight="1">
      <c r="A46" s="332"/>
      <c r="B46" s="145"/>
      <c r="C46" s="145"/>
      <c r="D46" s="145"/>
      <c r="E46" s="285"/>
      <c r="F46" s="285"/>
      <c r="G46" s="286"/>
      <c r="H46" s="145"/>
      <c r="I46" s="145"/>
      <c r="J46" s="145"/>
      <c r="K46" s="145"/>
      <c r="L46" s="145"/>
      <c r="M46" s="145"/>
      <c r="N46" s="145"/>
      <c r="O46" s="145"/>
      <c r="P46" s="145"/>
      <c r="Q46" s="145"/>
      <c r="R46" s="145"/>
      <c r="S46" s="145"/>
      <c r="T46" s="285"/>
      <c r="U46" s="145"/>
      <c r="V46" s="554"/>
    </row>
    <row r="47" spans="1:27" s="291" customFormat="1" ht="18" customHeight="1">
      <c r="A47" s="337"/>
      <c r="B47" s="120" t="s">
        <v>881</v>
      </c>
      <c r="C47" s="120" t="s">
        <v>430</v>
      </c>
      <c r="D47" s="233">
        <v>1000</v>
      </c>
      <c r="E47" s="28" t="s">
        <v>326</v>
      </c>
      <c r="F47" s="28" t="s">
        <v>522</v>
      </c>
      <c r="G47" s="47" t="s">
        <v>361</v>
      </c>
      <c r="H47" s="28" t="s">
        <v>886</v>
      </c>
      <c r="I47" s="120" t="s">
        <v>430</v>
      </c>
      <c r="J47" s="638" t="s">
        <v>882</v>
      </c>
      <c r="K47" s="985"/>
      <c r="L47" s="28" t="s">
        <v>326</v>
      </c>
      <c r="M47" s="28" t="s">
        <v>352</v>
      </c>
      <c r="N47" s="47" t="s">
        <v>361</v>
      </c>
      <c r="O47" s="166" t="s">
        <v>710</v>
      </c>
      <c r="P47" s="120" t="s">
        <v>430</v>
      </c>
      <c r="Q47" s="233">
        <v>2600</v>
      </c>
      <c r="R47" s="28" t="s">
        <v>326</v>
      </c>
      <c r="S47" s="28" t="s">
        <v>522</v>
      </c>
      <c r="T47" s="47" t="s">
        <v>361</v>
      </c>
      <c r="U47" s="14" t="s">
        <v>598</v>
      </c>
      <c r="V47" s="97"/>
    </row>
    <row r="48" spans="1:27" s="291" customFormat="1" ht="18" customHeight="1">
      <c r="A48" s="337"/>
      <c r="B48" s="28" t="s">
        <v>876</v>
      </c>
      <c r="C48" s="28" t="s">
        <v>138</v>
      </c>
      <c r="D48" s="28">
        <v>107</v>
      </c>
      <c r="E48" s="14"/>
      <c r="F48" s="14"/>
      <c r="G48" s="120"/>
      <c r="H48" s="28"/>
      <c r="I48" s="28"/>
      <c r="J48" s="28"/>
      <c r="K48" s="28"/>
      <c r="L48" s="28"/>
      <c r="M48" s="28"/>
      <c r="N48" s="28"/>
      <c r="O48" s="28"/>
      <c r="P48" s="28"/>
      <c r="Q48" s="28"/>
      <c r="R48" s="28"/>
      <c r="S48" s="28"/>
      <c r="T48" s="14"/>
      <c r="U48" s="28"/>
      <c r="V48" s="97"/>
    </row>
    <row r="49" spans="1:22" ht="18" customHeight="1">
      <c r="A49" s="196"/>
      <c r="V49" s="197"/>
    </row>
    <row r="50" spans="1:22" ht="18" customHeight="1">
      <c r="A50" s="563">
        <v>2</v>
      </c>
      <c r="B50" s="1176" t="s">
        <v>887</v>
      </c>
      <c r="C50" s="1176"/>
      <c r="D50" s="1176"/>
      <c r="E50" s="1176"/>
      <c r="F50" s="1176"/>
      <c r="G50" s="1176"/>
      <c r="H50" s="1176"/>
      <c r="I50" s="1176"/>
      <c r="J50" s="1176"/>
      <c r="K50" s="1176"/>
      <c r="L50" s="1176"/>
      <c r="M50" s="1176"/>
      <c r="N50" s="1176"/>
      <c r="O50" s="1176"/>
      <c r="P50" s="1176"/>
      <c r="Q50" s="1176"/>
      <c r="R50" s="1176"/>
      <c r="S50" s="1176"/>
      <c r="T50" s="1176"/>
      <c r="U50" s="1176"/>
      <c r="V50" s="1177"/>
    </row>
    <row r="51" spans="1:22" ht="18" customHeight="1">
      <c r="A51" s="284"/>
      <c r="B51" s="120" t="s">
        <v>881</v>
      </c>
      <c r="C51" s="120" t="s">
        <v>430</v>
      </c>
      <c r="D51" s="638" t="s">
        <v>882</v>
      </c>
      <c r="E51" s="985"/>
      <c r="F51" s="28" t="s">
        <v>326</v>
      </c>
      <c r="G51" s="28" t="s">
        <v>352</v>
      </c>
      <c r="H51" s="47" t="s">
        <v>361</v>
      </c>
      <c r="I51" s="166" t="s">
        <v>710</v>
      </c>
      <c r="J51" s="120" t="s">
        <v>430</v>
      </c>
      <c r="K51" s="233">
        <v>600</v>
      </c>
      <c r="L51" s="28" t="s">
        <v>326</v>
      </c>
      <c r="M51" s="28" t="s">
        <v>522</v>
      </c>
      <c r="N51" s="47" t="s">
        <v>361</v>
      </c>
      <c r="O51" s="28"/>
      <c r="P51" s="28"/>
      <c r="Q51" s="28"/>
      <c r="R51" s="28"/>
      <c r="S51" s="28"/>
      <c r="T51" s="291"/>
      <c r="U51" s="14" t="s">
        <v>888</v>
      </c>
      <c r="V51" s="97"/>
    </row>
    <row r="52" spans="1:22" ht="18" customHeight="1">
      <c r="A52" s="284"/>
      <c r="B52" s="291"/>
      <c r="C52" s="14" t="s">
        <v>884</v>
      </c>
      <c r="D52" s="291"/>
      <c r="E52" s="291"/>
      <c r="F52" s="291"/>
      <c r="G52" s="291"/>
      <c r="H52" s="291"/>
      <c r="I52" s="291"/>
      <c r="J52" s="291"/>
      <c r="K52" s="291"/>
      <c r="L52" s="291"/>
      <c r="M52" s="28"/>
      <c r="N52" s="28"/>
      <c r="O52" s="28"/>
      <c r="P52" s="28"/>
      <c r="Q52" s="28"/>
      <c r="R52" s="28"/>
      <c r="S52" s="28"/>
      <c r="T52" s="14"/>
      <c r="U52" s="28"/>
      <c r="V52" s="97"/>
    </row>
    <row r="53" spans="1:22" ht="18" customHeight="1">
      <c r="A53" s="284"/>
      <c r="B53" s="291"/>
      <c r="C53" s="14"/>
      <c r="D53" s="28" t="s">
        <v>876</v>
      </c>
      <c r="E53" s="28" t="s">
        <v>540</v>
      </c>
      <c r="F53" s="28">
        <v>40</v>
      </c>
      <c r="G53" s="28" t="s">
        <v>358</v>
      </c>
      <c r="H53" s="233">
        <v>0.35</v>
      </c>
      <c r="I53" s="28" t="s">
        <v>683</v>
      </c>
      <c r="J53" s="638" t="s">
        <v>882</v>
      </c>
      <c r="K53" s="985"/>
      <c r="L53" s="28" t="s">
        <v>326</v>
      </c>
      <c r="M53" s="28" t="s">
        <v>352</v>
      </c>
      <c r="N53" s="47" t="s">
        <v>361</v>
      </c>
      <c r="O53" s="28"/>
      <c r="P53" s="28"/>
      <c r="Q53" s="28"/>
      <c r="R53" s="28"/>
      <c r="S53" s="28"/>
      <c r="T53" s="14"/>
      <c r="U53" s="28"/>
      <c r="V53" s="97"/>
    </row>
    <row r="54" spans="1:22" ht="18" customHeight="1">
      <c r="A54" s="284"/>
      <c r="B54" s="28"/>
      <c r="C54" s="28" t="s">
        <v>885</v>
      </c>
      <c r="D54" s="28" t="s">
        <v>876</v>
      </c>
      <c r="E54" s="28" t="s">
        <v>540</v>
      </c>
      <c r="F54" s="28">
        <v>65</v>
      </c>
      <c r="G54" s="14"/>
      <c r="H54" s="14"/>
      <c r="I54" s="120"/>
      <c r="J54" s="28"/>
      <c r="K54" s="28"/>
      <c r="L54" s="28"/>
      <c r="M54" s="28"/>
      <c r="N54" s="28"/>
      <c r="O54" s="28"/>
      <c r="P54" s="28"/>
      <c r="Q54" s="28"/>
      <c r="R54" s="28"/>
      <c r="S54" s="28"/>
      <c r="T54" s="14"/>
      <c r="U54" s="28"/>
      <c r="V54" s="97"/>
    </row>
    <row r="55" spans="1:22" ht="18" customHeight="1">
      <c r="A55" s="96"/>
      <c r="B55" s="120" t="s">
        <v>881</v>
      </c>
      <c r="C55" s="120" t="s">
        <v>430</v>
      </c>
      <c r="D55" s="233">
        <v>600</v>
      </c>
      <c r="E55" s="28" t="s">
        <v>326</v>
      </c>
      <c r="F55" s="28" t="s">
        <v>522</v>
      </c>
      <c r="G55" s="47" t="s">
        <v>361</v>
      </c>
      <c r="H55" s="28" t="s">
        <v>886</v>
      </c>
      <c r="I55" s="120" t="s">
        <v>430</v>
      </c>
      <c r="J55" s="638" t="s">
        <v>882</v>
      </c>
      <c r="K55" s="985"/>
      <c r="L55" s="28" t="s">
        <v>326</v>
      </c>
      <c r="M55" s="28" t="s">
        <v>352</v>
      </c>
      <c r="N55" s="47" t="s">
        <v>361</v>
      </c>
      <c r="O55" s="166" t="s">
        <v>710</v>
      </c>
      <c r="P55" s="120" t="s">
        <v>430</v>
      </c>
      <c r="Q55" s="233">
        <v>1600</v>
      </c>
      <c r="R55" s="28" t="s">
        <v>326</v>
      </c>
      <c r="S55" s="28" t="s">
        <v>522</v>
      </c>
      <c r="T55" s="47" t="s">
        <v>361</v>
      </c>
      <c r="U55" s="14" t="s">
        <v>889</v>
      </c>
      <c r="V55" s="97"/>
    </row>
    <row r="56" spans="1:22" ht="18" customHeight="1">
      <c r="A56" s="284"/>
      <c r="B56" s="28" t="s">
        <v>876</v>
      </c>
      <c r="C56" s="28" t="s">
        <v>138</v>
      </c>
      <c r="D56" s="28">
        <v>256</v>
      </c>
      <c r="E56" s="14"/>
      <c r="F56" s="14"/>
      <c r="G56" s="120"/>
      <c r="H56" s="28"/>
      <c r="I56" s="28"/>
      <c r="J56" s="28"/>
      <c r="K56" s="28"/>
      <c r="L56" s="28"/>
      <c r="M56" s="28"/>
      <c r="N56" s="28"/>
      <c r="O56" s="28"/>
      <c r="P56" s="28"/>
      <c r="Q56" s="28"/>
      <c r="R56" s="28"/>
      <c r="S56" s="28"/>
      <c r="T56" s="14"/>
      <c r="U56" s="28"/>
      <c r="V56" s="97"/>
    </row>
    <row r="57" spans="1:22" ht="18" customHeight="1">
      <c r="A57" s="284"/>
      <c r="U57" s="14"/>
      <c r="V57" s="97"/>
    </row>
    <row r="58" spans="1:22" ht="18" customHeight="1">
      <c r="A58" s="557"/>
      <c r="B58" s="30" t="s">
        <v>890</v>
      </c>
      <c r="Q58" s="14" t="s">
        <v>628</v>
      </c>
      <c r="S58" s="246" t="s">
        <v>138</v>
      </c>
      <c r="T58" s="639">
        <f>'Parameters &amp; Fault Cal. (4)'!Q10 *1000</f>
        <v>40000</v>
      </c>
      <c r="U58" s="639"/>
      <c r="V58" s="197" t="s">
        <v>9</v>
      </c>
    </row>
    <row r="59" spans="1:22" ht="18" customHeight="1">
      <c r="A59" s="557"/>
      <c r="B59" s="47" t="s">
        <v>665</v>
      </c>
      <c r="C59" s="14"/>
      <c r="D59" s="14"/>
      <c r="E59" s="14"/>
      <c r="F59" s="14"/>
      <c r="G59" s="18"/>
      <c r="H59" s="18"/>
      <c r="I59" s="14"/>
      <c r="J59" s="120"/>
      <c r="K59" s="14"/>
      <c r="L59" s="14"/>
      <c r="N59" s="14"/>
      <c r="O59" s="14"/>
      <c r="Q59" s="14" t="s">
        <v>434</v>
      </c>
      <c r="S59" s="246" t="s">
        <v>138</v>
      </c>
      <c r="T59" s="639">
        <f>H10</f>
        <v>2500</v>
      </c>
      <c r="U59" s="639"/>
      <c r="V59" s="197" t="s">
        <v>9</v>
      </c>
    </row>
    <row r="60" spans="1:22" ht="18" customHeight="1">
      <c r="A60" s="96"/>
      <c r="B60" s="47" t="s">
        <v>891</v>
      </c>
      <c r="C60" s="14"/>
      <c r="D60" s="14"/>
      <c r="E60" s="14"/>
      <c r="F60" s="14"/>
      <c r="G60" s="18"/>
      <c r="H60" s="18"/>
      <c r="I60" s="14"/>
      <c r="J60" s="120"/>
      <c r="K60" s="14"/>
      <c r="L60" s="14"/>
      <c r="N60" s="14"/>
      <c r="O60" s="14"/>
      <c r="Q60" s="14" t="s">
        <v>882</v>
      </c>
      <c r="S60" s="246" t="s">
        <v>138</v>
      </c>
      <c r="T60" s="637">
        <f>T58/T59</f>
        <v>16</v>
      </c>
      <c r="U60" s="637"/>
      <c r="V60" s="197" t="s">
        <v>9</v>
      </c>
    </row>
    <row r="61" spans="1:22" ht="18" customHeight="1">
      <c r="A61" s="96"/>
      <c r="B61" s="47" t="s">
        <v>666</v>
      </c>
      <c r="C61" s="14"/>
      <c r="D61" s="14"/>
      <c r="E61" s="14"/>
      <c r="F61" s="14"/>
      <c r="G61" s="18"/>
      <c r="H61" s="18"/>
      <c r="I61" s="14"/>
      <c r="J61" s="120"/>
      <c r="K61" s="14"/>
      <c r="L61" s="14"/>
      <c r="N61" s="14"/>
      <c r="O61" s="14"/>
      <c r="Q61" s="14" t="s">
        <v>431</v>
      </c>
      <c r="S61" s="246" t="s">
        <v>138</v>
      </c>
      <c r="T61" s="639">
        <f>H12</f>
        <v>5</v>
      </c>
      <c r="U61" s="639"/>
      <c r="V61" s="565" t="s">
        <v>344</v>
      </c>
    </row>
    <row r="62" spans="1:22" ht="18" customHeight="1">
      <c r="A62" s="96"/>
      <c r="B62" s="47" t="s">
        <v>687</v>
      </c>
      <c r="C62" s="14"/>
      <c r="D62" s="14"/>
      <c r="E62" s="14"/>
      <c r="F62" s="14"/>
      <c r="G62" s="18"/>
      <c r="H62" s="18"/>
      <c r="I62" s="14"/>
      <c r="J62" s="120"/>
      <c r="K62" s="14"/>
      <c r="L62" s="14"/>
      <c r="N62" s="14"/>
      <c r="O62" s="14"/>
      <c r="Q62" s="14" t="s">
        <v>877</v>
      </c>
      <c r="S62" s="246" t="s">
        <v>138</v>
      </c>
      <c r="T62" s="637">
        <f>S29</f>
        <v>1.46186744</v>
      </c>
      <c r="U62" s="637"/>
      <c r="V62" s="565" t="s">
        <v>344</v>
      </c>
    </row>
    <row r="63" spans="1:22" ht="18" customHeight="1">
      <c r="A63" s="96"/>
      <c r="B63" s="47" t="s">
        <v>702</v>
      </c>
      <c r="C63" s="14"/>
      <c r="D63" s="14"/>
      <c r="E63" s="14"/>
      <c r="F63" s="14"/>
      <c r="G63" s="14"/>
      <c r="H63" s="14"/>
      <c r="I63" s="14"/>
      <c r="J63" s="120"/>
      <c r="K63" s="14"/>
      <c r="L63" s="14"/>
      <c r="N63" s="14"/>
      <c r="O63" s="14"/>
      <c r="Q63" s="14" t="s">
        <v>522</v>
      </c>
      <c r="S63" s="246" t="s">
        <v>138</v>
      </c>
      <c r="T63" s="639">
        <f>O10</f>
        <v>1</v>
      </c>
      <c r="U63" s="639"/>
      <c r="V63" s="197" t="s">
        <v>9</v>
      </c>
    </row>
    <row r="64" spans="1:22" ht="18" customHeight="1">
      <c r="A64" s="96"/>
      <c r="B64" s="14" t="s">
        <v>892</v>
      </c>
      <c r="C64" s="14"/>
      <c r="D64" s="14"/>
      <c r="E64" s="247"/>
      <c r="F64" s="14"/>
      <c r="G64" s="28"/>
      <c r="H64" s="261"/>
      <c r="I64" s="28"/>
      <c r="J64" s="263"/>
      <c r="K64" s="14"/>
      <c r="L64" s="292"/>
      <c r="N64" s="47"/>
      <c r="O64" s="280"/>
      <c r="Q64" s="293" t="s">
        <v>352</v>
      </c>
      <c r="S64" s="246" t="s">
        <v>138</v>
      </c>
      <c r="T64" s="1174">
        <f>'Parameters &amp; Fault Cal. (4)'!Q11</f>
        <v>50</v>
      </c>
      <c r="U64" s="1175"/>
      <c r="V64" s="197"/>
    </row>
    <row r="65" spans="1:22" ht="18" customHeight="1">
      <c r="A65" s="337"/>
      <c r="B65" s="14" t="s">
        <v>893</v>
      </c>
      <c r="F65" s="14"/>
      <c r="G65" s="166"/>
      <c r="H65" s="102"/>
      <c r="I65" s="28"/>
      <c r="J65" s="27"/>
      <c r="K65" s="14"/>
      <c r="O65" s="47"/>
      <c r="P65" s="14"/>
      <c r="Q65" s="14"/>
      <c r="R65" s="14"/>
      <c r="S65" s="120"/>
      <c r="T65" s="940">
        <v>100</v>
      </c>
      <c r="U65" s="941"/>
      <c r="V65" s="97" t="s">
        <v>615</v>
      </c>
    </row>
    <row r="66" spans="1:22" ht="18.75" customHeight="1">
      <c r="A66" s="96"/>
      <c r="B66" s="14"/>
      <c r="Q66" s="14"/>
      <c r="R66" s="14"/>
      <c r="S66" s="120"/>
      <c r="T66" s="18"/>
      <c r="U66" s="18"/>
      <c r="V66" s="97"/>
    </row>
    <row r="67" spans="1:22" ht="18" customHeight="1">
      <c r="A67" s="196"/>
      <c r="B67" s="566" t="s">
        <v>894</v>
      </c>
      <c r="C67" s="566"/>
      <c r="D67" s="259"/>
      <c r="E67" s="259"/>
      <c r="F67" s="472" t="str">
        <f>IF(T65=150,"1 &amp; 2","3 &amp; 4")</f>
        <v>3 &amp; 4</v>
      </c>
      <c r="G67" s="567"/>
      <c r="V67" s="197"/>
    </row>
    <row r="68" spans="1:22" ht="18" customHeight="1">
      <c r="A68" s="557" t="s">
        <v>430</v>
      </c>
      <c r="B68" s="638" t="s">
        <v>882</v>
      </c>
      <c r="C68" s="638"/>
      <c r="D68" s="28" t="s">
        <v>326</v>
      </c>
      <c r="E68" s="28" t="s">
        <v>352</v>
      </c>
      <c r="F68" s="47" t="s">
        <v>361</v>
      </c>
      <c r="G68" s="166" t="s">
        <v>710</v>
      </c>
      <c r="H68" s="120" t="s">
        <v>430</v>
      </c>
      <c r="I68" s="233" t="str">
        <f>IF(T65=150,"1000","600")</f>
        <v>600</v>
      </c>
      <c r="J68" s="28" t="s">
        <v>326</v>
      </c>
      <c r="K68" s="28" t="s">
        <v>522</v>
      </c>
      <c r="L68" s="47" t="s">
        <v>361</v>
      </c>
      <c r="M68" s="14"/>
      <c r="N68" s="14"/>
      <c r="U68" s="14" t="str">
        <f>IF(T65=150,"...cond.1","…cond.3")</f>
        <v>…cond.3</v>
      </c>
      <c r="V68" s="197"/>
    </row>
    <row r="69" spans="1:22" ht="18" customHeight="1">
      <c r="A69" s="557" t="s">
        <v>430</v>
      </c>
      <c r="B69" s="641">
        <f>T60</f>
        <v>16</v>
      </c>
      <c r="C69" s="641"/>
      <c r="D69" s="28" t="s">
        <v>326</v>
      </c>
      <c r="E69" s="28">
        <f>T64</f>
        <v>50</v>
      </c>
      <c r="F69" s="47" t="s">
        <v>361</v>
      </c>
      <c r="G69" s="166" t="s">
        <v>710</v>
      </c>
      <c r="H69" s="120" t="s">
        <v>430</v>
      </c>
      <c r="I69" s="233" t="str">
        <f>I68</f>
        <v>600</v>
      </c>
      <c r="J69" s="28" t="s">
        <v>326</v>
      </c>
      <c r="K69" s="28">
        <f>T63</f>
        <v>1</v>
      </c>
      <c r="L69" s="47" t="s">
        <v>361</v>
      </c>
      <c r="M69" s="14"/>
      <c r="N69" s="14"/>
      <c r="U69" s="14"/>
      <c r="V69" s="97"/>
    </row>
    <row r="70" spans="1:22" ht="18" customHeight="1">
      <c r="A70" s="96"/>
      <c r="B70" s="14"/>
      <c r="C70" s="14"/>
      <c r="D70" s="959">
        <f>B69*E69</f>
        <v>800</v>
      </c>
      <c r="E70" s="1162"/>
      <c r="F70" s="14"/>
      <c r="G70" s="166" t="s">
        <v>710</v>
      </c>
      <c r="H70" s="102"/>
      <c r="I70" s="638">
        <f>I69*K69</f>
        <v>600</v>
      </c>
      <c r="J70" s="639"/>
      <c r="K70" s="14"/>
      <c r="O70" s="47"/>
      <c r="P70" s="14"/>
      <c r="Q70" s="14"/>
      <c r="R70" s="14"/>
      <c r="S70" s="120" t="s">
        <v>895</v>
      </c>
      <c r="T70" s="1173" t="b">
        <f>IF(D70&lt;=I70,TRUE,FALSE)</f>
        <v>0</v>
      </c>
      <c r="U70" s="1173"/>
      <c r="V70" s="97"/>
    </row>
    <row r="71" spans="1:22" ht="18" customHeight="1">
      <c r="A71" s="196"/>
      <c r="B71" s="28" t="s">
        <v>628</v>
      </c>
      <c r="C71" s="30" t="str">
        <f>IF(T65=150,"…cond.1","…cond.3")</f>
        <v>…cond.3</v>
      </c>
      <c r="E71" s="14" t="s">
        <v>896</v>
      </c>
      <c r="V71" s="197"/>
    </row>
    <row r="72" spans="1:22" ht="18" customHeight="1">
      <c r="A72" s="196"/>
      <c r="V72" s="97"/>
    </row>
    <row r="73" spans="1:22" ht="18" customHeight="1">
      <c r="A73" s="196"/>
      <c r="B73" s="14"/>
      <c r="C73" s="28" t="s">
        <v>876</v>
      </c>
      <c r="D73" s="28" t="s">
        <v>540</v>
      </c>
      <c r="E73" s="28">
        <v>40</v>
      </c>
      <c r="F73" s="28" t="s">
        <v>358</v>
      </c>
      <c r="G73" s="233" t="str">
        <f>IF(T65=150,"0.07","0.35")</f>
        <v>0.35</v>
      </c>
      <c r="H73" s="28" t="s">
        <v>683</v>
      </c>
      <c r="I73" s="638" t="s">
        <v>882</v>
      </c>
      <c r="J73" s="985"/>
      <c r="K73" s="28" t="s">
        <v>326</v>
      </c>
      <c r="L73" s="28" t="s">
        <v>352</v>
      </c>
      <c r="M73" s="47" t="s">
        <v>361</v>
      </c>
      <c r="N73" s="196"/>
      <c r="O73" s="47" t="s">
        <v>897</v>
      </c>
      <c r="P73" s="27"/>
      <c r="Q73" s="28" t="s">
        <v>138</v>
      </c>
      <c r="R73" s="637">
        <f>MAX(E75,E76)</f>
        <v>320</v>
      </c>
      <c r="S73" s="639"/>
      <c r="V73" s="197"/>
    </row>
    <row r="74" spans="1:22" ht="18" customHeight="1">
      <c r="A74" s="196"/>
      <c r="B74" s="14"/>
      <c r="C74" s="28"/>
      <c r="D74" s="28" t="s">
        <v>540</v>
      </c>
      <c r="E74" s="28">
        <v>40</v>
      </c>
      <c r="F74" s="28" t="s">
        <v>358</v>
      </c>
      <c r="G74" s="233" t="str">
        <f>IF(T65=150,"0.07","0.35")</f>
        <v>0.35</v>
      </c>
      <c r="H74" s="28" t="s">
        <v>683</v>
      </c>
      <c r="I74" s="641">
        <f>T60</f>
        <v>16</v>
      </c>
      <c r="J74" s="985"/>
      <c r="K74" s="28" t="s">
        <v>326</v>
      </c>
      <c r="L74" s="28">
        <f>T64</f>
        <v>50</v>
      </c>
      <c r="M74" s="47" t="s">
        <v>361</v>
      </c>
      <c r="N74" s="196"/>
      <c r="V74" s="197"/>
    </row>
    <row r="75" spans="1:22" ht="18" customHeight="1">
      <c r="A75" s="196"/>
      <c r="B75" s="14"/>
      <c r="C75" s="28"/>
      <c r="D75" s="28" t="s">
        <v>540</v>
      </c>
      <c r="E75" s="641">
        <f>E74+(G74*(I74*L74))</f>
        <v>320</v>
      </c>
      <c r="F75" s="641"/>
      <c r="G75" s="233"/>
      <c r="H75" s="28"/>
      <c r="I75" s="230"/>
      <c r="K75" s="28"/>
      <c r="L75" s="28"/>
      <c r="M75" s="47"/>
      <c r="N75" s="196"/>
      <c r="V75" s="197"/>
    </row>
    <row r="76" spans="1:22" ht="18" customHeight="1">
      <c r="A76" s="96"/>
      <c r="B76" s="28" t="s">
        <v>885</v>
      </c>
      <c r="C76" s="28" t="s">
        <v>876</v>
      </c>
      <c r="D76" s="28" t="s">
        <v>138</v>
      </c>
      <c r="E76" s="28">
        <v>65</v>
      </c>
      <c r="G76" s="14"/>
      <c r="H76" s="166"/>
      <c r="I76" s="102"/>
      <c r="J76" s="28"/>
      <c r="K76" s="27"/>
      <c r="L76" s="14"/>
      <c r="N76" s="96"/>
      <c r="O76" s="14"/>
      <c r="Q76" s="14"/>
      <c r="R76" s="14"/>
      <c r="S76" s="14"/>
      <c r="T76" s="14"/>
      <c r="U76" s="14"/>
      <c r="V76" s="97"/>
    </row>
    <row r="77" spans="1:22" ht="18" customHeight="1">
      <c r="A77" s="96"/>
      <c r="B77" s="14"/>
      <c r="F77" s="28"/>
      <c r="I77" s="120"/>
      <c r="J77" s="233"/>
      <c r="K77" s="28"/>
      <c r="L77" s="28"/>
      <c r="M77" s="47"/>
      <c r="N77" s="14"/>
      <c r="O77" s="14"/>
      <c r="Q77" s="14"/>
      <c r="R77" s="14"/>
      <c r="S77" s="14"/>
      <c r="T77" s="14"/>
      <c r="U77" s="14"/>
      <c r="V77" s="97"/>
    </row>
    <row r="78" spans="1:22" ht="18" customHeight="1">
      <c r="A78" s="557" t="s">
        <v>430</v>
      </c>
      <c r="B78" s="233" t="str">
        <f>IF(T65=150,"1000","600")</f>
        <v>600</v>
      </c>
      <c r="C78" s="28" t="s">
        <v>326</v>
      </c>
      <c r="D78" s="28" t="s">
        <v>522</v>
      </c>
      <c r="E78" s="47" t="s">
        <v>361</v>
      </c>
      <c r="F78" s="28" t="s">
        <v>886</v>
      </c>
      <c r="G78" s="120" t="s">
        <v>430</v>
      </c>
      <c r="H78" s="638" t="s">
        <v>882</v>
      </c>
      <c r="I78" s="985"/>
      <c r="J78" s="28" t="s">
        <v>326</v>
      </c>
      <c r="K78" s="28" t="s">
        <v>352</v>
      </c>
      <c r="L78" s="47" t="s">
        <v>361</v>
      </c>
      <c r="M78" s="166" t="s">
        <v>710</v>
      </c>
      <c r="N78" s="120" t="s">
        <v>430</v>
      </c>
      <c r="O78" s="233" t="str">
        <f>IF(T65=150,"2600","1600")</f>
        <v>1600</v>
      </c>
      <c r="P78" s="28" t="s">
        <v>326</v>
      </c>
      <c r="Q78" s="28" t="s">
        <v>522</v>
      </c>
      <c r="R78" s="47" t="s">
        <v>361</v>
      </c>
      <c r="S78" s="14"/>
      <c r="T78" s="14"/>
      <c r="U78" s="14" t="str">
        <f>IF(T65=150,"...cond.2","…cond.4")</f>
        <v>…cond.4</v>
      </c>
      <c r="V78" s="97"/>
    </row>
    <row r="79" spans="1:22" ht="18" customHeight="1">
      <c r="A79" s="557" t="s">
        <v>430</v>
      </c>
      <c r="B79" s="233" t="str">
        <f>B78</f>
        <v>600</v>
      </c>
      <c r="C79" s="28" t="s">
        <v>326</v>
      </c>
      <c r="D79" s="28">
        <f>T63</f>
        <v>1</v>
      </c>
      <c r="E79" s="47" t="s">
        <v>361</v>
      </c>
      <c r="F79" s="28" t="s">
        <v>886</v>
      </c>
      <c r="G79" s="120" t="s">
        <v>430</v>
      </c>
      <c r="H79" s="641">
        <f>T60</f>
        <v>16</v>
      </c>
      <c r="I79" s="985"/>
      <c r="J79" s="28" t="s">
        <v>326</v>
      </c>
      <c r="K79" s="28">
        <f>T64</f>
        <v>50</v>
      </c>
      <c r="L79" s="47" t="s">
        <v>361</v>
      </c>
      <c r="M79" s="166" t="s">
        <v>710</v>
      </c>
      <c r="N79" s="120" t="s">
        <v>430</v>
      </c>
      <c r="O79" s="233" t="str">
        <f>O78</f>
        <v>1600</v>
      </c>
      <c r="P79" s="28" t="s">
        <v>326</v>
      </c>
      <c r="Q79" s="28">
        <f>T63</f>
        <v>1</v>
      </c>
      <c r="R79" s="47" t="s">
        <v>361</v>
      </c>
      <c r="S79" s="14"/>
      <c r="T79" s="14"/>
      <c r="U79" s="14"/>
      <c r="V79" s="97"/>
    </row>
    <row r="80" spans="1:22" ht="18" customHeight="1">
      <c r="A80" s="557"/>
      <c r="B80" s="261"/>
      <c r="C80" s="1172">
        <f>B79*D79</f>
        <v>600</v>
      </c>
      <c r="D80" s="1172"/>
      <c r="E80" s="261"/>
      <c r="F80" s="28" t="s">
        <v>886</v>
      </c>
      <c r="G80" s="14"/>
      <c r="H80" s="14"/>
      <c r="I80" s="959">
        <f>H79*K79</f>
        <v>800</v>
      </c>
      <c r="J80" s="959"/>
      <c r="K80" s="14"/>
      <c r="L80" s="14"/>
      <c r="M80" s="166" t="s">
        <v>710</v>
      </c>
      <c r="N80" s="102"/>
      <c r="O80" s="987">
        <f>O79*Q79</f>
        <v>1600</v>
      </c>
      <c r="P80" s="985"/>
      <c r="Q80" s="14"/>
      <c r="R80" s="14"/>
      <c r="S80" s="120" t="s">
        <v>895</v>
      </c>
      <c r="T80" s="1173" t="b">
        <f>IF(AND(C80&lt;I80,I80&lt;=O80)=TRUE,TRUE,FALSE)</f>
        <v>1</v>
      </c>
      <c r="U80" s="1173"/>
      <c r="V80" s="97"/>
    </row>
    <row r="81" spans="1:22" ht="18" customHeight="1">
      <c r="A81" s="205"/>
      <c r="B81" s="14"/>
      <c r="C81" s="27"/>
      <c r="D81" s="230"/>
      <c r="E81" s="216"/>
      <c r="F81" s="14"/>
      <c r="G81" s="14"/>
      <c r="H81" s="14"/>
      <c r="I81" s="14"/>
      <c r="J81" s="120"/>
      <c r="K81" s="120"/>
      <c r="L81" s="14"/>
      <c r="M81" s="14"/>
      <c r="N81" s="28"/>
      <c r="O81" s="269"/>
      <c r="P81" s="14"/>
      <c r="Q81" s="14"/>
      <c r="R81" s="120"/>
      <c r="S81" s="28"/>
      <c r="T81" s="47"/>
      <c r="U81" s="14"/>
      <c r="V81" s="97"/>
    </row>
    <row r="82" spans="1:22" s="291" customFormat="1" ht="18" customHeight="1">
      <c r="A82" s="311"/>
      <c r="B82" s="28" t="s">
        <v>628</v>
      </c>
      <c r="C82" s="30" t="str">
        <f>IF(T65=150,"…cond.2","…cond.4")</f>
        <v>…cond.4</v>
      </c>
      <c r="D82" s="30"/>
      <c r="E82" s="14" t="s">
        <v>898</v>
      </c>
      <c r="F82" s="30"/>
      <c r="G82" s="30"/>
      <c r="H82" s="30"/>
      <c r="I82" s="30"/>
      <c r="J82" s="28" t="s">
        <v>138</v>
      </c>
      <c r="K82" s="30" t="str">
        <f>IF(T65=150,"107","256")</f>
        <v>256</v>
      </c>
      <c r="L82" s="30"/>
      <c r="M82" s="30"/>
      <c r="N82" s="1" t="s">
        <v>899</v>
      </c>
      <c r="O82" s="208"/>
      <c r="P82" s="208"/>
      <c r="Q82" s="208"/>
      <c r="R82" s="208"/>
      <c r="S82" s="194" t="s">
        <v>138</v>
      </c>
      <c r="T82" s="258" t="str">
        <f>IF(T70=TRUE,R73,IF(T80=TRUE,K82,))</f>
        <v>256</v>
      </c>
      <c r="U82" s="14"/>
      <c r="V82" s="97"/>
    </row>
    <row r="83" spans="1:22" s="291" customFormat="1" ht="18" customHeight="1">
      <c r="A83" s="311"/>
      <c r="B83" s="28"/>
      <c r="C83" s="30"/>
      <c r="D83" s="30"/>
      <c r="E83" s="14"/>
      <c r="F83" s="30"/>
      <c r="G83" s="30"/>
      <c r="H83" s="30"/>
      <c r="I83" s="30"/>
      <c r="J83" s="28"/>
      <c r="K83" s="30"/>
      <c r="L83" s="30"/>
      <c r="M83" s="30"/>
      <c r="N83" s="47"/>
      <c r="O83" s="30"/>
      <c r="P83" s="30"/>
      <c r="Q83" s="30"/>
      <c r="R83" s="30"/>
      <c r="S83" s="28"/>
      <c r="T83" s="27"/>
      <c r="U83" s="14"/>
      <c r="V83" s="97"/>
    </row>
    <row r="84" spans="1:22" ht="18" customHeight="1">
      <c r="A84" s="205"/>
      <c r="B84" s="14"/>
      <c r="C84" s="27"/>
      <c r="D84" s="230"/>
      <c r="E84" s="216"/>
      <c r="F84" s="14"/>
      <c r="G84" s="14"/>
      <c r="H84" s="14"/>
      <c r="I84" s="14"/>
      <c r="J84" s="120"/>
      <c r="K84" s="120"/>
      <c r="L84" s="14"/>
      <c r="M84" s="14"/>
      <c r="N84" s="28"/>
      <c r="O84" s="269"/>
      <c r="P84" s="14"/>
      <c r="Q84" s="14"/>
      <c r="R84" s="120"/>
      <c r="S84" s="28"/>
      <c r="T84" s="47"/>
      <c r="U84" s="14"/>
      <c r="V84" s="97"/>
    </row>
    <row r="85" spans="1:22"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2" ht="18" customHeight="1">
      <c r="A86" s="205"/>
      <c r="B86" s="14"/>
      <c r="C86" s="27"/>
      <c r="D86" s="230"/>
      <c r="E86" s="216"/>
      <c r="F86" s="14"/>
      <c r="G86" s="14"/>
      <c r="H86" s="14"/>
      <c r="I86" s="14"/>
      <c r="J86" s="120"/>
      <c r="K86" s="120"/>
      <c r="L86" s="14"/>
      <c r="M86" s="14"/>
      <c r="N86" s="28"/>
      <c r="O86" s="269"/>
      <c r="P86" s="14"/>
      <c r="Q86" s="14"/>
      <c r="R86" s="120"/>
      <c r="S86" s="28"/>
      <c r="T86" s="47"/>
      <c r="U86" s="14"/>
      <c r="V86" s="97"/>
    </row>
    <row r="87" spans="1:22" s="291" customFormat="1" ht="18" customHeight="1">
      <c r="A87" s="205" t="s">
        <v>900</v>
      </c>
      <c r="B87" s="28"/>
      <c r="C87" s="28"/>
      <c r="D87" s="28"/>
      <c r="E87" s="14"/>
      <c r="F87" s="14"/>
      <c r="G87" s="120"/>
      <c r="H87" s="28"/>
      <c r="I87" s="28"/>
      <c r="J87" s="28"/>
      <c r="K87" s="28"/>
      <c r="L87" s="28"/>
      <c r="M87" s="28"/>
      <c r="N87" s="28"/>
      <c r="O87" s="28"/>
      <c r="P87" s="28"/>
      <c r="Q87" s="28"/>
      <c r="R87" s="28"/>
      <c r="S87" s="28"/>
      <c r="T87" s="14"/>
      <c r="U87" s="28"/>
      <c r="V87" s="97"/>
    </row>
    <row r="88" spans="1:22" ht="18" customHeight="1">
      <c r="A88" s="196"/>
      <c r="D88" s="30" t="s">
        <v>484</v>
      </c>
      <c r="E88" s="27" t="s">
        <v>540</v>
      </c>
      <c r="F88" s="27" t="s">
        <v>876</v>
      </c>
      <c r="G88" s="27" t="s">
        <v>326</v>
      </c>
      <c r="H88" s="27" t="s">
        <v>522</v>
      </c>
      <c r="I88" s="27" t="s">
        <v>383</v>
      </c>
      <c r="J88" s="27" t="s">
        <v>431</v>
      </c>
      <c r="K88" s="27" t="s">
        <v>358</v>
      </c>
      <c r="L88" s="27" t="s">
        <v>877</v>
      </c>
      <c r="M88" s="30" t="s">
        <v>361</v>
      </c>
      <c r="V88" s="197"/>
    </row>
    <row r="89" spans="1:22" ht="18" customHeight="1">
      <c r="A89" s="196"/>
      <c r="B89" s="14"/>
      <c r="D89" s="14"/>
      <c r="E89" s="27" t="s">
        <v>540</v>
      </c>
      <c r="F89" s="27" t="str">
        <f>T82</f>
        <v>256</v>
      </c>
      <c r="G89" s="27" t="s">
        <v>326</v>
      </c>
      <c r="H89" s="27">
        <f>T63</f>
        <v>1</v>
      </c>
      <c r="I89" s="27" t="s">
        <v>383</v>
      </c>
      <c r="J89" s="27">
        <f>T61</f>
        <v>5</v>
      </c>
      <c r="K89" s="27" t="s">
        <v>358</v>
      </c>
      <c r="L89" s="223">
        <f>T62</f>
        <v>1.46186744</v>
      </c>
      <c r="M89" s="30" t="s">
        <v>361</v>
      </c>
      <c r="V89" s="197"/>
    </row>
    <row r="90" spans="1:22" ht="18.600000000000001" customHeight="1">
      <c r="A90" s="196"/>
      <c r="B90" s="14"/>
      <c r="D90" s="14"/>
      <c r="E90" s="27" t="s">
        <v>540</v>
      </c>
      <c r="F90" s="912">
        <f>F89*H89*(J89+L89)</f>
        <v>1654.2380646399999</v>
      </c>
      <c r="G90" s="913"/>
      <c r="H90" s="14" t="s">
        <v>316</v>
      </c>
      <c r="I90" s="14"/>
      <c r="J90" s="14"/>
      <c r="K90" s="14"/>
      <c r="L90" s="120"/>
      <c r="M90" s="120"/>
      <c r="V90" s="197"/>
    </row>
    <row r="91" spans="1:22" ht="18" customHeight="1">
      <c r="A91" s="196"/>
      <c r="C91" s="30" t="s">
        <v>486</v>
      </c>
      <c r="F91" s="27" t="str">
        <f>IF(D92&gt;G92,"&gt;","&lt;")</f>
        <v>&gt;</v>
      </c>
      <c r="G91" s="30" t="s">
        <v>488</v>
      </c>
      <c r="L91" s="14"/>
      <c r="M91" s="14"/>
      <c r="N91" s="14"/>
      <c r="O91" s="14"/>
      <c r="P91" s="14"/>
      <c r="Q91" s="14"/>
      <c r="R91" s="14"/>
      <c r="S91" s="14"/>
      <c r="T91" s="14"/>
      <c r="U91" s="14"/>
      <c r="V91" s="97"/>
    </row>
    <row r="92" spans="1:22" ht="18" customHeight="1">
      <c r="A92" s="196"/>
      <c r="D92" s="639">
        <f>H13</f>
        <v>3750</v>
      </c>
      <c r="E92" s="639"/>
      <c r="F92" s="27" t="str">
        <f>F91</f>
        <v>&gt;</v>
      </c>
      <c r="G92" s="873">
        <f>F90</f>
        <v>1654.2380646399999</v>
      </c>
      <c r="H92" s="873"/>
      <c r="L92" s="14"/>
      <c r="M92" s="14"/>
      <c r="N92" s="28"/>
      <c r="O92" s="28"/>
      <c r="P92" s="28"/>
      <c r="Q92" s="120"/>
      <c r="R92" s="262"/>
      <c r="S92" s="198"/>
      <c r="T92" s="14"/>
      <c r="U92" s="14"/>
      <c r="V92" s="97"/>
    </row>
    <row r="93" spans="1:22" ht="18" customHeight="1">
      <c r="A93" s="196"/>
      <c r="E93" s="256" t="s">
        <v>489</v>
      </c>
      <c r="G93" s="18" t="str">
        <f>IF(F92="&gt;","Suitably Dimensioned","Under Dimensioned")</f>
        <v>Suitably Dimensioned</v>
      </c>
      <c r="L93" s="14"/>
      <c r="M93" s="14"/>
      <c r="N93" s="28"/>
      <c r="O93" s="269"/>
      <c r="P93" s="14"/>
      <c r="Q93" s="14"/>
      <c r="R93" s="120"/>
      <c r="S93" s="28"/>
      <c r="T93" s="47"/>
      <c r="U93" s="14"/>
      <c r="V93" s="97"/>
    </row>
    <row r="94" spans="1:22" ht="18" customHeight="1">
      <c r="A94" s="116" t="s">
        <v>457</v>
      </c>
      <c r="B94" s="14"/>
      <c r="C94" s="27"/>
      <c r="D94" s="230"/>
      <c r="E94" s="216"/>
      <c r="F94" s="14"/>
      <c r="G94" s="14"/>
      <c r="H94" s="14"/>
      <c r="I94" s="14"/>
      <c r="J94" s="120"/>
      <c r="K94" s="120"/>
      <c r="L94" s="14"/>
      <c r="M94" s="14"/>
      <c r="N94" s="28"/>
      <c r="O94" s="269"/>
      <c r="P94" s="14"/>
      <c r="Q94" s="14"/>
      <c r="R94" s="120"/>
      <c r="S94" s="28"/>
      <c r="T94" s="47"/>
      <c r="U94" s="14"/>
      <c r="V94" s="197"/>
    </row>
    <row r="95" spans="1:22" ht="18" customHeight="1">
      <c r="A95" s="205" t="s">
        <v>427</v>
      </c>
      <c r="B95" s="14"/>
      <c r="C95" s="27"/>
      <c r="D95" s="230"/>
      <c r="E95" s="216"/>
      <c r="F95" s="14"/>
      <c r="G95" s="14"/>
      <c r="H95" s="14"/>
      <c r="I95" s="14"/>
      <c r="J95" s="120"/>
      <c r="K95" s="120"/>
      <c r="L95" s="14"/>
      <c r="M95" s="14"/>
      <c r="N95" s="28"/>
      <c r="O95" s="269"/>
      <c r="P95" s="14"/>
      <c r="Q95" s="14"/>
      <c r="R95" s="120"/>
      <c r="S95" s="28"/>
      <c r="T95" s="47"/>
      <c r="U95" s="14"/>
      <c r="V95" s="197"/>
    </row>
    <row r="96" spans="1:22" ht="32.700000000000003" customHeight="1">
      <c r="A96" s="964" t="s">
        <v>901</v>
      </c>
      <c r="B96" s="1118"/>
      <c r="C96" s="1118"/>
      <c r="D96" s="1118"/>
      <c r="E96" s="1118"/>
      <c r="F96" s="1118"/>
      <c r="G96" s="1118"/>
      <c r="H96" s="1118"/>
      <c r="I96" s="1118"/>
      <c r="J96" s="1118"/>
      <c r="K96" s="1118"/>
      <c r="L96" s="1118"/>
      <c r="M96" s="1118"/>
      <c r="N96" s="1118"/>
      <c r="O96" s="1118"/>
      <c r="P96" s="1118"/>
      <c r="Q96" s="1118"/>
      <c r="R96" s="1118"/>
      <c r="S96" s="1118"/>
      <c r="T96" s="1118"/>
      <c r="U96" s="1118"/>
      <c r="V96" s="1119"/>
    </row>
    <row r="97" spans="1:22" ht="18" customHeight="1">
      <c r="A97" s="205"/>
      <c r="B97" s="14"/>
      <c r="F97" s="14" t="s">
        <v>902</v>
      </c>
      <c r="G97" s="14" t="s">
        <v>138</v>
      </c>
      <c r="H97" s="1166">
        <f>'Parameters &amp; Fault Cal. (4)'!E52</f>
        <v>1.0135106990427094</v>
      </c>
      <c r="I97" s="1166"/>
      <c r="J97" s="120"/>
      <c r="K97" s="14" t="str">
        <f>IF(H97&gt;2,"Since SIR is &gt;2, the below calculation is not applicable","")</f>
        <v/>
      </c>
      <c r="N97" s="28"/>
      <c r="O97" s="269"/>
      <c r="P97" s="14"/>
      <c r="Q97" s="14"/>
      <c r="R97" s="120"/>
      <c r="S97" s="28"/>
      <c r="T97" s="47"/>
      <c r="U97" s="14"/>
      <c r="V97" s="197"/>
    </row>
    <row r="98" spans="1:22" ht="18" customHeight="1">
      <c r="A98" s="205"/>
      <c r="B98" s="14"/>
      <c r="C98" s="27"/>
      <c r="D98" s="230"/>
      <c r="E98" s="216"/>
      <c r="J98" s="120"/>
      <c r="K98" s="120"/>
      <c r="L98" s="14"/>
      <c r="M98" s="14"/>
      <c r="N98" s="28"/>
      <c r="O98" s="269"/>
      <c r="P98" s="14"/>
      <c r="Q98" s="14"/>
      <c r="R98" s="120"/>
      <c r="S98" s="28"/>
      <c r="T98" s="47"/>
      <c r="U98" s="14"/>
      <c r="V98" s="197"/>
    </row>
    <row r="99" spans="1:22" ht="18" customHeight="1">
      <c r="A99" s="196"/>
      <c r="B99" s="14"/>
      <c r="C99" s="27"/>
      <c r="D99" s="230"/>
      <c r="E99" s="216"/>
      <c r="F99" s="30" t="s">
        <v>484</v>
      </c>
      <c r="G99" s="27" t="s">
        <v>540</v>
      </c>
      <c r="H99" s="969" t="s">
        <v>903</v>
      </c>
      <c r="I99" s="969"/>
      <c r="J99" s="27" t="s">
        <v>326</v>
      </c>
      <c r="K99" s="969" t="s">
        <v>855</v>
      </c>
      <c r="L99" s="969"/>
      <c r="M99" s="27" t="s">
        <v>326</v>
      </c>
      <c r="N99" s="256" t="s">
        <v>430</v>
      </c>
      <c r="O99" s="27" t="s">
        <v>431</v>
      </c>
      <c r="P99" s="27" t="s">
        <v>358</v>
      </c>
      <c r="Q99" s="27" t="s">
        <v>419</v>
      </c>
      <c r="R99" s="30" t="s">
        <v>361</v>
      </c>
      <c r="S99" s="28"/>
      <c r="T99" s="47"/>
      <c r="U99" s="14"/>
      <c r="V99" s="197"/>
    </row>
    <row r="100" spans="1:22" ht="18" customHeight="1">
      <c r="A100" s="205"/>
      <c r="F100" s="14" t="s">
        <v>904</v>
      </c>
      <c r="H100" s="27"/>
      <c r="I100" s="230"/>
      <c r="J100" s="216"/>
      <c r="K100" s="14"/>
      <c r="L100" s="14"/>
      <c r="M100" s="14"/>
      <c r="N100" s="14"/>
      <c r="O100" s="120"/>
      <c r="P100" s="120"/>
      <c r="Q100" s="14"/>
      <c r="R100" s="14"/>
      <c r="U100" s="14"/>
      <c r="V100" s="197"/>
    </row>
    <row r="101" spans="1:22" ht="18" customHeight="1">
      <c r="A101" s="205"/>
      <c r="G101" s="969" t="s">
        <v>903</v>
      </c>
      <c r="H101" s="969"/>
      <c r="I101" s="230" t="s">
        <v>138</v>
      </c>
      <c r="J101" s="216" t="s">
        <v>905</v>
      </c>
      <c r="K101" s="14"/>
      <c r="L101" s="14"/>
      <c r="M101" s="14"/>
      <c r="N101" s="14"/>
      <c r="O101" s="120"/>
      <c r="P101" s="120"/>
      <c r="Q101" s="14"/>
      <c r="R101" s="14"/>
      <c r="S101" s="28" t="s">
        <v>138</v>
      </c>
      <c r="T101" s="47">
        <v>1.4</v>
      </c>
      <c r="U101" s="14"/>
      <c r="V101" s="97"/>
    </row>
    <row r="102" spans="1:22" ht="18" customHeight="1">
      <c r="A102" s="205"/>
      <c r="G102" s="969" t="s">
        <v>855</v>
      </c>
      <c r="H102" s="969"/>
      <c r="I102" s="230" t="s">
        <v>138</v>
      </c>
      <c r="J102" s="216" t="s">
        <v>906</v>
      </c>
      <c r="K102" s="14"/>
      <c r="L102" s="14"/>
      <c r="M102" s="14"/>
      <c r="N102" s="14"/>
      <c r="O102" s="120"/>
      <c r="P102" s="120"/>
      <c r="Q102" s="14"/>
      <c r="R102" s="14"/>
      <c r="S102" s="28" t="s">
        <v>138</v>
      </c>
      <c r="T102" s="989">
        <f>T60</f>
        <v>16</v>
      </c>
      <c r="U102" s="987"/>
      <c r="V102" s="97" t="s">
        <v>9</v>
      </c>
    </row>
    <row r="103" spans="1:22" ht="18" customHeight="1">
      <c r="A103" s="205"/>
      <c r="U103" s="14"/>
      <c r="V103" s="97"/>
    </row>
    <row r="104" spans="1:22" ht="18" customHeight="1">
      <c r="A104" s="205"/>
      <c r="F104" s="30" t="s">
        <v>484</v>
      </c>
      <c r="G104" s="27" t="s">
        <v>540</v>
      </c>
      <c r="H104" s="969" t="s">
        <v>903</v>
      </c>
      <c r="I104" s="969"/>
      <c r="J104" s="27" t="s">
        <v>326</v>
      </c>
      <c r="K104" s="969" t="s">
        <v>855</v>
      </c>
      <c r="L104" s="969"/>
      <c r="M104" s="27" t="s">
        <v>326</v>
      </c>
      <c r="N104" s="256" t="s">
        <v>430</v>
      </c>
      <c r="O104" s="27" t="s">
        <v>431</v>
      </c>
      <c r="P104" s="27" t="s">
        <v>358</v>
      </c>
      <c r="Q104" s="27" t="s">
        <v>419</v>
      </c>
      <c r="R104" s="30" t="s">
        <v>361</v>
      </c>
      <c r="T104" s="47"/>
      <c r="U104" s="14"/>
      <c r="V104" s="97"/>
    </row>
    <row r="105" spans="1:22" ht="18" customHeight="1">
      <c r="A105" s="205"/>
      <c r="F105" s="30" t="s">
        <v>484</v>
      </c>
      <c r="G105" s="27" t="s">
        <v>540</v>
      </c>
      <c r="H105" s="969">
        <f>T101</f>
        <v>1.4</v>
      </c>
      <c r="I105" s="969"/>
      <c r="J105" s="27" t="s">
        <v>326</v>
      </c>
      <c r="K105" s="640">
        <f>T102</f>
        <v>16</v>
      </c>
      <c r="L105" s="969"/>
      <c r="M105" s="27" t="s">
        <v>326</v>
      </c>
      <c r="N105" s="256" t="s">
        <v>430</v>
      </c>
      <c r="O105" s="27">
        <f>T61</f>
        <v>5</v>
      </c>
      <c r="P105" s="27" t="s">
        <v>358</v>
      </c>
      <c r="Q105" s="223">
        <f>T62</f>
        <v>1.46186744</v>
      </c>
      <c r="R105" s="30" t="s">
        <v>361</v>
      </c>
      <c r="V105" s="97"/>
    </row>
    <row r="106" spans="1:22" ht="18" customHeight="1">
      <c r="A106" s="196"/>
      <c r="F106" s="30" t="s">
        <v>484</v>
      </c>
      <c r="G106" s="27" t="s">
        <v>540</v>
      </c>
      <c r="H106" s="1170">
        <f>H105*K105*(O105+Q105)</f>
        <v>144.74583065599998</v>
      </c>
      <c r="I106" s="1171"/>
      <c r="J106" s="14" t="s">
        <v>907</v>
      </c>
      <c r="V106" s="97"/>
    </row>
    <row r="107" spans="1:22" ht="18" customHeight="1">
      <c r="A107" s="205" t="s">
        <v>908</v>
      </c>
      <c r="O107" s="47"/>
      <c r="P107" s="14"/>
      <c r="Q107" s="14"/>
      <c r="R107" s="14"/>
      <c r="S107" s="120"/>
      <c r="T107" s="18"/>
      <c r="U107" s="18"/>
      <c r="V107" s="97"/>
    </row>
    <row r="108" spans="1:22" ht="18" customHeight="1">
      <c r="A108" s="196"/>
      <c r="V108" s="97"/>
    </row>
    <row r="109" spans="1:22" ht="18" customHeight="1">
      <c r="A109" s="196"/>
      <c r="C109" s="30" t="s">
        <v>484</v>
      </c>
      <c r="D109" s="27" t="s">
        <v>540</v>
      </c>
      <c r="E109" s="861" t="s">
        <v>909</v>
      </c>
      <c r="F109" s="861"/>
      <c r="G109" s="27" t="s">
        <v>326</v>
      </c>
      <c r="H109" s="861" t="s">
        <v>910</v>
      </c>
      <c r="I109" s="861"/>
      <c r="J109" s="28" t="s">
        <v>683</v>
      </c>
      <c r="K109" s="27">
        <v>1</v>
      </c>
      <c r="L109" s="14" t="s">
        <v>358</v>
      </c>
      <c r="M109" s="14" t="s">
        <v>352</v>
      </c>
      <c r="N109" s="14" t="s">
        <v>911</v>
      </c>
      <c r="O109" s="27" t="s">
        <v>431</v>
      </c>
      <c r="P109" s="27" t="s">
        <v>358</v>
      </c>
      <c r="Q109" s="27" t="s">
        <v>419</v>
      </c>
      <c r="R109" s="30" t="s">
        <v>361</v>
      </c>
      <c r="V109" s="197"/>
    </row>
    <row r="110" spans="1:22" ht="18" customHeight="1">
      <c r="A110" s="196"/>
      <c r="C110" s="14" t="s">
        <v>904</v>
      </c>
      <c r="E110" s="27"/>
      <c r="F110" s="230"/>
      <c r="G110" s="216"/>
      <c r="H110" s="14"/>
      <c r="I110" s="14"/>
      <c r="J110" s="14"/>
      <c r="K110" s="14"/>
      <c r="L110" s="120"/>
      <c r="M110" s="120"/>
      <c r="N110" s="14"/>
      <c r="O110" s="14"/>
      <c r="U110" s="14"/>
      <c r="V110" s="197"/>
    </row>
    <row r="111" spans="1:22" ht="18" customHeight="1">
      <c r="A111" s="96"/>
      <c r="B111" s="14"/>
      <c r="D111" s="861" t="s">
        <v>909</v>
      </c>
      <c r="E111" s="969"/>
      <c r="F111" s="230" t="s">
        <v>138</v>
      </c>
      <c r="G111" s="269" t="s">
        <v>912</v>
      </c>
      <c r="H111" s="14"/>
      <c r="I111" s="14"/>
      <c r="J111" s="14"/>
      <c r="K111" s="14"/>
      <c r="L111" s="120"/>
      <c r="M111" s="120"/>
      <c r="N111" s="14"/>
      <c r="O111" s="14"/>
      <c r="S111" s="28" t="s">
        <v>138</v>
      </c>
      <c r="T111" s="47">
        <v>0.6</v>
      </c>
      <c r="U111" s="14"/>
      <c r="V111" s="97"/>
    </row>
    <row r="112" spans="1:22" ht="18" customHeight="1">
      <c r="A112" s="284"/>
      <c r="B112" s="47"/>
      <c r="D112" s="861" t="s">
        <v>910</v>
      </c>
      <c r="E112" s="969"/>
      <c r="F112" s="230" t="s">
        <v>138</v>
      </c>
      <c r="G112" s="269" t="s">
        <v>913</v>
      </c>
      <c r="H112" s="14"/>
      <c r="I112" s="14"/>
      <c r="J112" s="14"/>
      <c r="K112" s="14"/>
      <c r="L112" s="120"/>
      <c r="M112" s="120"/>
      <c r="N112" s="14"/>
      <c r="O112" s="14"/>
      <c r="S112" s="28" t="s">
        <v>138</v>
      </c>
      <c r="T112" s="989">
        <f>'Parameters &amp; Fault Cal. (4)'!M110/T59</f>
        <v>8.8347617643252185</v>
      </c>
      <c r="U112" s="987"/>
      <c r="V112" s="97" t="s">
        <v>9</v>
      </c>
    </row>
    <row r="113" spans="1:22" ht="18" customHeight="1">
      <c r="A113" s="96"/>
      <c r="B113" s="47"/>
      <c r="C113" s="120"/>
      <c r="S113" s="14"/>
      <c r="T113" s="14"/>
      <c r="U113" s="14"/>
      <c r="V113" s="97"/>
    </row>
    <row r="114" spans="1:22" ht="18" customHeight="1">
      <c r="A114" s="196"/>
      <c r="C114" s="30" t="s">
        <v>484</v>
      </c>
      <c r="D114" s="27" t="s">
        <v>540</v>
      </c>
      <c r="E114" s="861" t="s">
        <v>909</v>
      </c>
      <c r="F114" s="861"/>
      <c r="G114" s="27" t="s">
        <v>326</v>
      </c>
      <c r="H114" s="861" t="s">
        <v>910</v>
      </c>
      <c r="I114" s="861"/>
      <c r="J114" s="28" t="s">
        <v>683</v>
      </c>
      <c r="K114" s="27">
        <v>1</v>
      </c>
      <c r="L114" s="14" t="s">
        <v>358</v>
      </c>
      <c r="M114" s="14" t="s">
        <v>352</v>
      </c>
      <c r="N114" s="14" t="s">
        <v>911</v>
      </c>
      <c r="O114" s="27" t="s">
        <v>431</v>
      </c>
      <c r="P114" s="27" t="s">
        <v>358</v>
      </c>
      <c r="Q114" s="27" t="s">
        <v>419</v>
      </c>
      <c r="R114" s="30" t="s">
        <v>361</v>
      </c>
      <c r="V114" s="97"/>
    </row>
    <row r="115" spans="1:22" ht="18" customHeight="1">
      <c r="A115" s="196"/>
      <c r="C115" s="30" t="s">
        <v>484</v>
      </c>
      <c r="D115" s="27" t="s">
        <v>540</v>
      </c>
      <c r="E115" s="861">
        <f>T111</f>
        <v>0.6</v>
      </c>
      <c r="F115" s="861"/>
      <c r="G115" s="27" t="s">
        <v>326</v>
      </c>
      <c r="H115" s="1113">
        <f>T112</f>
        <v>8.8347617643252185</v>
      </c>
      <c r="I115" s="861"/>
      <c r="J115" s="28" t="s">
        <v>683</v>
      </c>
      <c r="K115" s="27">
        <v>1</v>
      </c>
      <c r="L115" s="14" t="s">
        <v>358</v>
      </c>
      <c r="M115" s="28">
        <f>T64</f>
        <v>50</v>
      </c>
      <c r="N115" s="14" t="s">
        <v>911</v>
      </c>
      <c r="O115" s="27">
        <f>T61</f>
        <v>5</v>
      </c>
      <c r="P115" s="27" t="s">
        <v>358</v>
      </c>
      <c r="Q115" s="223">
        <f>T62</f>
        <v>1.46186744</v>
      </c>
      <c r="R115" s="30" t="s">
        <v>361</v>
      </c>
      <c r="V115" s="97"/>
    </row>
    <row r="116" spans="1:22" ht="18" customHeight="1">
      <c r="A116" s="196"/>
      <c r="C116" s="30" t="s">
        <v>484</v>
      </c>
      <c r="D116" s="27" t="s">
        <v>540</v>
      </c>
      <c r="E116" s="1168">
        <f>E115*H115*((K115+M115)*(O115+Q115))</f>
        <v>1746.9252171825324</v>
      </c>
      <c r="F116" s="1169"/>
      <c r="G116" s="14" t="s">
        <v>907</v>
      </c>
      <c r="V116" s="97"/>
    </row>
    <row r="117" spans="1:22" ht="18" customHeight="1">
      <c r="A117" s="557"/>
      <c r="B117" s="261"/>
      <c r="C117" s="261"/>
      <c r="D117" s="261"/>
      <c r="E117" s="261"/>
      <c r="F117" s="261"/>
      <c r="G117" s="14"/>
      <c r="H117" s="14"/>
      <c r="I117" s="14"/>
      <c r="J117" s="14"/>
      <c r="K117" s="14"/>
      <c r="L117" s="14"/>
      <c r="M117" s="120"/>
      <c r="N117" s="102"/>
      <c r="O117" s="47"/>
      <c r="P117" s="14"/>
      <c r="Q117" s="14"/>
      <c r="R117" s="14"/>
      <c r="S117" s="14"/>
      <c r="T117" s="14"/>
      <c r="U117" s="14"/>
      <c r="V117" s="97"/>
    </row>
    <row r="118" spans="1:22" ht="18" customHeight="1">
      <c r="A118" s="96"/>
      <c r="B118" s="472" t="s">
        <v>914</v>
      </c>
      <c r="C118" s="28"/>
      <c r="D118" s="28"/>
      <c r="E118" s="14"/>
      <c r="F118" s="14"/>
      <c r="G118" s="120"/>
      <c r="H118" s="120"/>
      <c r="I118" s="47"/>
      <c r="J118" s="568"/>
      <c r="K118" s="14"/>
      <c r="L118" s="14"/>
      <c r="M118" s="912">
        <f>MAX(F90,H106,E116)</f>
        <v>1746.9252171825324</v>
      </c>
      <c r="N118" s="913"/>
      <c r="O118" s="14" t="s">
        <v>907</v>
      </c>
      <c r="P118" s="14"/>
      <c r="Q118" s="14"/>
      <c r="R118" s="14"/>
      <c r="S118" s="14"/>
      <c r="T118" s="14"/>
      <c r="U118" s="14"/>
      <c r="V118" s="97"/>
    </row>
    <row r="119" spans="1:22" ht="18" customHeight="1">
      <c r="A119" s="205"/>
      <c r="I119" s="14"/>
      <c r="J119" s="14"/>
      <c r="K119" s="14"/>
      <c r="L119" s="47"/>
      <c r="M119" s="47"/>
      <c r="N119" s="47"/>
      <c r="O119" s="47"/>
      <c r="P119" s="28"/>
      <c r="Q119" s="569"/>
      <c r="R119" s="47"/>
      <c r="S119" s="14"/>
      <c r="T119" s="14"/>
      <c r="U119" s="14"/>
      <c r="V119" s="97"/>
    </row>
    <row r="120" spans="1:22" ht="18" customHeight="1">
      <c r="A120" s="196"/>
      <c r="C120" s="30" t="s">
        <v>486</v>
      </c>
      <c r="F120" s="27" t="str">
        <f>IF(D121&gt;G121,"&gt;","&lt;")</f>
        <v>&gt;</v>
      </c>
      <c r="G120" s="30" t="s">
        <v>488</v>
      </c>
      <c r="L120" s="14"/>
      <c r="M120" s="14"/>
      <c r="N120" s="14"/>
      <c r="O120" s="14"/>
      <c r="P120" s="14"/>
      <c r="Q120" s="14"/>
      <c r="R120" s="14"/>
      <c r="S120" s="14"/>
      <c r="T120" s="14"/>
      <c r="U120" s="14"/>
      <c r="V120" s="97"/>
    </row>
    <row r="121" spans="1:22" ht="18" customHeight="1">
      <c r="A121" s="196"/>
      <c r="D121" s="639">
        <f>H13</f>
        <v>3750</v>
      </c>
      <c r="E121" s="639"/>
      <c r="F121" s="27" t="str">
        <f>F120</f>
        <v>&gt;</v>
      </c>
      <c r="G121" s="873">
        <f>M118</f>
        <v>1746.9252171825324</v>
      </c>
      <c r="H121" s="873"/>
      <c r="L121" s="14"/>
      <c r="M121" s="14"/>
      <c r="N121" s="28"/>
      <c r="O121" s="28"/>
      <c r="P121" s="28"/>
      <c r="Q121" s="120"/>
      <c r="R121" s="262"/>
      <c r="S121" s="198"/>
      <c r="T121" s="14"/>
      <c r="U121" s="14"/>
      <c r="V121" s="97"/>
    </row>
    <row r="122" spans="1:22" ht="18" customHeight="1">
      <c r="A122" s="196"/>
      <c r="E122" s="256" t="s">
        <v>489</v>
      </c>
      <c r="G122" s="18" t="str">
        <f>IF(F120="&gt;","Suitably Dimensioned","Under Dimensioned")</f>
        <v>Suitably Dimensioned</v>
      </c>
      <c r="L122" s="14"/>
      <c r="M122" s="14"/>
      <c r="N122" s="28"/>
      <c r="O122" s="269"/>
      <c r="P122" s="14"/>
      <c r="Q122" s="14"/>
      <c r="R122" s="120"/>
      <c r="S122" s="28"/>
      <c r="T122" s="47"/>
      <c r="U122" s="14"/>
      <c r="V122" s="97"/>
    </row>
    <row r="123" spans="1:22" ht="18" customHeight="1">
      <c r="A123" s="205"/>
      <c r="B123" s="14"/>
      <c r="C123" s="27"/>
      <c r="D123" s="230"/>
      <c r="E123" s="216"/>
      <c r="F123" s="14"/>
      <c r="G123" s="14"/>
      <c r="H123" s="14"/>
      <c r="I123" s="14"/>
      <c r="J123" s="120"/>
      <c r="K123" s="120"/>
      <c r="L123" s="14"/>
      <c r="M123" s="14"/>
      <c r="N123" s="28"/>
      <c r="O123" s="269"/>
      <c r="P123" s="14"/>
      <c r="Q123" s="14"/>
      <c r="R123" s="120"/>
      <c r="S123" s="28"/>
      <c r="T123" s="47"/>
      <c r="U123" s="14"/>
      <c r="V123" s="97"/>
    </row>
    <row r="124" spans="1:22" ht="18" customHeight="1">
      <c r="A124" s="524"/>
      <c r="B124" s="207"/>
      <c r="C124" s="319"/>
      <c r="D124" s="526"/>
      <c r="E124" s="542"/>
      <c r="F124" s="207"/>
      <c r="G124" s="207"/>
      <c r="H124" s="207"/>
      <c r="I124" s="207"/>
      <c r="J124" s="236"/>
      <c r="K124" s="236"/>
      <c r="L124" s="207"/>
      <c r="M124" s="207"/>
      <c r="N124" s="194"/>
      <c r="O124" s="597"/>
      <c r="P124" s="207"/>
      <c r="Q124" s="207"/>
      <c r="R124" s="236"/>
      <c r="S124" s="194"/>
      <c r="T124" s="2"/>
      <c r="U124" s="207"/>
      <c r="V124" s="586"/>
    </row>
    <row r="125" spans="1:22" ht="18" customHeight="1">
      <c r="A125" s="205"/>
      <c r="B125" s="14"/>
      <c r="C125" s="27"/>
      <c r="D125" s="230"/>
      <c r="E125" s="216"/>
      <c r="F125" s="14"/>
      <c r="G125" s="14"/>
      <c r="H125" s="14"/>
      <c r="I125" s="14"/>
      <c r="J125" s="120"/>
      <c r="K125" s="120"/>
      <c r="L125" s="14"/>
      <c r="M125" s="14"/>
      <c r="N125" s="28"/>
      <c r="O125" s="269"/>
      <c r="P125" s="14"/>
      <c r="Q125" s="14"/>
      <c r="R125" s="120"/>
      <c r="S125" s="28"/>
      <c r="T125" s="47"/>
      <c r="U125" s="14"/>
      <c r="V125" s="97"/>
    </row>
    <row r="126" spans="1:22" ht="18" customHeight="1">
      <c r="A126" s="274" t="s">
        <v>915</v>
      </c>
      <c r="B126" s="14"/>
      <c r="C126" s="14"/>
      <c r="D126" s="120"/>
      <c r="E126" s="120"/>
      <c r="F126" s="18"/>
      <c r="G126" s="18"/>
      <c r="H126" s="14"/>
      <c r="I126" s="14"/>
      <c r="J126" s="14"/>
      <c r="K126" s="14"/>
      <c r="L126" s="14"/>
      <c r="M126" s="14"/>
      <c r="N126" s="14"/>
      <c r="O126" s="14"/>
      <c r="P126" s="28"/>
      <c r="Q126" s="120"/>
      <c r="R126" s="47"/>
      <c r="S126" s="218"/>
      <c r="T126" s="271"/>
      <c r="U126" s="14"/>
      <c r="V126" s="97"/>
    </row>
    <row r="127" spans="1:22" customFormat="1" ht="54.6" customHeight="1">
      <c r="A127" s="782" t="s">
        <v>97</v>
      </c>
      <c r="B127" s="782"/>
      <c r="C127" s="612"/>
      <c r="D127" s="782" t="s">
        <v>98</v>
      </c>
      <c r="E127" s="782"/>
      <c r="F127" s="782"/>
      <c r="G127" s="782" t="s">
        <v>99</v>
      </c>
      <c r="H127" s="782"/>
      <c r="I127" s="782" t="s">
        <v>100</v>
      </c>
      <c r="J127" s="782"/>
      <c r="K127" s="614" t="s">
        <v>101</v>
      </c>
      <c r="L127" s="615"/>
      <c r="M127" s="614" t="s">
        <v>102</v>
      </c>
      <c r="N127" s="615"/>
      <c r="O127" s="614" t="s">
        <v>103</v>
      </c>
      <c r="P127" s="615"/>
      <c r="Q127" s="614" t="s">
        <v>104</v>
      </c>
      <c r="R127" s="615"/>
      <c r="S127" s="782" t="s">
        <v>105</v>
      </c>
      <c r="T127" s="782"/>
      <c r="U127" s="782"/>
      <c r="V127" s="782"/>
    </row>
    <row r="128" spans="1:22" customFormat="1" ht="18" customHeight="1">
      <c r="A128" s="612" t="str">
        <f>B7</f>
        <v>T1</v>
      </c>
      <c r="B128" s="623" t="str">
        <f>D7</f>
        <v>Core2</v>
      </c>
      <c r="C128" s="623"/>
      <c r="D128" s="613">
        <f>H10</f>
        <v>2500</v>
      </c>
      <c r="E128" s="613"/>
      <c r="F128" s="624">
        <f>O10</f>
        <v>1</v>
      </c>
      <c r="G128" s="613">
        <f>'CT-VT Burdens'!S19</f>
        <v>80</v>
      </c>
      <c r="H128" s="783">
        <f>'CT-VT Burdens'!S10</f>
        <v>2.5</v>
      </c>
      <c r="I128" s="783" t="str">
        <f>H11</f>
        <v>PX-A</v>
      </c>
      <c r="J128" s="783"/>
      <c r="K128" s="612">
        <f>H12</f>
        <v>5</v>
      </c>
      <c r="L128" s="612"/>
      <c r="M128" s="612">
        <f>H13</f>
        <v>3750</v>
      </c>
      <c r="N128" s="612"/>
      <c r="O128" s="613">
        <f>H14</f>
        <v>60</v>
      </c>
      <c r="P128" s="613"/>
      <c r="Q128" s="629" t="str">
        <f>IF(T8="",T7,IF(T9="",T7&amp;"+"&amp;T8,T7&amp;"+"&amp;T8&amp;"+"&amp;T9))</f>
        <v>P545</v>
      </c>
      <c r="R128" s="629"/>
      <c r="S128" s="628" t="str">
        <f>G93</f>
        <v>Suitably Dimensioned</v>
      </c>
      <c r="T128" s="628"/>
      <c r="U128" s="628"/>
      <c r="V128" s="628"/>
    </row>
    <row r="129" spans="1:22" customFormat="1" ht="18" customHeight="1">
      <c r="A129" s="612"/>
      <c r="B129" s="623"/>
      <c r="C129" s="623"/>
      <c r="D129" s="613" t="str">
        <f>J10</f>
        <v>-</v>
      </c>
      <c r="E129" s="613"/>
      <c r="F129" s="625"/>
      <c r="G129" s="613"/>
      <c r="H129" s="613"/>
      <c r="I129" s="783"/>
      <c r="J129" s="783"/>
      <c r="K129" s="785" t="s">
        <v>7</v>
      </c>
      <c r="L129" s="612"/>
      <c r="M129" s="785" t="s">
        <v>7</v>
      </c>
      <c r="N129" s="612"/>
      <c r="O129" s="786" t="s">
        <v>7</v>
      </c>
      <c r="P129" s="613"/>
      <c r="Q129" s="629"/>
      <c r="R129" s="629"/>
      <c r="S129" s="786" t="s">
        <v>7</v>
      </c>
      <c r="T129" s="613"/>
      <c r="U129" s="613"/>
      <c r="V129" s="613"/>
    </row>
    <row r="130" spans="1:22" customFormat="1" ht="18" customHeight="1">
      <c r="A130" s="612"/>
      <c r="B130" s="623"/>
      <c r="C130" s="623"/>
      <c r="D130" s="613" t="str">
        <f>L10</f>
        <v>-</v>
      </c>
      <c r="E130" s="613"/>
      <c r="F130" s="626"/>
      <c r="G130" s="613"/>
      <c r="H130" s="613"/>
      <c r="I130" s="783"/>
      <c r="J130" s="783"/>
      <c r="K130" s="785" t="s">
        <v>7</v>
      </c>
      <c r="L130" s="612"/>
      <c r="M130" s="785" t="s">
        <v>7</v>
      </c>
      <c r="N130" s="612"/>
      <c r="O130" s="786" t="s">
        <v>7</v>
      </c>
      <c r="P130" s="613"/>
      <c r="Q130" s="629"/>
      <c r="R130" s="629"/>
      <c r="S130" s="786" t="s">
        <v>7</v>
      </c>
      <c r="T130" s="613"/>
      <c r="U130" s="613"/>
      <c r="V130" s="613"/>
    </row>
    <row r="131" spans="1:22" customFormat="1" ht="18" customHeight="1">
      <c r="A131" s="9"/>
      <c r="V131" s="10"/>
    </row>
    <row r="132" spans="1:22" customFormat="1" ht="18" customHeight="1">
      <c r="A132" s="9"/>
      <c r="V132" s="10"/>
    </row>
    <row r="133" spans="1:22" customFormat="1" ht="18" customHeight="1">
      <c r="A133" s="9"/>
      <c r="V133" s="10"/>
    </row>
    <row r="134" spans="1:22" customFormat="1" ht="18" customHeight="1">
      <c r="A134" s="9"/>
      <c r="V134" s="10"/>
    </row>
    <row r="135" spans="1:22" customFormat="1" ht="18" customHeight="1">
      <c r="A135" s="9"/>
      <c r="V135" s="10"/>
    </row>
    <row r="136" spans="1:22" customFormat="1" ht="18" customHeight="1">
      <c r="A136" s="9"/>
      <c r="V136" s="10"/>
    </row>
    <row r="137" spans="1:22" customFormat="1" ht="18" customHeight="1">
      <c r="A137" s="9"/>
      <c r="V137" s="10"/>
    </row>
    <row r="138" spans="1:22" customFormat="1" ht="18" customHeight="1">
      <c r="A138" s="9"/>
      <c r="V138" s="10"/>
    </row>
    <row r="139" spans="1:22" customFormat="1" ht="18" customHeight="1">
      <c r="A139" s="9"/>
      <c r="V139" s="10"/>
    </row>
    <row r="140" spans="1:22" customFormat="1" ht="18" customHeight="1">
      <c r="A140" s="9"/>
      <c r="V140" s="10"/>
    </row>
    <row r="141" spans="1:22" customFormat="1" ht="18" customHeight="1">
      <c r="A141" s="9"/>
      <c r="V141" s="10"/>
    </row>
    <row r="142" spans="1:22" customFormat="1" ht="18" customHeight="1">
      <c r="A142" s="9"/>
      <c r="V142" s="10"/>
    </row>
    <row r="143" spans="1:22" customFormat="1" ht="18" customHeight="1">
      <c r="A143" s="9"/>
      <c r="V143" s="10"/>
    </row>
    <row r="144" spans="1:22" customFormat="1" ht="18" customHeight="1">
      <c r="A144" s="9"/>
      <c r="V144" s="10"/>
    </row>
    <row r="145" spans="1:22" customFormat="1" ht="18" customHeight="1">
      <c r="A145" s="9"/>
      <c r="V145" s="10"/>
    </row>
    <row r="146" spans="1:22" customFormat="1" ht="18" customHeight="1">
      <c r="A146" s="9"/>
      <c r="V146" s="10"/>
    </row>
    <row r="147" spans="1:22" customFormat="1" ht="18" customHeight="1">
      <c r="A147" s="9"/>
      <c r="V147" s="10"/>
    </row>
    <row r="148" spans="1:22" customFormat="1" ht="18" customHeight="1">
      <c r="A148" s="9"/>
      <c r="V148" s="10"/>
    </row>
    <row r="149" spans="1:22" customFormat="1" ht="18" customHeight="1">
      <c r="A149" s="9"/>
      <c r="V149" s="10"/>
    </row>
    <row r="150" spans="1:22" customFormat="1" ht="18" customHeight="1">
      <c r="A150" s="9"/>
      <c r="V150" s="10"/>
    </row>
    <row r="151" spans="1:22" customFormat="1" ht="18" customHeight="1">
      <c r="A151" s="9"/>
      <c r="V151" s="10"/>
    </row>
    <row r="152" spans="1:22" customFormat="1" ht="18" customHeight="1">
      <c r="A152" s="9"/>
      <c r="V152" s="10"/>
    </row>
    <row r="153" spans="1:22" customFormat="1" ht="18" customHeight="1">
      <c r="A153" s="9"/>
      <c r="V153" s="10"/>
    </row>
    <row r="154" spans="1:22" customFormat="1" ht="18" customHeight="1">
      <c r="A154" s="9"/>
      <c r="V154" s="10"/>
    </row>
    <row r="155" spans="1:22" customFormat="1" ht="18" customHeight="1">
      <c r="A155" s="9"/>
      <c r="V155" s="10"/>
    </row>
    <row r="156" spans="1:22" customFormat="1" ht="18" customHeight="1">
      <c r="A156" s="9"/>
      <c r="V156" s="10"/>
    </row>
    <row r="157" spans="1:22" customFormat="1" ht="18" customHeight="1">
      <c r="A157" s="9"/>
      <c r="V157" s="10"/>
    </row>
    <row r="158" spans="1:22" customFormat="1" ht="18" customHeight="1">
      <c r="A158" s="9"/>
      <c r="V158" s="10"/>
    </row>
    <row r="159" spans="1:22" customFormat="1" ht="18" customHeight="1">
      <c r="A159" s="9"/>
      <c r="V159" s="10"/>
    </row>
    <row r="160" spans="1:22" customFormat="1" ht="18" customHeight="1">
      <c r="A160" s="9"/>
      <c r="V160" s="10"/>
    </row>
    <row r="161" spans="1:22" customFormat="1" ht="18" customHeight="1">
      <c r="A161" s="9"/>
      <c r="V161" s="10"/>
    </row>
    <row r="162" spans="1:22" s="7" customFormat="1" ht="18" customHeight="1">
      <c r="A162" s="395"/>
      <c r="B162" s="20"/>
      <c r="C162" s="20"/>
      <c r="D162" s="20"/>
      <c r="E162" s="20"/>
      <c r="F162" s="20"/>
      <c r="G162" s="20"/>
      <c r="H162" s="20"/>
      <c r="I162" s="20"/>
      <c r="J162" s="20"/>
      <c r="K162" s="20"/>
      <c r="L162" s="20"/>
      <c r="M162" s="20"/>
      <c r="N162" s="20"/>
      <c r="O162" s="20"/>
      <c r="P162" s="20"/>
      <c r="Q162" s="21"/>
      <c r="R162" s="22"/>
      <c r="S162" s="23"/>
      <c r="T162" s="20"/>
      <c r="U162" s="20"/>
      <c r="V162" s="140"/>
    </row>
  </sheetData>
  <dataConsolidate/>
  <mergeCells count="137">
    <mergeCell ref="B7:C7"/>
    <mergeCell ref="D7:E7"/>
    <mergeCell ref="F7:G7"/>
    <mergeCell ref="H7:M7"/>
    <mergeCell ref="T7:U7"/>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AB13:AC13"/>
    <mergeCell ref="H14:I14"/>
    <mergeCell ref="J18:K18"/>
    <mergeCell ref="H9:I9"/>
    <mergeCell ref="J9:K9"/>
    <mergeCell ref="L9:M9"/>
    <mergeCell ref="T9:U9"/>
    <mergeCell ref="H10:I10"/>
    <mergeCell ref="J10:K10"/>
    <mergeCell ref="L10:M10"/>
    <mergeCell ref="J19:K19"/>
    <mergeCell ref="J20:K20"/>
    <mergeCell ref="J21:K21"/>
    <mergeCell ref="J22:K22"/>
    <mergeCell ref="D27:E27"/>
    <mergeCell ref="O27:P27"/>
    <mergeCell ref="H11:I11"/>
    <mergeCell ref="H12:I12"/>
    <mergeCell ref="H13:I13"/>
    <mergeCell ref="D39:E39"/>
    <mergeCell ref="J41:K41"/>
    <mergeCell ref="J47:K47"/>
    <mergeCell ref="B50:V50"/>
    <mergeCell ref="D51:E51"/>
    <mergeCell ref="J53:K53"/>
    <mergeCell ref="M29:N29"/>
    <mergeCell ref="P29:Q29"/>
    <mergeCell ref="S29:T29"/>
    <mergeCell ref="A35:V36"/>
    <mergeCell ref="A37:A38"/>
    <mergeCell ref="B37:V38"/>
    <mergeCell ref="B68:C68"/>
    <mergeCell ref="B69:C69"/>
    <mergeCell ref="D70:E70"/>
    <mergeCell ref="I70:J70"/>
    <mergeCell ref="T70:U70"/>
    <mergeCell ref="J55:K55"/>
    <mergeCell ref="T58:U58"/>
    <mergeCell ref="T59:U59"/>
    <mergeCell ref="T60:U60"/>
    <mergeCell ref="T61:U61"/>
    <mergeCell ref="T62:U62"/>
    <mergeCell ref="I73:J73"/>
    <mergeCell ref="R73:S73"/>
    <mergeCell ref="I74:J74"/>
    <mergeCell ref="E75:F75"/>
    <mergeCell ref="H78:I78"/>
    <mergeCell ref="H79:I79"/>
    <mergeCell ref="T63:U63"/>
    <mergeCell ref="T64:U64"/>
    <mergeCell ref="T65:U65"/>
    <mergeCell ref="A96:V96"/>
    <mergeCell ref="H97:I97"/>
    <mergeCell ref="H99:I99"/>
    <mergeCell ref="K99:L99"/>
    <mergeCell ref="G101:H101"/>
    <mergeCell ref="G102:H102"/>
    <mergeCell ref="T102:U102"/>
    <mergeCell ref="C80:D80"/>
    <mergeCell ref="I80:J80"/>
    <mergeCell ref="O80:P80"/>
    <mergeCell ref="T80:U80"/>
    <mergeCell ref="F90:G90"/>
    <mergeCell ref="D92:E92"/>
    <mergeCell ref="G92:H92"/>
    <mergeCell ref="D111:E111"/>
    <mergeCell ref="D112:E112"/>
    <mergeCell ref="T112:U112"/>
    <mergeCell ref="E114:F114"/>
    <mergeCell ref="H114:I114"/>
    <mergeCell ref="E115:F115"/>
    <mergeCell ref="H115:I115"/>
    <mergeCell ref="H104:I104"/>
    <mergeCell ref="K104:L104"/>
    <mergeCell ref="H105:I105"/>
    <mergeCell ref="K105:L105"/>
    <mergeCell ref="H106:I106"/>
    <mergeCell ref="E109:F109"/>
    <mergeCell ref="H109:I109"/>
    <mergeCell ref="O129:P129"/>
    <mergeCell ref="A127:C127"/>
    <mergeCell ref="D127:F127"/>
    <mergeCell ref="G127:H127"/>
    <mergeCell ref="I127:J127"/>
    <mergeCell ref="K127:L127"/>
    <mergeCell ref="M127:N127"/>
    <mergeCell ref="E116:F116"/>
    <mergeCell ref="M118:N118"/>
    <mergeCell ref="D121:E121"/>
    <mergeCell ref="G121:H121"/>
    <mergeCell ref="S129:V129"/>
    <mergeCell ref="O127:P127"/>
    <mergeCell ref="Q127:R127"/>
    <mergeCell ref="S127:V127"/>
    <mergeCell ref="A128:A130"/>
    <mergeCell ref="B128:C130"/>
    <mergeCell ref="D128:E128"/>
    <mergeCell ref="F128:F130"/>
    <mergeCell ref="G128:G130"/>
    <mergeCell ref="H128:H130"/>
    <mergeCell ref="I128:J130"/>
    <mergeCell ref="D130:E130"/>
    <mergeCell ref="K130:L130"/>
    <mergeCell ref="M130:N130"/>
    <mergeCell ref="O130:P130"/>
    <mergeCell ref="S130:V130"/>
    <mergeCell ref="K128:L128"/>
    <mergeCell ref="M128:N128"/>
    <mergeCell ref="O128:P128"/>
    <mergeCell ref="Q128:R130"/>
    <mergeCell ref="S128:V128"/>
    <mergeCell ref="D129:E129"/>
    <mergeCell ref="K129:L129"/>
    <mergeCell ref="M129:N129"/>
  </mergeCells>
  <conditionalFormatting sqref="G93">
    <cfRule type="cellIs" dxfId="42" priority="1" stopIfTrue="1" operator="equal">
      <formula>"Under Dimentioned"</formula>
    </cfRule>
  </conditionalFormatting>
  <conditionalFormatting sqref="G122">
    <cfRule type="cellIs" dxfId="41" priority="2" stopIfTrue="1" operator="equal">
      <formula>"Under Dimentioned"</formula>
    </cfRule>
  </conditionalFormatting>
  <conditionalFormatting sqref="T66:U66 T70:U70 T80:U80 T107:U107">
    <cfRule type="cellIs" dxfId="40" priority="3" stopIfTrue="1" operator="equal">
      <formula>FALSE</formula>
    </cfRule>
  </conditionalFormatting>
  <dataValidations count="2">
    <dataValidation type="list" allowBlank="1" showInputMessage="1" showErrorMessage="1" sqref="T65" xr:uid="{F036B3A3-5948-46BD-891C-5B7006DDE88B}">
      <formula1>"100, 150"</formula1>
    </dataValidation>
    <dataValidation type="list" allowBlank="1" showInputMessage="1" showErrorMessage="1" sqref="D7:E8" xr:uid="{107CF645-D669-4F48-9BBC-ABDF70C2F5E8}">
      <formula1>"Core1,Core2,Core3,Core4,Core5,Core6"</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3" manualBreakCount="3">
    <brk id="45" max="21" man="1"/>
    <brk id="85" max="21" man="1"/>
    <brk id="124" max="21"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DA10C-2EC8-4920-ABF8-4E7DF51B9908}">
  <sheetPr codeName="Sheet20">
    <tabColor rgb="FFFFFF00"/>
  </sheetPr>
  <dimension ref="A1:Y313"/>
  <sheetViews>
    <sheetView showZeros="0" view="pageBreakPreview" topLeftCell="A7" zoomScaleNormal="100" zoomScaleSheetLayoutView="100" workbookViewId="0">
      <selection activeCell="K13" sqref="K13"/>
    </sheetView>
  </sheetViews>
  <sheetFormatPr defaultColWidth="4.33203125" defaultRowHeight="18" customHeight="1"/>
  <cols>
    <col min="1" max="20" width="4.33203125" style="30"/>
    <col min="21" max="21" width="3.6640625" style="30" customWidth="1"/>
    <col min="22" max="22" width="3.5546875" style="30" customWidth="1"/>
    <col min="23" max="16384" width="4.33203125" style="30"/>
  </cols>
  <sheetData>
    <row r="1" spans="1:24" ht="18" customHeight="1">
      <c r="A1" s="717" t="s">
        <v>0</v>
      </c>
      <c r="B1" s="718"/>
      <c r="C1" s="718"/>
      <c r="D1" s="718"/>
      <c r="E1" s="718"/>
      <c r="F1" s="718"/>
      <c r="G1" s="719"/>
      <c r="H1" s="726" t="str">
        <f>[3]Title!H1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[3]Title!H2</f>
        <v>ADEQUACY CHECK</v>
      </c>
      <c r="I2" s="730"/>
      <c r="J2" s="730"/>
      <c r="K2" s="730"/>
      <c r="L2" s="730"/>
      <c r="M2" s="730"/>
      <c r="N2" s="731"/>
      <c r="O2" s="702" t="str">
        <f>[3]Title!O2</f>
        <v>Date</v>
      </c>
      <c r="P2" s="703"/>
      <c r="Q2" s="704"/>
      <c r="R2" s="732">
        <f>Title!R2</f>
        <v>46106</v>
      </c>
      <c r="S2" s="706"/>
      <c r="T2" s="706"/>
      <c r="U2" s="706"/>
      <c r="V2" s="707"/>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[3]Title!O3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[3]Title!O4</f>
        <v>Revision No.</v>
      </c>
      <c r="P4" s="703"/>
      <c r="Q4" s="704"/>
      <c r="R4" s="705" t="str">
        <f>Title!R4</f>
        <v>A</v>
      </c>
      <c r="S4" s="706"/>
      <c r="T4" s="706"/>
      <c r="U4" s="706"/>
      <c r="V4" s="707"/>
      <c r="W4" s="14"/>
      <c r="X4" s="14"/>
    </row>
    <row r="5" spans="1:24" ht="18" customHeight="1">
      <c r="A5" s="708" t="str">
        <f>[3]Title!A5</f>
        <v>Prep. By</v>
      </c>
      <c r="B5" s="709"/>
      <c r="C5" s="25" t="str">
        <f>[3]Title!C5</f>
        <v>AK</v>
      </c>
      <c r="D5" s="708" t="str">
        <f>[3]Title!D5</f>
        <v>Checked By</v>
      </c>
      <c r="E5" s="710"/>
      <c r="F5" s="709"/>
      <c r="G5" s="25" t="str">
        <f>[3]Title!G5</f>
        <v>LN</v>
      </c>
      <c r="H5" s="973" t="s">
        <v>927</v>
      </c>
      <c r="I5" s="974"/>
      <c r="J5" s="974"/>
      <c r="K5" s="974"/>
      <c r="L5" s="974"/>
      <c r="M5" s="974"/>
      <c r="N5" s="975"/>
      <c r="O5" s="714" t="str">
        <f>[3]Title!O5</f>
        <v>Contractor</v>
      </c>
      <c r="P5" s="715"/>
      <c r="Q5" s="716"/>
      <c r="R5" s="705" t="str">
        <f>Title!R5</f>
        <v>HITACHI</v>
      </c>
      <c r="S5" s="706"/>
      <c r="T5" s="706"/>
      <c r="U5" s="706"/>
      <c r="V5" s="707"/>
      <c r="W5" s="14"/>
      <c r="X5" s="14"/>
    </row>
    <row r="6" spans="1:24" ht="18" customHeight="1">
      <c r="A6" s="196"/>
      <c r="V6" s="197"/>
    </row>
    <row r="7" spans="1:24" ht="18" customHeight="1">
      <c r="A7" s="196"/>
      <c r="B7" s="944" t="s">
        <v>120</v>
      </c>
      <c r="C7" s="944"/>
      <c r="D7" s="578" t="s">
        <v>121</v>
      </c>
      <c r="E7" s="581"/>
      <c r="F7" s="267"/>
      <c r="H7" s="582"/>
      <c r="I7" s="582"/>
      <c r="J7" s="582"/>
      <c r="K7" s="582"/>
      <c r="L7" s="582"/>
      <c r="M7" s="582"/>
      <c r="P7" s="198"/>
      <c r="S7" s="199" t="s">
        <v>398</v>
      </c>
      <c r="T7" s="978" t="s">
        <v>928</v>
      </c>
      <c r="U7" s="979"/>
      <c r="V7" s="197"/>
    </row>
    <row r="8" spans="1:24" ht="18" customHeight="1">
      <c r="A8" s="196"/>
      <c r="B8" s="980"/>
      <c r="C8" s="980"/>
      <c r="D8" s="580"/>
      <c r="E8" s="580"/>
      <c r="F8" s="267"/>
      <c r="T8" s="978" t="s">
        <v>519</v>
      </c>
      <c r="U8" s="979"/>
      <c r="V8" s="197"/>
    </row>
    <row r="9" spans="1:24" ht="18" customHeight="1">
      <c r="A9" s="196"/>
      <c r="H9" s="662" t="s">
        <v>401</v>
      </c>
      <c r="I9" s="662"/>
      <c r="J9" s="701" t="s">
        <v>402</v>
      </c>
      <c r="K9" s="701"/>
      <c r="L9" s="701" t="s">
        <v>403</v>
      </c>
      <c r="M9" s="701"/>
      <c r="T9" s="978" t="s">
        <v>929</v>
      </c>
      <c r="U9" s="979"/>
      <c r="V9" s="197"/>
    </row>
    <row r="10" spans="1:24" ht="18" customHeight="1">
      <c r="A10" s="196"/>
      <c r="B10" s="47" t="s">
        <v>404</v>
      </c>
      <c r="H10" s="942">
        <v>2500</v>
      </c>
      <c r="I10" s="943"/>
      <c r="J10" s="940" t="s">
        <v>7</v>
      </c>
      <c r="K10" s="941"/>
      <c r="L10" s="940" t="s">
        <v>7</v>
      </c>
      <c r="M10" s="941"/>
      <c r="N10" s="203" t="s">
        <v>353</v>
      </c>
      <c r="O10" s="515">
        <v>1</v>
      </c>
      <c r="P10" s="27" t="s">
        <v>9</v>
      </c>
      <c r="R10" s="267"/>
      <c r="S10" s="267"/>
      <c r="V10" s="197"/>
    </row>
    <row r="11" spans="1:24" ht="18" customHeight="1">
      <c r="A11" s="196"/>
      <c r="B11" s="47" t="s">
        <v>405</v>
      </c>
      <c r="H11" s="940" t="s">
        <v>846</v>
      </c>
      <c r="I11" s="941"/>
      <c r="V11" s="197"/>
    </row>
    <row r="12" spans="1:24" ht="18" customHeight="1">
      <c r="A12" s="196"/>
      <c r="B12" s="47" t="s">
        <v>407</v>
      </c>
      <c r="G12" s="120" t="s">
        <v>508</v>
      </c>
      <c r="H12" s="940">
        <v>5</v>
      </c>
      <c r="I12" s="941"/>
      <c r="J12" s="204" t="s">
        <v>344</v>
      </c>
      <c r="V12" s="197"/>
    </row>
    <row r="13" spans="1:24" ht="18" customHeight="1">
      <c r="A13" s="196"/>
      <c r="B13" s="47" t="s">
        <v>409</v>
      </c>
      <c r="G13" s="120" t="s">
        <v>509</v>
      </c>
      <c r="H13" s="940"/>
      <c r="I13" s="941"/>
      <c r="J13" s="14" t="s">
        <v>316</v>
      </c>
      <c r="T13" s="307"/>
      <c r="U13" s="18"/>
      <c r="V13" s="197"/>
      <c r="W13" s="30" t="str">
        <f>G61</f>
        <v>Suitably Dimentioned</v>
      </c>
    </row>
    <row r="14" spans="1:24" ht="18" customHeight="1">
      <c r="A14" s="196"/>
      <c r="B14" s="14" t="s">
        <v>412</v>
      </c>
      <c r="G14" s="120" t="s">
        <v>413</v>
      </c>
      <c r="H14" s="940"/>
      <c r="I14" s="941"/>
      <c r="J14" s="14" t="s">
        <v>414</v>
      </c>
      <c r="V14" s="197"/>
    </row>
    <row r="15" spans="1:24" ht="18" customHeight="1">
      <c r="A15" s="196"/>
      <c r="V15" s="197"/>
    </row>
    <row r="16" spans="1:24" ht="18" customHeight="1">
      <c r="A16" s="205" t="s">
        <v>415</v>
      </c>
      <c r="V16" s="197"/>
    </row>
    <row r="17" spans="1:23" ht="18" customHeight="1">
      <c r="A17" s="196"/>
      <c r="V17" s="197"/>
    </row>
    <row r="18" spans="1:23" ht="18" customHeight="1">
      <c r="A18" s="196"/>
      <c r="B18" s="141" t="s">
        <v>416</v>
      </c>
      <c r="C18" s="285"/>
      <c r="D18" s="146" t="str">
        <f>T7</f>
        <v>REF650</v>
      </c>
      <c r="E18" s="239"/>
      <c r="F18" s="239"/>
      <c r="G18" s="239"/>
      <c r="H18" s="145"/>
      <c r="I18" s="272" t="s">
        <v>138</v>
      </c>
      <c r="J18" s="946">
        <f>'CT-VT Burdens'!Q48</f>
        <v>0.02</v>
      </c>
      <c r="K18" s="947"/>
      <c r="L18" s="3" t="s">
        <v>168</v>
      </c>
      <c r="N18" s="209" t="s">
        <v>521</v>
      </c>
      <c r="V18" s="197"/>
    </row>
    <row r="19" spans="1:23" ht="18" customHeight="1">
      <c r="A19" s="196"/>
      <c r="B19" s="96" t="s">
        <v>416</v>
      </c>
      <c r="D19" s="308" t="str">
        <f>T8</f>
        <v>REC670</v>
      </c>
      <c r="I19" s="189" t="s">
        <v>138</v>
      </c>
      <c r="J19" s="976">
        <f>'CT-VT Burdens'!Q48</f>
        <v>0.02</v>
      </c>
      <c r="K19" s="977"/>
      <c r="L19" s="210" t="s">
        <v>168</v>
      </c>
      <c r="P19" s="256"/>
      <c r="V19" s="197"/>
    </row>
    <row r="20" spans="1:23" ht="18" customHeight="1">
      <c r="A20" s="196"/>
      <c r="B20" s="96" t="s">
        <v>416</v>
      </c>
      <c r="C20" s="14"/>
      <c r="D20" s="47" t="str">
        <f>T9</f>
        <v>IDM+9</v>
      </c>
      <c r="E20" s="14"/>
      <c r="G20" s="211"/>
      <c r="H20" s="27"/>
      <c r="I20" s="101" t="s">
        <v>138</v>
      </c>
      <c r="J20" s="971">
        <f>'CT-VT Burdens'!Q92</f>
        <v>5.8000000000000003E-2</v>
      </c>
      <c r="K20" s="972"/>
      <c r="L20" s="214" t="s">
        <v>168</v>
      </c>
      <c r="N20" s="120" t="s">
        <v>502</v>
      </c>
      <c r="O20" s="27" t="s">
        <v>138</v>
      </c>
      <c r="P20" s="27" t="s">
        <v>522</v>
      </c>
      <c r="Q20" s="27" t="s">
        <v>326</v>
      </c>
      <c r="R20" s="27" t="s">
        <v>522</v>
      </c>
      <c r="S20" s="27" t="s">
        <v>326</v>
      </c>
      <c r="T20" s="27" t="s">
        <v>431</v>
      </c>
      <c r="V20" s="197"/>
    </row>
    <row r="21" spans="1:23" ht="18" customHeight="1">
      <c r="A21" s="196"/>
      <c r="B21" s="196" t="s">
        <v>423</v>
      </c>
      <c r="C21" s="14"/>
      <c r="D21" s="14"/>
      <c r="E21" s="14"/>
      <c r="H21" s="27"/>
      <c r="I21" s="101" t="s">
        <v>138</v>
      </c>
      <c r="J21" s="950">
        <f>'CT-VT Burdens'!S22</f>
        <v>1.44186744</v>
      </c>
      <c r="K21" s="951"/>
      <c r="L21" s="309" t="s">
        <v>168</v>
      </c>
      <c r="O21" s="27" t="s">
        <v>138</v>
      </c>
      <c r="P21" s="27">
        <f>O10</f>
        <v>1</v>
      </c>
      <c r="Q21" s="27" t="s">
        <v>326</v>
      </c>
      <c r="R21" s="27">
        <f>O10</f>
        <v>1</v>
      </c>
      <c r="S21" s="27" t="s">
        <v>326</v>
      </c>
      <c r="T21" s="27">
        <f>H12</f>
        <v>5</v>
      </c>
      <c r="V21" s="197"/>
    </row>
    <row r="22" spans="1:23" ht="18" customHeight="1">
      <c r="A22" s="196"/>
      <c r="B22" s="1" t="s">
        <v>424</v>
      </c>
      <c r="C22" s="2"/>
      <c r="D22" s="2"/>
      <c r="E22" s="2"/>
      <c r="F22" s="208"/>
      <c r="G22" s="208"/>
      <c r="H22" s="236" t="s">
        <v>523</v>
      </c>
      <c r="I22" s="195" t="s">
        <v>138</v>
      </c>
      <c r="J22" s="648">
        <f>SUM(J18:J21)</f>
        <v>1.5398674400000001</v>
      </c>
      <c r="K22" s="649"/>
      <c r="L22" s="3" t="s">
        <v>168</v>
      </c>
      <c r="O22" s="27" t="s">
        <v>138</v>
      </c>
      <c r="P22" s="637">
        <f>P21*R21*T21</f>
        <v>5</v>
      </c>
      <c r="Q22" s="639"/>
      <c r="R22" s="27" t="s">
        <v>168</v>
      </c>
      <c r="S22" s="27"/>
      <c r="T22" s="27"/>
      <c r="V22" s="197"/>
    </row>
    <row r="23" spans="1:23" ht="18" customHeight="1">
      <c r="A23" s="196"/>
      <c r="B23" s="47"/>
      <c r="C23" s="47"/>
      <c r="D23" s="47"/>
      <c r="E23" s="47"/>
      <c r="H23" s="27"/>
      <c r="I23" s="28"/>
      <c r="J23" s="211"/>
      <c r="L23" s="47"/>
      <c r="O23" s="27"/>
      <c r="P23" s="223"/>
      <c r="Q23" s="27"/>
      <c r="R23" s="216"/>
      <c r="S23" s="27"/>
      <c r="V23" s="197"/>
    </row>
    <row r="24" spans="1:23" ht="18" customHeight="1">
      <c r="A24" s="964" t="s">
        <v>547</v>
      </c>
      <c r="B24" s="965"/>
      <c r="C24" s="965"/>
      <c r="D24" s="965"/>
      <c r="E24" s="965"/>
      <c r="F24" s="965"/>
      <c r="G24" s="965"/>
      <c r="H24" s="965"/>
      <c r="I24" s="965"/>
      <c r="J24" s="965"/>
      <c r="K24" s="965"/>
      <c r="L24" s="965"/>
      <c r="M24" s="965"/>
      <c r="N24" s="965"/>
      <c r="O24" s="965"/>
      <c r="P24" s="965"/>
      <c r="Q24" s="965"/>
      <c r="R24" s="965"/>
      <c r="S24" s="965"/>
      <c r="T24" s="965"/>
      <c r="U24" s="965"/>
      <c r="V24" s="966"/>
      <c r="W24" s="30" t="s">
        <v>547</v>
      </c>
    </row>
    <row r="25" spans="1:23" ht="18" customHeight="1">
      <c r="A25" s="967"/>
      <c r="B25" s="965"/>
      <c r="C25" s="965"/>
      <c r="D25" s="965"/>
      <c r="E25" s="965"/>
      <c r="F25" s="965"/>
      <c r="G25" s="965"/>
      <c r="H25" s="965"/>
      <c r="I25" s="965"/>
      <c r="J25" s="965"/>
      <c r="K25" s="965"/>
      <c r="L25" s="965"/>
      <c r="M25" s="965"/>
      <c r="N25" s="965"/>
      <c r="O25" s="965"/>
      <c r="P25" s="965"/>
      <c r="Q25" s="965"/>
      <c r="R25" s="965"/>
      <c r="S25" s="965"/>
      <c r="T25" s="965"/>
      <c r="U25" s="965"/>
      <c r="V25" s="966"/>
    </row>
    <row r="26" spans="1:23" ht="18" customHeight="1">
      <c r="A26" s="196"/>
      <c r="Q26" s="223"/>
      <c r="R26" s="204"/>
      <c r="V26" s="197"/>
    </row>
    <row r="27" spans="1:23" ht="18" customHeight="1">
      <c r="A27" s="196"/>
      <c r="C27" s="28" t="s">
        <v>484</v>
      </c>
      <c r="D27" s="28" t="s">
        <v>138</v>
      </c>
      <c r="E27" s="28" t="s">
        <v>548</v>
      </c>
      <c r="F27" s="120" t="s">
        <v>504</v>
      </c>
      <c r="G27" s="28" t="s">
        <v>358</v>
      </c>
      <c r="H27" s="120" t="s">
        <v>502</v>
      </c>
      <c r="I27" s="28" t="s">
        <v>549</v>
      </c>
      <c r="J27" s="28" t="s">
        <v>506</v>
      </c>
      <c r="K27" s="28" t="s">
        <v>550</v>
      </c>
      <c r="L27" s="28" t="s">
        <v>522</v>
      </c>
      <c r="M27" s="28" t="s">
        <v>326</v>
      </c>
      <c r="N27" s="28">
        <v>1.3</v>
      </c>
      <c r="O27" s="47" t="s">
        <v>361</v>
      </c>
      <c r="V27" s="197"/>
    </row>
    <row r="28" spans="1:23" ht="18" customHeight="1">
      <c r="A28" s="196" t="s">
        <v>551</v>
      </c>
      <c r="C28" s="28"/>
      <c r="D28" s="28"/>
      <c r="E28" s="14"/>
      <c r="F28" s="14"/>
      <c r="G28" s="14"/>
      <c r="H28" s="14"/>
      <c r="I28" s="14"/>
      <c r="J28" s="14"/>
      <c r="K28" s="14"/>
      <c r="L28" s="14"/>
      <c r="M28" s="14"/>
      <c r="N28" s="14"/>
      <c r="O28" s="14"/>
      <c r="V28" s="197"/>
    </row>
    <row r="29" spans="1:23" ht="18" customHeight="1">
      <c r="A29" s="196"/>
      <c r="C29" s="28" t="s">
        <v>504</v>
      </c>
      <c r="D29" s="28" t="s">
        <v>138</v>
      </c>
      <c r="E29" s="28" t="s">
        <v>548</v>
      </c>
      <c r="F29" s="28">
        <v>1.3</v>
      </c>
      <c r="G29" s="28" t="s">
        <v>326</v>
      </c>
      <c r="H29" s="638" t="s">
        <v>484</v>
      </c>
      <c r="I29" s="920"/>
      <c r="J29" s="28" t="s">
        <v>326</v>
      </c>
      <c r="K29" s="28" t="s">
        <v>522</v>
      </c>
      <c r="L29" s="28" t="s">
        <v>552</v>
      </c>
      <c r="M29" s="28" t="s">
        <v>506</v>
      </c>
      <c r="N29" s="47" t="s">
        <v>553</v>
      </c>
      <c r="O29" s="120" t="s">
        <v>502</v>
      </c>
      <c r="V29" s="197"/>
    </row>
    <row r="30" spans="1:23" ht="18" customHeight="1">
      <c r="A30" s="196"/>
      <c r="V30" s="197"/>
    </row>
    <row r="31" spans="1:23" ht="18" customHeight="1">
      <c r="A31" s="180"/>
      <c r="B31" s="5"/>
      <c r="C31" s="47" t="s">
        <v>554</v>
      </c>
      <c r="D31" s="14"/>
      <c r="E31" s="14"/>
      <c r="F31" s="14"/>
      <c r="G31" s="14"/>
      <c r="H31" s="291"/>
      <c r="I31" s="120"/>
      <c r="J31" s="291"/>
      <c r="K31" s="291"/>
      <c r="L31" s="14"/>
      <c r="M31" s="14"/>
      <c r="N31" s="14"/>
      <c r="O31" s="14"/>
      <c r="P31" s="14"/>
      <c r="Q31" s="120" t="s">
        <v>555</v>
      </c>
      <c r="R31" s="102" t="s">
        <v>138</v>
      </c>
      <c r="S31" s="638">
        <f>'Parameters &amp; Fault Cal. (4)'!Q32</f>
        <v>40000</v>
      </c>
      <c r="T31" s="638"/>
      <c r="U31" s="47" t="s">
        <v>9</v>
      </c>
      <c r="V31" s="197"/>
    </row>
    <row r="32" spans="1:23" ht="18" customHeight="1">
      <c r="A32" s="180"/>
      <c r="B32" s="5"/>
      <c r="C32" s="47" t="s">
        <v>556</v>
      </c>
      <c r="D32" s="14"/>
      <c r="E32" s="14"/>
      <c r="F32" s="18"/>
      <c r="G32" s="18"/>
      <c r="H32" s="291"/>
      <c r="I32" s="120"/>
      <c r="J32" s="291"/>
      <c r="K32" s="291"/>
      <c r="L32" s="14"/>
      <c r="M32" s="14"/>
      <c r="N32" s="14"/>
      <c r="O32" s="14"/>
      <c r="P32" s="14"/>
      <c r="Q32" s="120" t="s">
        <v>434</v>
      </c>
      <c r="R32" s="102" t="s">
        <v>138</v>
      </c>
      <c r="S32" s="638">
        <f>H10</f>
        <v>2500</v>
      </c>
      <c r="T32" s="638"/>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638">
        <f>H13</f>
        <v>0</v>
      </c>
      <c r="T33" s="638"/>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641">
        <f>P22</f>
        <v>5</v>
      </c>
      <c r="T34" s="638"/>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641">
        <f>J22</f>
        <v>1.5398674400000001</v>
      </c>
      <c r="T35" s="638"/>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638">
        <f>O10</f>
        <v>1</v>
      </c>
      <c r="T36" s="638"/>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638">
        <v>20</v>
      </c>
      <c r="T37" s="638"/>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639">
        <v>30</v>
      </c>
      <c r="T38" s="639"/>
      <c r="U38" s="291"/>
      <c r="V38" s="312"/>
      <c r="W38" s="291"/>
      <c r="X38" s="291"/>
      <c r="Y38" s="291"/>
    </row>
    <row r="39" spans="1:25" ht="18" customHeight="1">
      <c r="A39" s="196"/>
      <c r="V39" s="197"/>
    </row>
    <row r="40" spans="1:25" ht="18" hidden="1" customHeight="1">
      <c r="A40" s="196"/>
      <c r="C40" s="120" t="s">
        <v>504</v>
      </c>
      <c r="D40" s="28" t="s">
        <v>138</v>
      </c>
      <c r="E40" s="28" t="s">
        <v>548</v>
      </c>
      <c r="F40" s="233">
        <v>1.3</v>
      </c>
      <c r="G40" s="233" t="s">
        <v>326</v>
      </c>
      <c r="H40" s="861" t="s">
        <v>484</v>
      </c>
      <c r="I40" s="968"/>
      <c r="J40" s="233" t="s">
        <v>326</v>
      </c>
      <c r="K40" s="233" t="s">
        <v>522</v>
      </c>
      <c r="L40" s="233" t="s">
        <v>552</v>
      </c>
      <c r="M40" s="233" t="s">
        <v>506</v>
      </c>
      <c r="N40" s="560" t="s">
        <v>553</v>
      </c>
      <c r="O40" s="575" t="s">
        <v>502</v>
      </c>
      <c r="V40" s="197"/>
    </row>
    <row r="41" spans="1:25" ht="18" hidden="1" customHeight="1">
      <c r="A41" s="196"/>
      <c r="C41" s="120"/>
      <c r="D41" s="27" t="s">
        <v>138</v>
      </c>
      <c r="E41" s="27" t="s">
        <v>548</v>
      </c>
      <c r="F41" s="257">
        <v>1.3</v>
      </c>
      <c r="G41" s="257" t="s">
        <v>326</v>
      </c>
      <c r="H41" s="969">
        <f>S33</f>
        <v>0</v>
      </c>
      <c r="I41" s="970"/>
      <c r="J41" s="257" t="s">
        <v>326</v>
      </c>
      <c r="K41" s="257">
        <f>S36</f>
        <v>1</v>
      </c>
      <c r="L41" s="257" t="s">
        <v>552</v>
      </c>
      <c r="M41" s="257">
        <f>S37</f>
        <v>20</v>
      </c>
      <c r="N41" s="474" t="s">
        <v>553</v>
      </c>
      <c r="O41" s="516">
        <f>S34</f>
        <v>5</v>
      </c>
      <c r="V41" s="197"/>
    </row>
    <row r="42" spans="1:25" ht="18" hidden="1" customHeight="1">
      <c r="A42" s="196"/>
      <c r="D42" s="27" t="s">
        <v>138</v>
      </c>
      <c r="E42" s="639">
        <f>((F41*H41)/(K41*M41))-O41</f>
        <v>-5</v>
      </c>
      <c r="F42" s="639"/>
      <c r="G42" s="27" t="s">
        <v>168</v>
      </c>
      <c r="V42" s="197"/>
    </row>
    <row r="43" spans="1:25" ht="18" customHeight="1">
      <c r="A43" s="196"/>
      <c r="D43" s="27"/>
      <c r="E43" s="27"/>
      <c r="F43" s="27"/>
      <c r="G43" s="27"/>
      <c r="V43" s="197"/>
    </row>
    <row r="44" spans="1:25" ht="18" customHeight="1">
      <c r="A44" s="196"/>
      <c r="D44" s="27"/>
      <c r="E44" s="27"/>
      <c r="F44" s="27"/>
      <c r="G44" s="27"/>
      <c r="V44" s="197"/>
    </row>
    <row r="45" spans="1:25" ht="18" customHeight="1">
      <c r="A45" s="196"/>
      <c r="D45" s="27"/>
      <c r="E45" s="27"/>
      <c r="F45" s="27"/>
      <c r="G45" s="27"/>
      <c r="V45" s="197"/>
    </row>
    <row r="46" spans="1:25" ht="18" customHeight="1">
      <c r="A46" s="196"/>
      <c r="D46" s="27"/>
      <c r="E46" s="27"/>
      <c r="F46" s="27"/>
      <c r="G46" s="27"/>
      <c r="V46" s="197"/>
    </row>
    <row r="47" spans="1:25" ht="18" customHeight="1">
      <c r="A47" s="196"/>
      <c r="D47" s="27"/>
      <c r="E47" s="27"/>
      <c r="F47" s="27"/>
      <c r="G47" s="27"/>
      <c r="V47" s="197"/>
    </row>
    <row r="48" spans="1:25" ht="18" customHeight="1">
      <c r="A48" s="196"/>
      <c r="V48" s="197"/>
    </row>
    <row r="49" spans="1:22" s="14" customFormat="1" ht="18" customHeight="1">
      <c r="A49" s="206"/>
      <c r="B49" s="207"/>
      <c r="C49" s="207"/>
      <c r="D49" s="207"/>
      <c r="E49" s="207"/>
      <c r="F49" s="207"/>
      <c r="G49" s="207"/>
      <c r="H49" s="207"/>
      <c r="I49" s="207"/>
      <c r="J49" s="207"/>
      <c r="K49" s="207"/>
      <c r="L49" s="207"/>
      <c r="M49" s="207"/>
      <c r="N49" s="207"/>
      <c r="O49" s="207"/>
      <c r="P49" s="207"/>
      <c r="Q49" s="236"/>
      <c r="R49" s="194"/>
      <c r="S49" s="237"/>
      <c r="T49" s="207"/>
      <c r="U49" s="207"/>
      <c r="V49" s="140"/>
    </row>
    <row r="50" spans="1:22" ht="18" customHeight="1">
      <c r="A50" s="238"/>
      <c r="B50" s="239"/>
      <c r="C50" s="239"/>
      <c r="D50" s="239"/>
      <c r="E50" s="239"/>
      <c r="F50" s="239"/>
      <c r="G50" s="239"/>
      <c r="H50" s="239"/>
      <c r="I50" s="239"/>
      <c r="J50" s="239"/>
      <c r="K50" s="239"/>
      <c r="L50" s="239"/>
      <c r="M50" s="239"/>
      <c r="N50" s="239"/>
      <c r="O50" s="239"/>
      <c r="P50" s="239"/>
      <c r="Q50" s="239"/>
      <c r="R50" s="239"/>
      <c r="S50" s="239"/>
      <c r="T50" s="239"/>
      <c r="U50" s="239"/>
      <c r="V50" s="240"/>
    </row>
    <row r="51" spans="1:22" ht="18" customHeight="1">
      <c r="A51" s="196"/>
      <c r="E51" s="256" t="s">
        <v>123</v>
      </c>
      <c r="F51" s="27" t="s">
        <v>138</v>
      </c>
      <c r="G51" s="638" t="s">
        <v>555</v>
      </c>
      <c r="H51" s="638"/>
      <c r="I51" s="203" t="s">
        <v>353</v>
      </c>
      <c r="J51" s="639" t="s">
        <v>434</v>
      </c>
      <c r="K51" s="639"/>
      <c r="V51" s="197"/>
    </row>
    <row r="52" spans="1:22" ht="18" customHeight="1">
      <c r="A52" s="196"/>
      <c r="F52" s="27" t="s">
        <v>138</v>
      </c>
      <c r="G52" s="639">
        <f>S31</f>
        <v>40000</v>
      </c>
      <c r="H52" s="639"/>
      <c r="I52" s="203" t="s">
        <v>353</v>
      </c>
      <c r="J52" s="639">
        <f>S32</f>
        <v>2500</v>
      </c>
      <c r="K52" s="639"/>
      <c r="V52" s="197"/>
    </row>
    <row r="53" spans="1:22" ht="18" customHeight="1">
      <c r="A53" s="196"/>
      <c r="F53" s="27" t="s">
        <v>138</v>
      </c>
      <c r="G53" s="637">
        <f>G52/J52</f>
        <v>16</v>
      </c>
      <c r="H53" s="637"/>
      <c r="I53" s="27"/>
      <c r="J53" s="27"/>
      <c r="K53" s="27"/>
      <c r="V53" s="197"/>
    </row>
    <row r="54" spans="1:22" ht="18" customHeight="1">
      <c r="A54" s="196"/>
      <c r="V54" s="197"/>
    </row>
    <row r="55" spans="1:22" ht="17.399999999999999" customHeight="1">
      <c r="A55" s="196"/>
      <c r="E55" s="256" t="s">
        <v>564</v>
      </c>
      <c r="F55" s="27" t="s">
        <v>138</v>
      </c>
      <c r="G55" s="233" t="s">
        <v>506</v>
      </c>
      <c r="H55" s="233" t="s">
        <v>565</v>
      </c>
      <c r="I55" s="575" t="s">
        <v>502</v>
      </c>
      <c r="J55" s="233" t="s">
        <v>358</v>
      </c>
      <c r="K55" s="575" t="s">
        <v>504</v>
      </c>
      <c r="L55" s="233" t="s">
        <v>550</v>
      </c>
      <c r="M55" s="575" t="s">
        <v>502</v>
      </c>
      <c r="N55" s="233" t="s">
        <v>358</v>
      </c>
      <c r="O55" s="575" t="s">
        <v>523</v>
      </c>
      <c r="P55" s="28" t="s">
        <v>361</v>
      </c>
      <c r="V55" s="197"/>
    </row>
    <row r="56" spans="1:22" ht="18" customHeight="1">
      <c r="A56" s="196"/>
      <c r="F56" s="27" t="s">
        <v>138</v>
      </c>
      <c r="G56" s="254">
        <f>S37</f>
        <v>20</v>
      </c>
      <c r="H56" s="257" t="s">
        <v>565</v>
      </c>
      <c r="I56" s="313">
        <f>S34</f>
        <v>5</v>
      </c>
      <c r="J56" s="257" t="s">
        <v>358</v>
      </c>
      <c r="K56" s="313">
        <f>S38</f>
        <v>30</v>
      </c>
      <c r="L56" s="257" t="s">
        <v>550</v>
      </c>
      <c r="M56" s="313">
        <f>S34</f>
        <v>5</v>
      </c>
      <c r="N56" s="257" t="s">
        <v>358</v>
      </c>
      <c r="O56" s="313">
        <f>S35</f>
        <v>1.5398674400000001</v>
      </c>
      <c r="P56" s="27" t="s">
        <v>361</v>
      </c>
      <c r="V56" s="197"/>
    </row>
    <row r="57" spans="1:22" ht="18" customHeight="1">
      <c r="A57" s="196"/>
      <c r="F57" s="27" t="s">
        <v>138</v>
      </c>
      <c r="G57" s="640">
        <f>G56*((I56+K56)/(M56+O56))</f>
        <v>107.03580866464779</v>
      </c>
      <c r="H57" s="640"/>
      <c r="I57" s="254"/>
      <c r="J57" s="254"/>
      <c r="K57" s="254"/>
      <c r="L57" s="254"/>
      <c r="M57" s="254"/>
      <c r="N57" s="254"/>
      <c r="O57" s="254"/>
      <c r="V57" s="197"/>
    </row>
    <row r="58" spans="1:22" ht="18" customHeight="1">
      <c r="A58" s="196"/>
      <c r="V58" s="197"/>
    </row>
    <row r="59" spans="1:22" ht="18" customHeight="1">
      <c r="A59" s="196"/>
      <c r="E59" s="256" t="s">
        <v>566</v>
      </c>
      <c r="F59" s="27" t="str">
        <f>IF(D60&gt;G60,"&gt;","&lt;")</f>
        <v>&gt;</v>
      </c>
      <c r="G59" s="308" t="s">
        <v>123</v>
      </c>
      <c r="V59" s="197"/>
    </row>
    <row r="60" spans="1:22" ht="18" customHeight="1">
      <c r="A60" s="196"/>
      <c r="D60" s="637">
        <f>G57</f>
        <v>107.03580866464779</v>
      </c>
      <c r="E60" s="637"/>
      <c r="F60" s="27" t="str">
        <f>F59</f>
        <v>&gt;</v>
      </c>
      <c r="G60" s="637">
        <f>G53</f>
        <v>16</v>
      </c>
      <c r="H60" s="637"/>
      <c r="V60" s="197"/>
    </row>
    <row r="61" spans="1:22" ht="18" customHeight="1">
      <c r="A61" s="196"/>
      <c r="E61" s="256" t="s">
        <v>489</v>
      </c>
      <c r="G61" s="18" t="str">
        <f>IF(F59="&gt;","Suitably Dimentioned","Under Dimentioned")</f>
        <v>Suitably Dimentioned</v>
      </c>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196"/>
      <c r="V87" s="197"/>
    </row>
    <row r="88" spans="1:22" ht="18" customHeight="1">
      <c r="A88" s="196"/>
      <c r="V88" s="197"/>
    </row>
    <row r="89" spans="1:22" ht="18" customHeight="1">
      <c r="A89" s="196"/>
      <c r="V89" s="197"/>
    </row>
    <row r="90" spans="1:22" s="14" customFormat="1" ht="18" customHeight="1">
      <c r="A90" s="206"/>
      <c r="B90" s="207"/>
      <c r="C90" s="207"/>
      <c r="D90" s="207"/>
      <c r="E90" s="207"/>
      <c r="F90" s="207"/>
      <c r="G90" s="207"/>
      <c r="H90" s="207"/>
      <c r="I90" s="207"/>
      <c r="J90" s="207"/>
      <c r="K90" s="207"/>
      <c r="L90" s="207"/>
      <c r="M90" s="207"/>
      <c r="N90" s="207"/>
      <c r="O90" s="207"/>
      <c r="P90" s="207"/>
      <c r="Q90" s="236"/>
      <c r="R90" s="194"/>
      <c r="S90" s="237"/>
      <c r="T90" s="207"/>
      <c r="U90" s="207"/>
      <c r="V90" s="140"/>
    </row>
    <row r="91" spans="1:22" ht="18" hidden="1" customHeight="1">
      <c r="A91" s="238"/>
      <c r="B91" s="239"/>
      <c r="C91" s="239"/>
      <c r="D91" s="239"/>
      <c r="E91" s="239"/>
      <c r="F91" s="239"/>
      <c r="G91" s="239"/>
      <c r="H91" s="239"/>
      <c r="I91" s="239"/>
      <c r="J91" s="239"/>
      <c r="K91" s="239"/>
      <c r="L91" s="239"/>
      <c r="M91" s="239"/>
      <c r="N91" s="239"/>
      <c r="O91" s="239"/>
      <c r="P91" s="239"/>
      <c r="Q91" s="239"/>
      <c r="R91" s="239"/>
      <c r="S91" s="239"/>
      <c r="T91" s="239"/>
      <c r="U91" s="239"/>
      <c r="V91" s="240"/>
    </row>
    <row r="92" spans="1:22" ht="18" hidden="1" customHeight="1">
      <c r="A92" s="196"/>
      <c r="B92" s="650" t="str">
        <f>B7</f>
        <v>T1</v>
      </c>
      <c r="C92" s="651"/>
      <c r="D92" s="663" t="str">
        <f>D7</f>
        <v>Core3</v>
      </c>
      <c r="E92" s="664"/>
      <c r="F92" s="267"/>
      <c r="H92" s="639">
        <f>H7</f>
        <v>0</v>
      </c>
      <c r="I92" s="639"/>
      <c r="J92" s="639"/>
      <c r="K92" s="639"/>
      <c r="L92" s="639"/>
      <c r="M92" s="639"/>
      <c r="P92" s="198"/>
      <c r="S92" s="199" t="s">
        <v>398</v>
      </c>
      <c r="T92" s="658" t="str">
        <f>T7</f>
        <v>REF650</v>
      </c>
      <c r="U92" s="659"/>
      <c r="V92" s="197"/>
    </row>
    <row r="93" spans="1:22" ht="18" hidden="1" customHeight="1">
      <c r="A93" s="196"/>
      <c r="B93" s="660">
        <f>B8</f>
        <v>0</v>
      </c>
      <c r="C93" s="660"/>
      <c r="D93" s="665"/>
      <c r="E93" s="666"/>
      <c r="F93" s="267"/>
      <c r="T93" s="658" t="str">
        <f>T8</f>
        <v>REC670</v>
      </c>
      <c r="U93" s="659"/>
      <c r="V93" s="197"/>
    </row>
    <row r="94" spans="1:22" ht="18" hidden="1" customHeight="1">
      <c r="A94" s="196"/>
      <c r="H94" s="661" t="s">
        <v>401</v>
      </c>
      <c r="I94" s="661"/>
      <c r="J94" s="662" t="s">
        <v>402</v>
      </c>
      <c r="K94" s="662"/>
      <c r="L94" s="701" t="s">
        <v>403</v>
      </c>
      <c r="M94" s="701"/>
      <c r="T94" s="658" t="str">
        <f>T9</f>
        <v>IDM+9</v>
      </c>
      <c r="U94" s="659"/>
      <c r="V94" s="197"/>
    </row>
    <row r="95" spans="1:22" ht="18" hidden="1" customHeight="1">
      <c r="A95" s="196"/>
      <c r="B95" s="47" t="s">
        <v>404</v>
      </c>
      <c r="H95" s="650">
        <f>H10</f>
        <v>2500</v>
      </c>
      <c r="I95" s="651"/>
      <c r="J95" s="652" t="str">
        <f>J10</f>
        <v>-</v>
      </c>
      <c r="K95" s="653"/>
      <c r="L95" s="650" t="str">
        <f>L10</f>
        <v>-</v>
      </c>
      <c r="M95" s="651"/>
      <c r="N95" s="203" t="s">
        <v>353</v>
      </c>
      <c r="O95" s="268">
        <f>O10</f>
        <v>1</v>
      </c>
      <c r="P95" s="27" t="s">
        <v>9</v>
      </c>
      <c r="R95" s="267"/>
      <c r="S95" s="267"/>
      <c r="V95" s="197"/>
    </row>
    <row r="96" spans="1:22" ht="18" hidden="1" customHeight="1">
      <c r="A96" s="196"/>
      <c r="B96" s="47" t="s">
        <v>405</v>
      </c>
      <c r="H96" s="14"/>
      <c r="I96" s="14"/>
      <c r="J96" s="650" t="str">
        <f>H11</f>
        <v>5P20</v>
      </c>
      <c r="K96" s="651"/>
      <c r="L96" s="14"/>
      <c r="M96" s="14"/>
      <c r="V96" s="197"/>
    </row>
    <row r="97" spans="1:23" ht="18" hidden="1" customHeight="1">
      <c r="A97" s="196"/>
      <c r="B97" s="47" t="s">
        <v>407</v>
      </c>
      <c r="I97" s="120" t="s">
        <v>508</v>
      </c>
      <c r="J97" s="940" t="s">
        <v>7</v>
      </c>
      <c r="K97" s="941"/>
      <c r="L97" s="204" t="s">
        <v>344</v>
      </c>
      <c r="V97" s="197"/>
    </row>
    <row r="98" spans="1:23" ht="18" hidden="1" customHeight="1">
      <c r="A98" s="196"/>
      <c r="B98" s="47" t="s">
        <v>409</v>
      </c>
      <c r="I98" s="120" t="s">
        <v>509</v>
      </c>
      <c r="J98" s="940" t="s">
        <v>7</v>
      </c>
      <c r="K98" s="941"/>
      <c r="L98" s="14" t="s">
        <v>316</v>
      </c>
      <c r="T98" s="307"/>
      <c r="U98" s="18"/>
      <c r="V98" s="197"/>
      <c r="W98" s="30" t="e">
        <f>G146</f>
        <v>#VALUE!</v>
      </c>
    </row>
    <row r="99" spans="1:23" ht="18" hidden="1" customHeight="1">
      <c r="A99" s="196"/>
      <c r="B99" s="14" t="s">
        <v>412</v>
      </c>
      <c r="I99" s="120" t="s">
        <v>413</v>
      </c>
      <c r="J99" s="940" t="s">
        <v>7</v>
      </c>
      <c r="K99" s="941"/>
      <c r="L99" s="14" t="s">
        <v>414</v>
      </c>
      <c r="V99" s="197"/>
    </row>
    <row r="100" spans="1:23" ht="18" hidden="1" customHeight="1">
      <c r="A100" s="196"/>
      <c r="V100" s="197"/>
    </row>
    <row r="101" spans="1:23" ht="18" hidden="1" customHeight="1">
      <c r="A101" s="205" t="s">
        <v>415</v>
      </c>
      <c r="V101" s="197"/>
    </row>
    <row r="102" spans="1:23" ht="18" hidden="1" customHeight="1">
      <c r="A102" s="196"/>
      <c r="V102" s="197"/>
    </row>
    <row r="103" spans="1:23" ht="18" hidden="1" customHeight="1">
      <c r="A103" s="196"/>
      <c r="B103" s="141" t="s">
        <v>416</v>
      </c>
      <c r="C103" s="285"/>
      <c r="D103" s="146" t="str">
        <f>T92</f>
        <v>REF650</v>
      </c>
      <c r="E103" s="239"/>
      <c r="F103" s="239"/>
      <c r="G103" s="239"/>
      <c r="H103" s="145"/>
      <c r="I103" s="272" t="s">
        <v>138</v>
      </c>
      <c r="J103" s="648">
        <f>J18</f>
        <v>0.02</v>
      </c>
      <c r="K103" s="649"/>
      <c r="L103" s="3" t="s">
        <v>168</v>
      </c>
      <c r="N103" s="209" t="s">
        <v>521</v>
      </c>
      <c r="V103" s="197"/>
    </row>
    <row r="104" spans="1:23" ht="18" hidden="1" customHeight="1">
      <c r="A104" s="196"/>
      <c r="B104" s="96" t="s">
        <v>416</v>
      </c>
      <c r="D104" s="308" t="str">
        <f>T93</f>
        <v>REC670</v>
      </c>
      <c r="I104" s="189" t="s">
        <v>138</v>
      </c>
      <c r="J104" s="642">
        <f>J19</f>
        <v>0.02</v>
      </c>
      <c r="K104" s="643"/>
      <c r="L104" s="210" t="s">
        <v>168</v>
      </c>
      <c r="P104" s="256"/>
      <c r="V104" s="197"/>
    </row>
    <row r="105" spans="1:23" ht="18" hidden="1" customHeight="1">
      <c r="A105" s="196"/>
      <c r="B105" s="96" t="s">
        <v>416</v>
      </c>
      <c r="C105" s="14"/>
      <c r="D105" s="47" t="str">
        <f>T94</f>
        <v>IDM+9</v>
      </c>
      <c r="E105" s="14"/>
      <c r="G105" s="211"/>
      <c r="H105" s="27"/>
      <c r="I105" s="101" t="s">
        <v>138</v>
      </c>
      <c r="J105" s="644">
        <f>J20</f>
        <v>5.8000000000000003E-2</v>
      </c>
      <c r="K105" s="645"/>
      <c r="L105" s="214" t="s">
        <v>168</v>
      </c>
      <c r="N105" s="120" t="s">
        <v>502</v>
      </c>
      <c r="O105" s="27" t="s">
        <v>138</v>
      </c>
      <c r="P105" s="27" t="s">
        <v>522</v>
      </c>
      <c r="Q105" s="27" t="s">
        <v>326</v>
      </c>
      <c r="R105" s="27" t="s">
        <v>522</v>
      </c>
      <c r="S105" s="27" t="s">
        <v>326</v>
      </c>
      <c r="T105" s="27" t="s">
        <v>431</v>
      </c>
      <c r="V105" s="197"/>
    </row>
    <row r="106" spans="1:23" ht="18" hidden="1" customHeight="1">
      <c r="A106" s="196"/>
      <c r="B106" s="196" t="s">
        <v>423</v>
      </c>
      <c r="C106" s="14"/>
      <c r="D106" s="14"/>
      <c r="E106" s="14"/>
      <c r="H106" s="27"/>
      <c r="I106" s="101" t="s">
        <v>138</v>
      </c>
      <c r="J106" s="646">
        <f>J21</f>
        <v>1.44186744</v>
      </c>
      <c r="K106" s="647"/>
      <c r="L106" s="309" t="s">
        <v>168</v>
      </c>
      <c r="O106" s="27" t="s">
        <v>138</v>
      </c>
      <c r="P106" s="27">
        <f>O95</f>
        <v>1</v>
      </c>
      <c r="Q106" s="27" t="s">
        <v>326</v>
      </c>
      <c r="R106" s="27">
        <f>O95</f>
        <v>1</v>
      </c>
      <c r="S106" s="27" t="s">
        <v>326</v>
      </c>
      <c r="T106" s="27" t="str">
        <f>J97</f>
        <v>-</v>
      </c>
      <c r="V106" s="197"/>
    </row>
    <row r="107" spans="1:23" ht="18" hidden="1" customHeight="1">
      <c r="A107" s="196"/>
      <c r="B107" s="1" t="s">
        <v>424</v>
      </c>
      <c r="C107" s="2"/>
      <c r="D107" s="2"/>
      <c r="E107" s="2"/>
      <c r="F107" s="208"/>
      <c r="G107" s="208"/>
      <c r="H107" s="236" t="s">
        <v>523</v>
      </c>
      <c r="I107" s="195" t="s">
        <v>138</v>
      </c>
      <c r="J107" s="648">
        <f>SUM(J103:J106)</f>
        <v>1.5398674400000001</v>
      </c>
      <c r="K107" s="649"/>
      <c r="L107" s="3" t="s">
        <v>168</v>
      </c>
      <c r="O107" s="27" t="s">
        <v>138</v>
      </c>
      <c r="P107" s="637" t="e">
        <f>P106*R106*T106</f>
        <v>#VALUE!</v>
      </c>
      <c r="Q107" s="639"/>
      <c r="R107" s="27" t="s">
        <v>168</v>
      </c>
      <c r="S107" s="27"/>
      <c r="T107" s="27"/>
      <c r="V107" s="197"/>
    </row>
    <row r="108" spans="1:23" ht="18" hidden="1" customHeight="1">
      <c r="A108" s="196"/>
      <c r="B108" s="47"/>
      <c r="C108" s="47"/>
      <c r="D108" s="47"/>
      <c r="E108" s="47"/>
      <c r="H108" s="27"/>
      <c r="I108" s="28"/>
      <c r="J108" s="211"/>
      <c r="L108" s="47"/>
      <c r="O108" s="27"/>
      <c r="P108" s="223"/>
      <c r="Q108" s="27"/>
      <c r="R108" s="216"/>
      <c r="S108" s="27"/>
      <c r="V108" s="197"/>
    </row>
    <row r="109" spans="1:23" ht="18" hidden="1" customHeight="1">
      <c r="A109" s="964" t="s">
        <v>547</v>
      </c>
      <c r="B109" s="965"/>
      <c r="C109" s="965"/>
      <c r="D109" s="965"/>
      <c r="E109" s="965"/>
      <c r="F109" s="965"/>
      <c r="G109" s="965"/>
      <c r="H109" s="965"/>
      <c r="I109" s="965"/>
      <c r="J109" s="965"/>
      <c r="K109" s="965"/>
      <c r="L109" s="965"/>
      <c r="M109" s="965"/>
      <c r="N109" s="965"/>
      <c r="O109" s="965"/>
      <c r="P109" s="965"/>
      <c r="Q109" s="965"/>
      <c r="R109" s="965"/>
      <c r="S109" s="965"/>
      <c r="T109" s="965"/>
      <c r="U109" s="965"/>
      <c r="V109" s="966"/>
    </row>
    <row r="110" spans="1:23" ht="18" hidden="1" customHeight="1">
      <c r="A110" s="967"/>
      <c r="B110" s="965"/>
      <c r="C110" s="965"/>
      <c r="D110" s="965"/>
      <c r="E110" s="965"/>
      <c r="F110" s="965"/>
      <c r="G110" s="965"/>
      <c r="H110" s="965"/>
      <c r="I110" s="965"/>
      <c r="J110" s="965"/>
      <c r="K110" s="965"/>
      <c r="L110" s="965"/>
      <c r="M110" s="965"/>
      <c r="N110" s="965"/>
      <c r="O110" s="965"/>
      <c r="P110" s="965"/>
      <c r="Q110" s="965"/>
      <c r="R110" s="965"/>
      <c r="S110" s="965"/>
      <c r="T110" s="965"/>
      <c r="U110" s="965"/>
      <c r="V110" s="966"/>
    </row>
    <row r="111" spans="1:23" ht="18" hidden="1" customHeight="1">
      <c r="A111" s="196"/>
      <c r="Q111" s="223"/>
      <c r="R111" s="204"/>
      <c r="V111" s="197"/>
    </row>
    <row r="112" spans="1:23" ht="18" hidden="1" customHeight="1">
      <c r="A112" s="196"/>
      <c r="C112" s="28" t="s">
        <v>484</v>
      </c>
      <c r="D112" s="28" t="s">
        <v>138</v>
      </c>
      <c r="E112" s="28" t="s">
        <v>548</v>
      </c>
      <c r="F112" s="120" t="s">
        <v>504</v>
      </c>
      <c r="G112" s="28" t="s">
        <v>358</v>
      </c>
      <c r="H112" s="120" t="s">
        <v>502</v>
      </c>
      <c r="I112" s="28" t="s">
        <v>549</v>
      </c>
      <c r="J112" s="28" t="s">
        <v>506</v>
      </c>
      <c r="K112" s="28" t="s">
        <v>550</v>
      </c>
      <c r="L112" s="28" t="s">
        <v>522</v>
      </c>
      <c r="M112" s="28" t="s">
        <v>326</v>
      </c>
      <c r="N112" s="28">
        <v>1.3</v>
      </c>
      <c r="O112" s="47" t="s">
        <v>361</v>
      </c>
      <c r="P112" s="14"/>
      <c r="V112" s="197"/>
    </row>
    <row r="113" spans="1:25" ht="18" hidden="1" customHeight="1">
      <c r="A113" s="196" t="s">
        <v>551</v>
      </c>
      <c r="C113" s="28"/>
      <c r="D113" s="28"/>
      <c r="E113" s="14"/>
      <c r="F113" s="14"/>
      <c r="G113" s="14"/>
      <c r="H113" s="14"/>
      <c r="I113" s="14"/>
      <c r="J113" s="14"/>
      <c r="K113" s="14"/>
      <c r="L113" s="14"/>
      <c r="M113" s="14"/>
      <c r="N113" s="14"/>
      <c r="O113" s="14"/>
      <c r="P113" s="14"/>
      <c r="V113" s="197"/>
    </row>
    <row r="114" spans="1:25" ht="18" hidden="1" customHeight="1">
      <c r="A114" s="196"/>
      <c r="C114" s="28" t="s">
        <v>504</v>
      </c>
      <c r="D114" s="28" t="s">
        <v>138</v>
      </c>
      <c r="E114" s="28" t="s">
        <v>548</v>
      </c>
      <c r="F114" s="28">
        <v>1.3</v>
      </c>
      <c r="G114" s="28" t="s">
        <v>326</v>
      </c>
      <c r="H114" s="638" t="s">
        <v>484</v>
      </c>
      <c r="I114" s="920"/>
      <c r="J114" s="28" t="s">
        <v>326</v>
      </c>
      <c r="K114" s="28" t="s">
        <v>522</v>
      </c>
      <c r="L114" s="28" t="s">
        <v>552</v>
      </c>
      <c r="M114" s="28" t="s">
        <v>506</v>
      </c>
      <c r="N114" s="47" t="s">
        <v>553</v>
      </c>
      <c r="O114" s="120" t="s">
        <v>502</v>
      </c>
      <c r="P114" s="14"/>
      <c r="V114" s="197"/>
    </row>
    <row r="115" spans="1:25" ht="18" hidden="1" customHeight="1">
      <c r="A115" s="196"/>
      <c r="V115" s="197"/>
    </row>
    <row r="116" spans="1:25" ht="18" hidden="1" customHeight="1">
      <c r="A116" s="180"/>
      <c r="B116" s="5"/>
      <c r="C116" s="47" t="s">
        <v>554</v>
      </c>
      <c r="D116" s="14"/>
      <c r="E116" s="14"/>
      <c r="F116" s="14"/>
      <c r="G116" s="14"/>
      <c r="H116" s="291"/>
      <c r="I116" s="120"/>
      <c r="J116" s="291"/>
      <c r="K116" s="291"/>
      <c r="L116" s="14"/>
      <c r="M116" s="14"/>
      <c r="N116" s="14"/>
      <c r="O116" s="14"/>
      <c r="P116" s="14"/>
      <c r="Q116" s="120" t="s">
        <v>555</v>
      </c>
      <c r="R116" s="102" t="s">
        <v>138</v>
      </c>
      <c r="S116" s="638">
        <f>S31</f>
        <v>40000</v>
      </c>
      <c r="T116" s="638"/>
      <c r="U116" s="47" t="s">
        <v>9</v>
      </c>
      <c r="V116" s="197"/>
    </row>
    <row r="117" spans="1:25" ht="18" hidden="1" customHeight="1">
      <c r="A117" s="180"/>
      <c r="B117" s="5"/>
      <c r="C117" s="47" t="s">
        <v>556</v>
      </c>
      <c r="D117" s="14"/>
      <c r="E117" s="14"/>
      <c r="F117" s="18"/>
      <c r="G117" s="18"/>
      <c r="H117" s="291"/>
      <c r="I117" s="120"/>
      <c r="J117" s="291"/>
      <c r="K117" s="291"/>
      <c r="L117" s="14"/>
      <c r="M117" s="14"/>
      <c r="N117" s="14"/>
      <c r="O117" s="14"/>
      <c r="P117" s="14"/>
      <c r="Q117" s="120" t="s">
        <v>434</v>
      </c>
      <c r="R117" s="102" t="s">
        <v>138</v>
      </c>
      <c r="S117" s="638" t="str">
        <f>J95</f>
        <v>-</v>
      </c>
      <c r="T117" s="638"/>
      <c r="U117" s="14" t="s">
        <v>9</v>
      </c>
      <c r="V117" s="197"/>
    </row>
    <row r="118" spans="1:25" ht="18" hidden="1" customHeight="1">
      <c r="A118" s="180"/>
      <c r="B118" s="5"/>
      <c r="C118" s="47" t="s">
        <v>557</v>
      </c>
      <c r="D118" s="14"/>
      <c r="E118" s="14"/>
      <c r="F118" s="18"/>
      <c r="G118" s="18"/>
      <c r="H118" s="291"/>
      <c r="I118" s="120"/>
      <c r="J118" s="291"/>
      <c r="K118" s="291"/>
      <c r="L118" s="14"/>
      <c r="M118" s="14"/>
      <c r="N118" s="14"/>
      <c r="O118" s="14"/>
      <c r="P118" s="14"/>
      <c r="Q118" s="120" t="s">
        <v>484</v>
      </c>
      <c r="R118" s="102" t="s">
        <v>138</v>
      </c>
      <c r="S118" s="638" t="str">
        <f>J98</f>
        <v>-</v>
      </c>
      <c r="T118" s="638"/>
      <c r="U118" s="14" t="s">
        <v>316</v>
      </c>
      <c r="V118" s="197"/>
    </row>
    <row r="119" spans="1:25" ht="18" hidden="1" customHeight="1">
      <c r="A119" s="180"/>
      <c r="B119" s="5"/>
      <c r="C119" s="47" t="s">
        <v>558</v>
      </c>
      <c r="D119" s="14"/>
      <c r="E119" s="14"/>
      <c r="F119" s="18"/>
      <c r="G119" s="18"/>
      <c r="H119" s="291"/>
      <c r="I119" s="120"/>
      <c r="J119" s="291"/>
      <c r="K119" s="291"/>
      <c r="L119" s="14"/>
      <c r="M119" s="14"/>
      <c r="N119" s="14"/>
      <c r="O119" s="14"/>
      <c r="P119" s="14"/>
      <c r="Q119" s="120" t="s">
        <v>502</v>
      </c>
      <c r="R119" s="102" t="s">
        <v>138</v>
      </c>
      <c r="S119" s="641" t="e">
        <f>P107</f>
        <v>#VALUE!</v>
      </c>
      <c r="T119" s="638"/>
      <c r="U119" s="14" t="s">
        <v>168</v>
      </c>
      <c r="V119" s="197"/>
      <c r="W119" s="291"/>
      <c r="X119" s="291"/>
      <c r="Y119" s="291"/>
    </row>
    <row r="120" spans="1:25" ht="18" hidden="1" customHeight="1">
      <c r="A120" s="180"/>
      <c r="B120" s="5"/>
      <c r="C120" s="47" t="s">
        <v>559</v>
      </c>
      <c r="D120" s="14"/>
      <c r="E120" s="14"/>
      <c r="F120" s="18"/>
      <c r="G120" s="18"/>
      <c r="H120" s="291"/>
      <c r="I120" s="120"/>
      <c r="J120" s="291"/>
      <c r="K120" s="291"/>
      <c r="L120" s="14"/>
      <c r="M120" s="14"/>
      <c r="N120" s="14"/>
      <c r="O120" s="14"/>
      <c r="P120" s="14"/>
      <c r="Q120" s="120" t="s">
        <v>523</v>
      </c>
      <c r="R120" s="102" t="s">
        <v>138</v>
      </c>
      <c r="S120" s="641">
        <f>J107</f>
        <v>1.5398674400000001</v>
      </c>
      <c r="T120" s="638"/>
      <c r="U120" s="14" t="s">
        <v>168</v>
      </c>
      <c r="V120" s="197"/>
      <c r="X120" s="291"/>
      <c r="Y120" s="291"/>
    </row>
    <row r="121" spans="1:25" ht="18" hidden="1" customHeight="1">
      <c r="A121" s="180"/>
      <c r="B121" s="5"/>
      <c r="C121" s="47" t="s">
        <v>560</v>
      </c>
      <c r="D121" s="14"/>
      <c r="E121" s="14"/>
      <c r="F121" s="14"/>
      <c r="G121" s="14"/>
      <c r="H121" s="291"/>
      <c r="I121" s="120"/>
      <c r="J121" s="291"/>
      <c r="K121" s="291"/>
      <c r="L121" s="14"/>
      <c r="M121" s="14"/>
      <c r="N121" s="14"/>
      <c r="O121" s="14"/>
      <c r="P121" s="14"/>
      <c r="Q121" s="120" t="s">
        <v>522</v>
      </c>
      <c r="R121" s="102" t="s">
        <v>138</v>
      </c>
      <c r="S121" s="638">
        <f>O95</f>
        <v>1</v>
      </c>
      <c r="T121" s="638"/>
      <c r="U121" s="14" t="s">
        <v>9</v>
      </c>
      <c r="V121" s="197"/>
      <c r="X121" s="291"/>
      <c r="Y121" s="291"/>
    </row>
    <row r="122" spans="1:25" ht="18" hidden="1" customHeight="1">
      <c r="A122" s="180"/>
      <c r="B122" s="5"/>
      <c r="C122" s="47" t="s">
        <v>561</v>
      </c>
      <c r="D122" s="14"/>
      <c r="E122" s="14"/>
      <c r="F122" s="14"/>
      <c r="G122" s="14"/>
      <c r="H122" s="291"/>
      <c r="I122" s="120"/>
      <c r="J122" s="291"/>
      <c r="K122" s="291"/>
      <c r="L122" s="14"/>
      <c r="M122" s="14"/>
      <c r="N122" s="14"/>
      <c r="O122" s="14"/>
      <c r="P122" s="14"/>
      <c r="Q122" s="120" t="s">
        <v>506</v>
      </c>
      <c r="R122" s="102" t="s">
        <v>138</v>
      </c>
      <c r="S122" s="638">
        <v>20</v>
      </c>
      <c r="T122" s="638"/>
      <c r="U122" s="47"/>
      <c r="V122" s="197"/>
    </row>
    <row r="123" spans="1:25" ht="18" hidden="1" customHeight="1">
      <c r="A123" s="311"/>
      <c r="B123" s="291"/>
      <c r="C123" s="47" t="s">
        <v>503</v>
      </c>
      <c r="D123" s="14"/>
      <c r="E123" s="14"/>
      <c r="F123" s="14"/>
      <c r="G123" s="14"/>
      <c r="H123" s="291"/>
      <c r="I123" s="120"/>
      <c r="J123" s="291"/>
      <c r="K123" s="291"/>
      <c r="L123" s="14"/>
      <c r="M123" s="14"/>
      <c r="N123" s="291"/>
      <c r="O123" s="291"/>
      <c r="P123" s="14"/>
      <c r="Q123" s="120" t="s">
        <v>504</v>
      </c>
      <c r="R123" s="14"/>
      <c r="S123" s="291"/>
      <c r="T123" s="291"/>
      <c r="U123" s="291"/>
      <c r="V123" s="312"/>
      <c r="W123" s="291"/>
      <c r="X123" s="291"/>
      <c r="Y123" s="291"/>
    </row>
    <row r="124" spans="1:25" ht="18" hidden="1" customHeight="1">
      <c r="A124" s="196"/>
      <c r="V124" s="197"/>
    </row>
    <row r="125" spans="1:25" ht="18" hidden="1" customHeight="1">
      <c r="A125" s="196"/>
      <c r="C125" s="120" t="s">
        <v>504</v>
      </c>
      <c r="D125" s="28" t="s">
        <v>138</v>
      </c>
      <c r="E125" s="28" t="s">
        <v>548</v>
      </c>
      <c r="F125" s="233">
        <v>1.3</v>
      </c>
      <c r="G125" s="233" t="s">
        <v>326</v>
      </c>
      <c r="H125" s="861" t="s">
        <v>484</v>
      </c>
      <c r="I125" s="968"/>
      <c r="J125" s="233" t="s">
        <v>326</v>
      </c>
      <c r="K125" s="233" t="s">
        <v>522</v>
      </c>
      <c r="L125" s="233" t="s">
        <v>552</v>
      </c>
      <c r="M125" s="233" t="s">
        <v>506</v>
      </c>
      <c r="N125" s="560" t="s">
        <v>553</v>
      </c>
      <c r="O125" s="575" t="s">
        <v>502</v>
      </c>
      <c r="V125" s="197"/>
    </row>
    <row r="126" spans="1:25" ht="18" hidden="1" customHeight="1">
      <c r="A126" s="196"/>
      <c r="C126" s="120"/>
      <c r="D126" s="27" t="s">
        <v>138</v>
      </c>
      <c r="E126" s="27" t="s">
        <v>548</v>
      </c>
      <c r="F126" s="257">
        <v>1.3</v>
      </c>
      <c r="G126" s="257" t="s">
        <v>326</v>
      </c>
      <c r="H126" s="969" t="str">
        <f>S118</f>
        <v>-</v>
      </c>
      <c r="I126" s="970"/>
      <c r="J126" s="257" t="s">
        <v>326</v>
      </c>
      <c r="K126" s="257">
        <f>S121</f>
        <v>1</v>
      </c>
      <c r="L126" s="257" t="s">
        <v>552</v>
      </c>
      <c r="M126" s="257">
        <f>S122</f>
        <v>20</v>
      </c>
      <c r="N126" s="474" t="s">
        <v>553</v>
      </c>
      <c r="O126" s="516" t="e">
        <f>S119</f>
        <v>#VALUE!</v>
      </c>
      <c r="V126" s="197"/>
    </row>
    <row r="127" spans="1:25" ht="18" hidden="1" customHeight="1">
      <c r="A127" s="196"/>
      <c r="D127" s="27" t="s">
        <v>138</v>
      </c>
      <c r="E127" s="639" t="e">
        <f>((F126*H126)/(K126*M126))-O126</f>
        <v>#VALUE!</v>
      </c>
      <c r="F127" s="639"/>
      <c r="G127" s="27" t="s">
        <v>168</v>
      </c>
      <c r="V127" s="197"/>
    </row>
    <row r="128" spans="1:25" ht="18" hidden="1" customHeight="1">
      <c r="A128" s="196"/>
      <c r="D128" s="27"/>
      <c r="E128" s="27"/>
      <c r="F128" s="27"/>
      <c r="G128" s="27"/>
      <c r="V128" s="197"/>
    </row>
    <row r="129" spans="1:22" ht="18" hidden="1" customHeight="1">
      <c r="A129" s="196"/>
      <c r="D129" s="27"/>
      <c r="E129" s="27"/>
      <c r="F129" s="27"/>
      <c r="G129" s="27"/>
      <c r="V129" s="197"/>
    </row>
    <row r="130" spans="1:22" ht="18" hidden="1" customHeight="1">
      <c r="A130" s="196"/>
      <c r="D130" s="27"/>
      <c r="E130" s="27"/>
      <c r="F130" s="27"/>
      <c r="G130" s="27"/>
      <c r="V130" s="197"/>
    </row>
    <row r="131" spans="1:22" ht="18" hidden="1" customHeight="1">
      <c r="A131" s="196"/>
      <c r="D131" s="27"/>
      <c r="E131" s="27"/>
      <c r="F131" s="27"/>
      <c r="G131" s="27"/>
      <c r="V131" s="197"/>
    </row>
    <row r="132" spans="1:22" ht="18" hidden="1" customHeight="1">
      <c r="A132" s="196"/>
      <c r="D132" s="27"/>
      <c r="E132" s="27"/>
      <c r="F132" s="27"/>
      <c r="G132" s="27"/>
      <c r="V132" s="197"/>
    </row>
    <row r="133" spans="1:22" ht="18" hidden="1" customHeight="1">
      <c r="A133" s="196"/>
      <c r="V133" s="197"/>
    </row>
    <row r="134" spans="1:22" s="14" customFormat="1" ht="18" hidden="1" customHeight="1">
      <c r="A134" s="206"/>
      <c r="B134" s="207"/>
      <c r="C134" s="207"/>
      <c r="D134" s="207"/>
      <c r="E134" s="207"/>
      <c r="F134" s="207"/>
      <c r="G134" s="207"/>
      <c r="H134" s="207"/>
      <c r="I134" s="207"/>
      <c r="J134" s="207"/>
      <c r="K134" s="207"/>
      <c r="L134" s="207"/>
      <c r="M134" s="207"/>
      <c r="N134" s="207"/>
      <c r="O134" s="207"/>
      <c r="P134" s="207"/>
      <c r="Q134" s="236"/>
      <c r="R134" s="194"/>
      <c r="S134" s="237"/>
      <c r="T134" s="207"/>
      <c r="U134" s="207"/>
      <c r="V134" s="140" t="s">
        <v>563</v>
      </c>
    </row>
    <row r="135" spans="1:22" ht="18" hidden="1" customHeight="1">
      <c r="A135" s="238"/>
      <c r="B135" s="239"/>
      <c r="C135" s="239"/>
      <c r="D135" s="239"/>
      <c r="E135" s="239"/>
      <c r="F135" s="239"/>
      <c r="G135" s="239"/>
      <c r="H135" s="239"/>
      <c r="I135" s="239"/>
      <c r="J135" s="239"/>
      <c r="K135" s="239"/>
      <c r="L135" s="239"/>
      <c r="M135" s="239"/>
      <c r="N135" s="239"/>
      <c r="O135" s="239"/>
      <c r="P135" s="239"/>
      <c r="Q135" s="239"/>
      <c r="R135" s="239"/>
      <c r="S135" s="239"/>
      <c r="T135" s="239"/>
      <c r="U135" s="239"/>
      <c r="V135" s="240"/>
    </row>
    <row r="136" spans="1:22" ht="18" hidden="1" customHeight="1">
      <c r="A136" s="196"/>
      <c r="E136" s="256" t="s">
        <v>123</v>
      </c>
      <c r="F136" s="27" t="s">
        <v>138</v>
      </c>
      <c r="G136" s="638" t="s">
        <v>555</v>
      </c>
      <c r="H136" s="638"/>
      <c r="I136" s="203" t="s">
        <v>353</v>
      </c>
      <c r="J136" s="639" t="s">
        <v>434</v>
      </c>
      <c r="K136" s="639"/>
      <c r="V136" s="197"/>
    </row>
    <row r="137" spans="1:22" ht="18" hidden="1" customHeight="1">
      <c r="A137" s="196"/>
      <c r="F137" s="27" t="s">
        <v>138</v>
      </c>
      <c r="G137" s="639">
        <f>S116</f>
        <v>40000</v>
      </c>
      <c r="H137" s="639"/>
      <c r="I137" s="203" t="s">
        <v>353</v>
      </c>
      <c r="J137" s="639" t="str">
        <f>S117</f>
        <v>-</v>
      </c>
      <c r="K137" s="639"/>
      <c r="V137" s="197"/>
    </row>
    <row r="138" spans="1:22" ht="18" hidden="1" customHeight="1">
      <c r="A138" s="196"/>
      <c r="F138" s="27" t="s">
        <v>138</v>
      </c>
      <c r="G138" s="637" t="e">
        <f>G137/J137</f>
        <v>#VALUE!</v>
      </c>
      <c r="H138" s="637"/>
      <c r="I138" s="27"/>
      <c r="J138" s="27"/>
      <c r="K138" s="27"/>
      <c r="V138" s="197"/>
    </row>
    <row r="139" spans="1:22" ht="18" hidden="1" customHeight="1">
      <c r="A139" s="196"/>
      <c r="V139" s="197"/>
    </row>
    <row r="140" spans="1:22" ht="18" hidden="1" customHeight="1">
      <c r="A140" s="196"/>
      <c r="E140" s="256" t="s">
        <v>564</v>
      </c>
      <c r="F140" s="27" t="s">
        <v>138</v>
      </c>
      <c r="G140" s="233" t="s">
        <v>506</v>
      </c>
      <c r="H140" s="233" t="s">
        <v>565</v>
      </c>
      <c r="I140" s="575" t="s">
        <v>502</v>
      </c>
      <c r="J140" s="233" t="s">
        <v>358</v>
      </c>
      <c r="K140" s="575" t="s">
        <v>504</v>
      </c>
      <c r="L140" s="233" t="s">
        <v>550</v>
      </c>
      <c r="M140" s="575" t="s">
        <v>502</v>
      </c>
      <c r="N140" s="233" t="s">
        <v>358</v>
      </c>
      <c r="O140" s="575" t="s">
        <v>523</v>
      </c>
      <c r="P140" s="28" t="s">
        <v>361</v>
      </c>
      <c r="V140" s="197"/>
    </row>
    <row r="141" spans="1:22" ht="18" hidden="1" customHeight="1">
      <c r="A141" s="196"/>
      <c r="F141" s="27" t="s">
        <v>138</v>
      </c>
      <c r="G141" s="254">
        <f>S122</f>
        <v>20</v>
      </c>
      <c r="H141" s="257" t="s">
        <v>565</v>
      </c>
      <c r="I141" s="313" t="e">
        <f>S119</f>
        <v>#VALUE!</v>
      </c>
      <c r="J141" s="257" t="s">
        <v>358</v>
      </c>
      <c r="K141" s="313" t="e">
        <f>E127</f>
        <v>#VALUE!</v>
      </c>
      <c r="L141" s="257" t="s">
        <v>550</v>
      </c>
      <c r="M141" s="313" t="e">
        <f>S119</f>
        <v>#VALUE!</v>
      </c>
      <c r="N141" s="257" t="s">
        <v>358</v>
      </c>
      <c r="O141" s="313">
        <f>S120</f>
        <v>1.5398674400000001</v>
      </c>
      <c r="P141" s="27" t="s">
        <v>361</v>
      </c>
      <c r="V141" s="197"/>
    </row>
    <row r="142" spans="1:22" ht="18" hidden="1" customHeight="1">
      <c r="A142" s="196"/>
      <c r="F142" s="27" t="s">
        <v>138</v>
      </c>
      <c r="G142" s="640" t="e">
        <f>G141*((I141+K141)/(M141+O141))</f>
        <v>#VALUE!</v>
      </c>
      <c r="H142" s="640"/>
      <c r="I142" s="254"/>
      <c r="J142" s="254"/>
      <c r="K142" s="254"/>
      <c r="L142" s="254"/>
      <c r="M142" s="254"/>
      <c r="N142" s="254"/>
      <c r="O142" s="254"/>
      <c r="V142" s="197"/>
    </row>
    <row r="143" spans="1:22" ht="18" hidden="1" customHeight="1">
      <c r="A143" s="196"/>
      <c r="V143" s="197"/>
    </row>
    <row r="144" spans="1:22" ht="18" hidden="1" customHeight="1">
      <c r="A144" s="196"/>
      <c r="E144" s="256" t="s">
        <v>566</v>
      </c>
      <c r="F144" s="27" t="e">
        <f>IF(D145&gt;G145,"&gt;","&lt;")</f>
        <v>#VALUE!</v>
      </c>
      <c r="G144" s="308" t="s">
        <v>123</v>
      </c>
      <c r="V144" s="197"/>
    </row>
    <row r="145" spans="1:22" ht="18" hidden="1" customHeight="1">
      <c r="A145" s="196"/>
      <c r="D145" s="637" t="e">
        <f>G142</f>
        <v>#VALUE!</v>
      </c>
      <c r="E145" s="637"/>
      <c r="F145" s="27" t="e">
        <f>F144</f>
        <v>#VALUE!</v>
      </c>
      <c r="G145" s="637" t="e">
        <f>G138</f>
        <v>#VALUE!</v>
      </c>
      <c r="H145" s="637"/>
      <c r="V145" s="197"/>
    </row>
    <row r="146" spans="1:22" ht="18" hidden="1" customHeight="1">
      <c r="A146" s="196"/>
      <c r="E146" s="256" t="s">
        <v>489</v>
      </c>
      <c r="G146" s="18" t="e">
        <f>IF(F144="&gt;","Suitably Dimentioned","Under Dimentioned")</f>
        <v>#VALUE!</v>
      </c>
      <c r="V146" s="197"/>
    </row>
    <row r="147" spans="1:22" ht="18" hidden="1" customHeight="1">
      <c r="A147" s="196"/>
      <c r="V147" s="197"/>
    </row>
    <row r="148" spans="1:22" ht="18" hidden="1" customHeight="1">
      <c r="A148" s="196"/>
      <c r="V148" s="197"/>
    </row>
    <row r="149" spans="1:22" ht="18" hidden="1" customHeight="1">
      <c r="A149" s="196"/>
      <c r="V149" s="197"/>
    </row>
    <row r="150" spans="1:22" ht="18" hidden="1" customHeight="1">
      <c r="A150" s="196"/>
      <c r="V150" s="197"/>
    </row>
    <row r="151" spans="1:22" ht="18" hidden="1" customHeight="1">
      <c r="A151" s="196"/>
      <c r="V151" s="197"/>
    </row>
    <row r="152" spans="1:22" ht="18" hidden="1" customHeight="1">
      <c r="A152" s="196"/>
      <c r="V152" s="197"/>
    </row>
    <row r="153" spans="1:22" ht="18" hidden="1" customHeight="1">
      <c r="A153" s="196"/>
      <c r="V153" s="197"/>
    </row>
    <row r="154" spans="1:22" ht="18" hidden="1" customHeight="1">
      <c r="A154" s="196"/>
      <c r="V154" s="197"/>
    </row>
    <row r="155" spans="1:22" ht="18" hidden="1" customHeight="1">
      <c r="A155" s="196"/>
      <c r="V155" s="197"/>
    </row>
    <row r="156" spans="1:22" ht="18" hidden="1" customHeight="1">
      <c r="A156" s="196"/>
      <c r="V156" s="197"/>
    </row>
    <row r="157" spans="1:22" ht="18" hidden="1" customHeight="1">
      <c r="A157" s="196"/>
      <c r="V157" s="197"/>
    </row>
    <row r="158" spans="1:22" ht="18" hidden="1" customHeight="1">
      <c r="A158" s="196"/>
      <c r="V158" s="197"/>
    </row>
    <row r="159" spans="1:22" ht="18" hidden="1" customHeight="1">
      <c r="A159" s="196"/>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ht="18" hidden="1" customHeight="1">
      <c r="A174" s="196"/>
      <c r="V174" s="197"/>
    </row>
    <row r="175" spans="1:22" ht="18" hidden="1" customHeight="1">
      <c r="A175" s="196"/>
      <c r="V175" s="197"/>
    </row>
    <row r="176" spans="1:22" ht="18" hidden="1" customHeight="1">
      <c r="A176" s="196"/>
      <c r="V176" s="197"/>
    </row>
    <row r="177" spans="1:23" ht="18" hidden="1" customHeight="1">
      <c r="A177" s="196"/>
      <c r="V177" s="197"/>
    </row>
    <row r="178" spans="1:23" s="14" customFormat="1" ht="18" hidden="1"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t="s">
        <v>563</v>
      </c>
    </row>
    <row r="179" spans="1:23" ht="18" hidden="1" customHeight="1">
      <c r="A179" s="238"/>
      <c r="B179" s="239"/>
      <c r="C179" s="239"/>
      <c r="D179" s="239"/>
      <c r="E179" s="239"/>
      <c r="F179" s="239"/>
      <c r="G179" s="239"/>
      <c r="H179" s="239"/>
      <c r="I179" s="239"/>
      <c r="J179" s="239"/>
      <c r="K179" s="239"/>
      <c r="L179" s="239"/>
      <c r="M179" s="239"/>
      <c r="N179" s="239"/>
      <c r="O179" s="239"/>
      <c r="P179" s="239"/>
      <c r="Q179" s="239"/>
      <c r="R179" s="239"/>
      <c r="S179" s="239"/>
      <c r="T179" s="239"/>
      <c r="U179" s="239"/>
      <c r="V179" s="240"/>
    </row>
    <row r="180" spans="1:23" ht="18" hidden="1" customHeight="1">
      <c r="A180" s="196"/>
      <c r="B180" s="650" t="str">
        <f>B92</f>
        <v>T1</v>
      </c>
      <c r="C180" s="651"/>
      <c r="D180" s="663" t="str">
        <f>D92</f>
        <v>Core3</v>
      </c>
      <c r="E180" s="664"/>
      <c r="F180" s="267"/>
      <c r="H180" s="639">
        <f>H92</f>
        <v>0</v>
      </c>
      <c r="I180" s="639"/>
      <c r="J180" s="639"/>
      <c r="K180" s="639"/>
      <c r="L180" s="639"/>
      <c r="M180" s="639"/>
      <c r="P180" s="198"/>
      <c r="S180" s="199" t="s">
        <v>398</v>
      </c>
      <c r="T180" s="658" t="str">
        <f>T92</f>
        <v>REF650</v>
      </c>
      <c r="U180" s="659"/>
      <c r="V180" s="197"/>
    </row>
    <row r="181" spans="1:23" ht="18" hidden="1" customHeight="1">
      <c r="A181" s="196"/>
      <c r="B181" s="660">
        <f>B93</f>
        <v>0</v>
      </c>
      <c r="C181" s="660"/>
      <c r="D181" s="665"/>
      <c r="E181" s="666"/>
      <c r="F181" s="267"/>
      <c r="T181" s="658" t="str">
        <f>T93</f>
        <v>REC670</v>
      </c>
      <c r="U181" s="659"/>
      <c r="V181" s="197"/>
    </row>
    <row r="182" spans="1:23" ht="18" hidden="1" customHeight="1">
      <c r="A182" s="196"/>
      <c r="H182" s="661" t="s">
        <v>401</v>
      </c>
      <c r="I182" s="661"/>
      <c r="J182" s="661" t="s">
        <v>402</v>
      </c>
      <c r="K182" s="661"/>
      <c r="L182" s="662" t="s">
        <v>403</v>
      </c>
      <c r="M182" s="662"/>
      <c r="T182" s="658" t="str">
        <f>T94</f>
        <v>IDM+9</v>
      </c>
      <c r="U182" s="659"/>
      <c r="V182" s="197"/>
    </row>
    <row r="183" spans="1:23" ht="18" hidden="1" customHeight="1">
      <c r="A183" s="196"/>
      <c r="B183" s="47" t="s">
        <v>404</v>
      </c>
      <c r="H183" s="650">
        <f>H95</f>
        <v>2500</v>
      </c>
      <c r="I183" s="651"/>
      <c r="J183" s="650" t="str">
        <f>J95</f>
        <v>-</v>
      </c>
      <c r="K183" s="651"/>
      <c r="L183" s="652" t="str">
        <f>L95</f>
        <v>-</v>
      </c>
      <c r="M183" s="653"/>
      <c r="N183" s="203" t="s">
        <v>353</v>
      </c>
      <c r="O183" s="268">
        <f>O95</f>
        <v>1</v>
      </c>
      <c r="P183" s="27" t="s">
        <v>9</v>
      </c>
      <c r="R183" s="267"/>
      <c r="S183" s="267"/>
      <c r="V183" s="197"/>
    </row>
    <row r="184" spans="1:23" ht="18" hidden="1" customHeight="1">
      <c r="A184" s="196"/>
      <c r="B184" s="47" t="s">
        <v>405</v>
      </c>
      <c r="H184" s="14"/>
      <c r="I184" s="14"/>
      <c r="L184" s="650" t="str">
        <f>J96</f>
        <v>5P20</v>
      </c>
      <c r="M184" s="651"/>
      <c r="V184" s="197"/>
    </row>
    <row r="185" spans="1:23" ht="18" hidden="1" customHeight="1">
      <c r="A185" s="196"/>
      <c r="B185" s="47" t="s">
        <v>407</v>
      </c>
      <c r="K185" s="120" t="s">
        <v>508</v>
      </c>
      <c r="L185" s="940" t="s">
        <v>7</v>
      </c>
      <c r="M185" s="941"/>
      <c r="N185" s="204" t="s">
        <v>344</v>
      </c>
      <c r="V185" s="197"/>
    </row>
    <row r="186" spans="1:23" ht="18" hidden="1" customHeight="1">
      <c r="A186" s="196"/>
      <c r="B186" s="47" t="s">
        <v>409</v>
      </c>
      <c r="K186" s="120" t="s">
        <v>509</v>
      </c>
      <c r="L186" s="940" t="s">
        <v>7</v>
      </c>
      <c r="M186" s="941"/>
      <c r="N186" s="14" t="s">
        <v>316</v>
      </c>
      <c r="T186" s="307"/>
      <c r="U186" s="18"/>
      <c r="V186" s="197"/>
      <c r="W186" s="30" t="e">
        <f>G234</f>
        <v>#VALUE!</v>
      </c>
    </row>
    <row r="187" spans="1:23" ht="18" hidden="1" customHeight="1">
      <c r="A187" s="196"/>
      <c r="B187" s="14" t="s">
        <v>412</v>
      </c>
      <c r="K187" s="120" t="s">
        <v>413</v>
      </c>
      <c r="L187" s="940" t="s">
        <v>7</v>
      </c>
      <c r="M187" s="941"/>
      <c r="N187" s="14" t="s">
        <v>414</v>
      </c>
      <c r="V187" s="197"/>
    </row>
    <row r="188" spans="1:23" ht="18" hidden="1" customHeight="1">
      <c r="A188" s="196"/>
      <c r="V188" s="197"/>
    </row>
    <row r="189" spans="1:23" ht="18" hidden="1" customHeight="1">
      <c r="A189" s="205" t="s">
        <v>415</v>
      </c>
      <c r="V189" s="197"/>
    </row>
    <row r="190" spans="1:23" ht="18" hidden="1" customHeight="1">
      <c r="A190" s="196"/>
      <c r="V190" s="197"/>
    </row>
    <row r="191" spans="1:23" ht="18" hidden="1" customHeight="1">
      <c r="A191" s="196"/>
      <c r="B191" s="141" t="s">
        <v>416</v>
      </c>
      <c r="C191" s="285"/>
      <c r="D191" s="146" t="str">
        <f>T180</f>
        <v>REF650</v>
      </c>
      <c r="E191" s="239"/>
      <c r="F191" s="239"/>
      <c r="G191" s="239"/>
      <c r="H191" s="145"/>
      <c r="I191" s="272" t="s">
        <v>138</v>
      </c>
      <c r="J191" s="648">
        <f>J103</f>
        <v>0.02</v>
      </c>
      <c r="K191" s="649"/>
      <c r="L191" s="3" t="s">
        <v>168</v>
      </c>
      <c r="N191" s="209" t="s">
        <v>521</v>
      </c>
      <c r="V191" s="197"/>
    </row>
    <row r="192" spans="1:23" ht="18" hidden="1" customHeight="1">
      <c r="A192" s="196"/>
      <c r="B192" s="96" t="s">
        <v>416</v>
      </c>
      <c r="D192" s="308" t="str">
        <f>T181</f>
        <v>REC670</v>
      </c>
      <c r="I192" s="189" t="s">
        <v>138</v>
      </c>
      <c r="J192" s="642">
        <f>J104</f>
        <v>0.02</v>
      </c>
      <c r="K192" s="643"/>
      <c r="L192" s="210" t="s">
        <v>168</v>
      </c>
      <c r="P192" s="256"/>
      <c r="V192" s="197"/>
    </row>
    <row r="193" spans="1:25" ht="18" hidden="1" customHeight="1">
      <c r="A193" s="196"/>
      <c r="B193" s="96" t="s">
        <v>416</v>
      </c>
      <c r="C193" s="14"/>
      <c r="D193" s="47" t="str">
        <f>T182</f>
        <v>IDM+9</v>
      </c>
      <c r="E193" s="14"/>
      <c r="G193" s="211"/>
      <c r="H193" s="27"/>
      <c r="I193" s="101" t="s">
        <v>138</v>
      </c>
      <c r="J193" s="644">
        <f>J105</f>
        <v>5.8000000000000003E-2</v>
      </c>
      <c r="K193" s="645"/>
      <c r="L193" s="214" t="s">
        <v>168</v>
      </c>
      <c r="N193" s="120" t="s">
        <v>502</v>
      </c>
      <c r="O193" s="27" t="s">
        <v>138</v>
      </c>
      <c r="P193" s="27" t="s">
        <v>522</v>
      </c>
      <c r="Q193" s="27" t="s">
        <v>326</v>
      </c>
      <c r="R193" s="27" t="s">
        <v>522</v>
      </c>
      <c r="S193" s="27" t="s">
        <v>326</v>
      </c>
      <c r="T193" s="27" t="s">
        <v>431</v>
      </c>
      <c r="V193" s="197"/>
    </row>
    <row r="194" spans="1:25" ht="18" hidden="1" customHeight="1">
      <c r="A194" s="196"/>
      <c r="B194" s="196" t="s">
        <v>423</v>
      </c>
      <c r="C194" s="14"/>
      <c r="D194" s="14"/>
      <c r="E194" s="14"/>
      <c r="H194" s="27"/>
      <c r="I194" s="101" t="s">
        <v>138</v>
      </c>
      <c r="J194" s="646">
        <f>J106</f>
        <v>1.44186744</v>
      </c>
      <c r="K194" s="647"/>
      <c r="L194" s="309" t="s">
        <v>168</v>
      </c>
      <c r="O194" s="27" t="s">
        <v>138</v>
      </c>
      <c r="P194" s="27">
        <f>O183</f>
        <v>1</v>
      </c>
      <c r="Q194" s="27" t="s">
        <v>326</v>
      </c>
      <c r="R194" s="27">
        <f>O183</f>
        <v>1</v>
      </c>
      <c r="S194" s="27" t="s">
        <v>326</v>
      </c>
      <c r="T194" s="27" t="str">
        <f>L185</f>
        <v>-</v>
      </c>
      <c r="V194" s="197"/>
    </row>
    <row r="195" spans="1:25" ht="18" hidden="1" customHeight="1">
      <c r="A195" s="196"/>
      <c r="B195" s="1" t="s">
        <v>424</v>
      </c>
      <c r="C195" s="2"/>
      <c r="D195" s="2"/>
      <c r="E195" s="2"/>
      <c r="F195" s="208"/>
      <c r="G195" s="208"/>
      <c r="H195" s="236" t="s">
        <v>523</v>
      </c>
      <c r="I195" s="195" t="s">
        <v>138</v>
      </c>
      <c r="J195" s="648">
        <f>SUM(J191:J194)</f>
        <v>1.5398674400000001</v>
      </c>
      <c r="K195" s="649"/>
      <c r="L195" s="3" t="s">
        <v>168</v>
      </c>
      <c r="O195" s="27" t="s">
        <v>138</v>
      </c>
      <c r="P195" s="637" t="e">
        <f>P194*R194*T194</f>
        <v>#VALUE!</v>
      </c>
      <c r="Q195" s="639"/>
      <c r="R195" s="27" t="s">
        <v>168</v>
      </c>
      <c r="S195" s="27"/>
      <c r="T195" s="27"/>
      <c r="V195" s="197"/>
    </row>
    <row r="196" spans="1:25" ht="18" hidden="1" customHeight="1">
      <c r="A196" s="196"/>
      <c r="B196" s="47"/>
      <c r="C196" s="47"/>
      <c r="D196" s="47"/>
      <c r="E196" s="47"/>
      <c r="H196" s="27"/>
      <c r="I196" s="28"/>
      <c r="J196" s="211"/>
      <c r="L196" s="47"/>
      <c r="O196" s="27"/>
      <c r="P196" s="223"/>
      <c r="Q196" s="27"/>
      <c r="R196" s="216"/>
      <c r="S196" s="27"/>
      <c r="V196" s="197"/>
    </row>
    <row r="197" spans="1:25" ht="18" hidden="1" customHeight="1">
      <c r="A197" s="964" t="s">
        <v>547</v>
      </c>
      <c r="B197" s="965"/>
      <c r="C197" s="965"/>
      <c r="D197" s="965"/>
      <c r="E197" s="965"/>
      <c r="F197" s="965"/>
      <c r="G197" s="965"/>
      <c r="H197" s="965"/>
      <c r="I197" s="965"/>
      <c r="J197" s="965"/>
      <c r="K197" s="965"/>
      <c r="L197" s="965"/>
      <c r="M197" s="965"/>
      <c r="N197" s="965"/>
      <c r="O197" s="965"/>
      <c r="P197" s="965"/>
      <c r="Q197" s="965"/>
      <c r="R197" s="965"/>
      <c r="S197" s="965"/>
      <c r="T197" s="965"/>
      <c r="U197" s="965"/>
      <c r="V197" s="966"/>
    </row>
    <row r="198" spans="1:25" ht="18" hidden="1" customHeight="1">
      <c r="A198" s="967"/>
      <c r="B198" s="965"/>
      <c r="C198" s="965"/>
      <c r="D198" s="965"/>
      <c r="E198" s="965"/>
      <c r="F198" s="965"/>
      <c r="G198" s="965"/>
      <c r="H198" s="965"/>
      <c r="I198" s="965"/>
      <c r="J198" s="965"/>
      <c r="K198" s="965"/>
      <c r="L198" s="965"/>
      <c r="M198" s="965"/>
      <c r="N198" s="965"/>
      <c r="O198" s="965"/>
      <c r="P198" s="965"/>
      <c r="Q198" s="965"/>
      <c r="R198" s="965"/>
      <c r="S198" s="965"/>
      <c r="T198" s="965"/>
      <c r="U198" s="965"/>
      <c r="V198" s="966"/>
    </row>
    <row r="199" spans="1:25" ht="18" hidden="1" customHeight="1">
      <c r="A199" s="196"/>
      <c r="Q199" s="223"/>
      <c r="R199" s="204"/>
      <c r="V199" s="197"/>
    </row>
    <row r="200" spans="1:25" ht="18" hidden="1" customHeight="1">
      <c r="A200" s="196"/>
      <c r="C200" s="27" t="s">
        <v>484</v>
      </c>
      <c r="D200" s="27" t="s">
        <v>138</v>
      </c>
      <c r="E200" s="27" t="s">
        <v>548</v>
      </c>
      <c r="F200" s="120" t="s">
        <v>504</v>
      </c>
      <c r="G200" s="28" t="s">
        <v>358</v>
      </c>
      <c r="H200" s="120" t="s">
        <v>502</v>
      </c>
      <c r="I200" s="28" t="s">
        <v>549</v>
      </c>
      <c r="J200" s="28" t="s">
        <v>506</v>
      </c>
      <c r="K200" s="28" t="s">
        <v>550</v>
      </c>
      <c r="L200" s="28" t="s">
        <v>522</v>
      </c>
      <c r="M200" s="28" t="s">
        <v>326</v>
      </c>
      <c r="N200" s="28">
        <v>1.3</v>
      </c>
      <c r="O200" s="47" t="s">
        <v>361</v>
      </c>
      <c r="V200" s="197"/>
    </row>
    <row r="201" spans="1:25" ht="18" hidden="1" customHeight="1">
      <c r="A201" s="196" t="s">
        <v>551</v>
      </c>
      <c r="C201" s="27"/>
      <c r="D201" s="27"/>
      <c r="V201" s="197"/>
    </row>
    <row r="202" spans="1:25" ht="18" hidden="1" customHeight="1">
      <c r="A202" s="196"/>
      <c r="C202" s="28" t="s">
        <v>504</v>
      </c>
      <c r="D202" s="28" t="s">
        <v>138</v>
      </c>
      <c r="E202" s="28" t="s">
        <v>548</v>
      </c>
      <c r="F202" s="28">
        <v>1.3</v>
      </c>
      <c r="G202" s="28" t="s">
        <v>326</v>
      </c>
      <c r="H202" s="638" t="s">
        <v>484</v>
      </c>
      <c r="I202" s="920"/>
      <c r="J202" s="28" t="s">
        <v>326</v>
      </c>
      <c r="K202" s="28" t="s">
        <v>522</v>
      </c>
      <c r="L202" s="28" t="s">
        <v>552</v>
      </c>
      <c r="M202" s="28" t="s">
        <v>506</v>
      </c>
      <c r="N202" s="47" t="s">
        <v>553</v>
      </c>
      <c r="O202" s="120" t="s">
        <v>502</v>
      </c>
      <c r="V202" s="197"/>
    </row>
    <row r="203" spans="1:25" ht="18" hidden="1" customHeight="1">
      <c r="A203" s="196"/>
      <c r="V203" s="197"/>
    </row>
    <row r="204" spans="1:25" ht="18" hidden="1" customHeight="1">
      <c r="A204" s="180"/>
      <c r="B204" s="5"/>
      <c r="C204" s="47" t="s">
        <v>554</v>
      </c>
      <c r="D204" s="14"/>
      <c r="E204" s="14"/>
      <c r="F204" s="14"/>
      <c r="G204" s="14"/>
      <c r="H204" s="291"/>
      <c r="I204" s="120"/>
      <c r="J204" s="291"/>
      <c r="K204" s="291"/>
      <c r="L204" s="14"/>
      <c r="M204" s="14"/>
      <c r="N204" s="14"/>
      <c r="O204" s="14"/>
      <c r="P204" s="14"/>
      <c r="Q204" s="120" t="s">
        <v>555</v>
      </c>
      <c r="R204" s="102" t="s">
        <v>138</v>
      </c>
      <c r="S204" s="638">
        <f>S116</f>
        <v>40000</v>
      </c>
      <c r="T204" s="638"/>
      <c r="U204" s="47" t="s">
        <v>9</v>
      </c>
      <c r="V204" s="197"/>
    </row>
    <row r="205" spans="1:25" ht="18" hidden="1" customHeight="1">
      <c r="A205" s="180"/>
      <c r="B205" s="5"/>
      <c r="C205" s="47" t="s">
        <v>556</v>
      </c>
      <c r="D205" s="14"/>
      <c r="E205" s="14"/>
      <c r="F205" s="18"/>
      <c r="G205" s="18"/>
      <c r="H205" s="291"/>
      <c r="I205" s="120"/>
      <c r="J205" s="291"/>
      <c r="K205" s="291"/>
      <c r="L205" s="14"/>
      <c r="M205" s="14"/>
      <c r="N205" s="14"/>
      <c r="O205" s="14"/>
      <c r="P205" s="14"/>
      <c r="Q205" s="120" t="s">
        <v>434</v>
      </c>
      <c r="R205" s="102" t="s">
        <v>138</v>
      </c>
      <c r="S205" s="638" t="str">
        <f>L183</f>
        <v>-</v>
      </c>
      <c r="T205" s="638"/>
      <c r="U205" s="14" t="s">
        <v>9</v>
      </c>
      <c r="V205" s="197"/>
    </row>
    <row r="206" spans="1:25" ht="18" hidden="1" customHeight="1">
      <c r="A206" s="180"/>
      <c r="B206" s="5"/>
      <c r="C206" s="47" t="s">
        <v>557</v>
      </c>
      <c r="D206" s="14"/>
      <c r="E206" s="14"/>
      <c r="F206" s="18"/>
      <c r="G206" s="18"/>
      <c r="H206" s="291"/>
      <c r="I206" s="120"/>
      <c r="J206" s="291"/>
      <c r="K206" s="291"/>
      <c r="L206" s="14"/>
      <c r="M206" s="14"/>
      <c r="N206" s="14"/>
      <c r="O206" s="14"/>
      <c r="P206" s="14"/>
      <c r="Q206" s="120" t="s">
        <v>484</v>
      </c>
      <c r="R206" s="102" t="s">
        <v>138</v>
      </c>
      <c r="S206" s="638" t="str">
        <f>L186</f>
        <v>-</v>
      </c>
      <c r="T206" s="638"/>
      <c r="U206" s="14" t="s">
        <v>316</v>
      </c>
      <c r="V206" s="197"/>
    </row>
    <row r="207" spans="1:25" ht="18" hidden="1" customHeight="1">
      <c r="A207" s="180"/>
      <c r="B207" s="5"/>
      <c r="C207" s="47" t="s">
        <v>558</v>
      </c>
      <c r="D207" s="14"/>
      <c r="E207" s="14"/>
      <c r="F207" s="18"/>
      <c r="G207" s="18"/>
      <c r="H207" s="291"/>
      <c r="I207" s="120"/>
      <c r="J207" s="291"/>
      <c r="K207" s="291"/>
      <c r="L207" s="14"/>
      <c r="M207" s="14"/>
      <c r="N207" s="14"/>
      <c r="O207" s="14"/>
      <c r="P207" s="14"/>
      <c r="Q207" s="120" t="s">
        <v>502</v>
      </c>
      <c r="R207" s="102" t="s">
        <v>138</v>
      </c>
      <c r="S207" s="641" t="e">
        <f>P195</f>
        <v>#VALUE!</v>
      </c>
      <c r="T207" s="638"/>
      <c r="U207" s="14" t="s">
        <v>168</v>
      </c>
      <c r="V207" s="197"/>
      <c r="W207" s="291"/>
      <c r="X207" s="291"/>
      <c r="Y207" s="291"/>
    </row>
    <row r="208" spans="1:25" ht="18" hidden="1" customHeight="1">
      <c r="A208" s="180"/>
      <c r="B208" s="5"/>
      <c r="C208" s="47" t="s">
        <v>559</v>
      </c>
      <c r="D208" s="14"/>
      <c r="E208" s="14"/>
      <c r="F208" s="18"/>
      <c r="G208" s="18"/>
      <c r="H208" s="291"/>
      <c r="I208" s="120"/>
      <c r="J208" s="291"/>
      <c r="K208" s="291"/>
      <c r="L208" s="14"/>
      <c r="M208" s="14"/>
      <c r="N208" s="14"/>
      <c r="O208" s="14"/>
      <c r="P208" s="14"/>
      <c r="Q208" s="120" t="s">
        <v>523</v>
      </c>
      <c r="R208" s="102" t="s">
        <v>138</v>
      </c>
      <c r="S208" s="641">
        <f>J195</f>
        <v>1.5398674400000001</v>
      </c>
      <c r="T208" s="638"/>
      <c r="U208" s="14" t="s">
        <v>168</v>
      </c>
      <c r="V208" s="197"/>
      <c r="X208" s="291"/>
      <c r="Y208" s="291"/>
    </row>
    <row r="209" spans="1:25" ht="18" hidden="1" customHeight="1">
      <c r="A209" s="180"/>
      <c r="B209" s="5"/>
      <c r="C209" s="47" t="s">
        <v>560</v>
      </c>
      <c r="D209" s="14"/>
      <c r="E209" s="14"/>
      <c r="F209" s="14"/>
      <c r="G209" s="14"/>
      <c r="H209" s="291"/>
      <c r="I209" s="120"/>
      <c r="J209" s="291"/>
      <c r="K209" s="291"/>
      <c r="L209" s="14"/>
      <c r="M209" s="14"/>
      <c r="N209" s="14"/>
      <c r="O209" s="14"/>
      <c r="P209" s="14"/>
      <c r="Q209" s="120" t="s">
        <v>522</v>
      </c>
      <c r="R209" s="102" t="s">
        <v>138</v>
      </c>
      <c r="S209" s="638">
        <f>O183</f>
        <v>1</v>
      </c>
      <c r="T209" s="638"/>
      <c r="U209" s="14" t="s">
        <v>9</v>
      </c>
      <c r="V209" s="197"/>
      <c r="X209" s="291"/>
      <c r="Y209" s="291"/>
    </row>
    <row r="210" spans="1:25" ht="18" hidden="1" customHeight="1">
      <c r="A210" s="180"/>
      <c r="B210" s="5"/>
      <c r="C210" s="47" t="s">
        <v>561</v>
      </c>
      <c r="D210" s="14"/>
      <c r="E210" s="14"/>
      <c r="F210" s="14"/>
      <c r="G210" s="14"/>
      <c r="H210" s="291"/>
      <c r="I210" s="120"/>
      <c r="J210" s="291"/>
      <c r="K210" s="291"/>
      <c r="L210" s="14"/>
      <c r="M210" s="14"/>
      <c r="N210" s="14"/>
      <c r="O210" s="14"/>
      <c r="P210" s="14"/>
      <c r="Q210" s="120" t="s">
        <v>506</v>
      </c>
      <c r="R210" s="102" t="s">
        <v>138</v>
      </c>
      <c r="S210" s="638">
        <v>20</v>
      </c>
      <c r="T210" s="638"/>
      <c r="U210" s="47"/>
      <c r="V210" s="197"/>
    </row>
    <row r="211" spans="1:25" ht="18" hidden="1" customHeight="1">
      <c r="A211" s="311"/>
      <c r="B211" s="291"/>
      <c r="C211" s="47" t="s">
        <v>503</v>
      </c>
      <c r="D211" s="14"/>
      <c r="E211" s="14"/>
      <c r="F211" s="14"/>
      <c r="G211" s="14"/>
      <c r="H211" s="291"/>
      <c r="I211" s="120"/>
      <c r="J211" s="291"/>
      <c r="K211" s="291"/>
      <c r="L211" s="14"/>
      <c r="M211" s="14"/>
      <c r="N211" s="291"/>
      <c r="O211" s="291"/>
      <c r="P211" s="14"/>
      <c r="Q211" s="120" t="s">
        <v>504</v>
      </c>
      <c r="R211" s="14"/>
      <c r="S211" s="291"/>
      <c r="T211" s="291"/>
      <c r="U211" s="291"/>
      <c r="V211" s="312"/>
      <c r="W211" s="291"/>
      <c r="X211" s="291"/>
      <c r="Y211" s="291"/>
    </row>
    <row r="212" spans="1:25" ht="18" hidden="1" customHeight="1">
      <c r="A212" s="196"/>
      <c r="V212" s="197"/>
    </row>
    <row r="213" spans="1:25" ht="18" hidden="1" customHeight="1">
      <c r="A213" s="196"/>
      <c r="C213" s="120" t="s">
        <v>504</v>
      </c>
      <c r="D213" s="28" t="s">
        <v>138</v>
      </c>
      <c r="E213" s="28" t="s">
        <v>548</v>
      </c>
      <c r="F213" s="233">
        <v>1.3</v>
      </c>
      <c r="G213" s="233" t="s">
        <v>326</v>
      </c>
      <c r="H213" s="861" t="s">
        <v>484</v>
      </c>
      <c r="I213" s="968"/>
      <c r="J213" s="233" t="s">
        <v>326</v>
      </c>
      <c r="K213" s="233" t="s">
        <v>522</v>
      </c>
      <c r="L213" s="233" t="s">
        <v>552</v>
      </c>
      <c r="M213" s="233" t="s">
        <v>506</v>
      </c>
      <c r="N213" s="560" t="s">
        <v>553</v>
      </c>
      <c r="O213" s="575" t="s">
        <v>502</v>
      </c>
      <c r="V213" s="197"/>
    </row>
    <row r="214" spans="1:25" ht="18" hidden="1" customHeight="1">
      <c r="A214" s="196"/>
      <c r="C214" s="120"/>
      <c r="D214" s="27" t="s">
        <v>138</v>
      </c>
      <c r="E214" s="27" t="s">
        <v>548</v>
      </c>
      <c r="F214" s="257">
        <v>1.3</v>
      </c>
      <c r="G214" s="257" t="s">
        <v>326</v>
      </c>
      <c r="H214" s="969" t="str">
        <f>S206</f>
        <v>-</v>
      </c>
      <c r="I214" s="970"/>
      <c r="J214" s="257" t="s">
        <v>326</v>
      </c>
      <c r="K214" s="257">
        <f>S209</f>
        <v>1</v>
      </c>
      <c r="L214" s="257" t="s">
        <v>552</v>
      </c>
      <c r="M214" s="257">
        <f>S210</f>
        <v>20</v>
      </c>
      <c r="N214" s="474" t="s">
        <v>553</v>
      </c>
      <c r="O214" s="516" t="e">
        <f>S207</f>
        <v>#VALUE!</v>
      </c>
      <c r="V214" s="197"/>
    </row>
    <row r="215" spans="1:25" ht="18" hidden="1" customHeight="1">
      <c r="A215" s="196"/>
      <c r="D215" s="27" t="s">
        <v>138</v>
      </c>
      <c r="E215" s="639" t="e">
        <f>((F214*H214)/(K214*M214))-O214</f>
        <v>#VALUE!</v>
      </c>
      <c r="F215" s="639"/>
      <c r="G215" s="27" t="s">
        <v>168</v>
      </c>
      <c r="V215" s="197"/>
    </row>
    <row r="216" spans="1:25" ht="18" hidden="1" customHeight="1">
      <c r="A216" s="196"/>
      <c r="D216" s="27"/>
      <c r="E216" s="27"/>
      <c r="F216" s="27"/>
      <c r="G216" s="27"/>
      <c r="V216" s="197"/>
    </row>
    <row r="217" spans="1:25" ht="18" hidden="1" customHeight="1">
      <c r="A217" s="196"/>
      <c r="D217" s="27"/>
      <c r="E217" s="27"/>
      <c r="F217" s="27"/>
      <c r="G217" s="27"/>
      <c r="V217" s="197"/>
    </row>
    <row r="218" spans="1:25" ht="18" hidden="1" customHeight="1">
      <c r="A218" s="196"/>
      <c r="D218" s="27"/>
      <c r="E218" s="27"/>
      <c r="F218" s="27"/>
      <c r="G218" s="27"/>
      <c r="V218" s="197"/>
    </row>
    <row r="219" spans="1:25" ht="18" hidden="1" customHeight="1">
      <c r="A219" s="196"/>
      <c r="D219" s="27"/>
      <c r="E219" s="27"/>
      <c r="F219" s="27"/>
      <c r="G219" s="27"/>
      <c r="V219" s="197"/>
    </row>
    <row r="220" spans="1:25" ht="18" hidden="1" customHeight="1">
      <c r="A220" s="196"/>
      <c r="D220" s="27"/>
      <c r="E220" s="27"/>
      <c r="F220" s="27"/>
      <c r="G220" s="27"/>
      <c r="V220" s="197"/>
    </row>
    <row r="221" spans="1:25" ht="18" hidden="1" customHeight="1">
      <c r="A221" s="196"/>
      <c r="V221" s="197"/>
    </row>
    <row r="222" spans="1:25" s="14" customFormat="1" ht="18" hidden="1" customHeight="1">
      <c r="A222" s="206"/>
      <c r="B222" s="207"/>
      <c r="C222" s="207"/>
      <c r="D222" s="207"/>
      <c r="E222" s="207"/>
      <c r="F222" s="207"/>
      <c r="G222" s="207"/>
      <c r="H222" s="207"/>
      <c r="I222" s="207"/>
      <c r="J222" s="207"/>
      <c r="K222" s="207"/>
      <c r="L222" s="207"/>
      <c r="M222" s="207"/>
      <c r="N222" s="207"/>
      <c r="O222" s="207"/>
      <c r="P222" s="207"/>
      <c r="Q222" s="236"/>
      <c r="R222" s="194"/>
      <c r="S222" s="237"/>
      <c r="T222" s="207"/>
      <c r="U222" s="207"/>
      <c r="V222" s="140" t="s">
        <v>563</v>
      </c>
    </row>
    <row r="223" spans="1:25" ht="18" hidden="1" customHeight="1">
      <c r="A223" s="238"/>
      <c r="B223" s="239"/>
      <c r="C223" s="239"/>
      <c r="D223" s="239"/>
      <c r="E223" s="239"/>
      <c r="F223" s="239"/>
      <c r="G223" s="239"/>
      <c r="H223" s="239"/>
      <c r="I223" s="239"/>
      <c r="J223" s="239"/>
      <c r="K223" s="239"/>
      <c r="L223" s="239"/>
      <c r="M223" s="239"/>
      <c r="N223" s="239"/>
      <c r="O223" s="239"/>
      <c r="P223" s="239"/>
      <c r="Q223" s="239"/>
      <c r="R223" s="239"/>
      <c r="S223" s="239"/>
      <c r="T223" s="239"/>
      <c r="U223" s="239"/>
      <c r="V223" s="240"/>
    </row>
    <row r="224" spans="1:25" ht="18" hidden="1" customHeight="1">
      <c r="A224" s="196"/>
      <c r="E224" s="256" t="s">
        <v>123</v>
      </c>
      <c r="F224" s="27" t="s">
        <v>138</v>
      </c>
      <c r="G224" s="638" t="s">
        <v>555</v>
      </c>
      <c r="H224" s="638"/>
      <c r="I224" s="203" t="s">
        <v>353</v>
      </c>
      <c r="J224" s="639" t="s">
        <v>434</v>
      </c>
      <c r="K224" s="639"/>
      <c r="V224" s="197"/>
    </row>
    <row r="225" spans="1:22" ht="18" hidden="1" customHeight="1">
      <c r="A225" s="196"/>
      <c r="F225" s="27" t="s">
        <v>138</v>
      </c>
      <c r="G225" s="639">
        <f>S204</f>
        <v>40000</v>
      </c>
      <c r="H225" s="639"/>
      <c r="I225" s="203" t="s">
        <v>353</v>
      </c>
      <c r="J225" s="639" t="str">
        <f>S205</f>
        <v>-</v>
      </c>
      <c r="K225" s="639"/>
      <c r="V225" s="197"/>
    </row>
    <row r="226" spans="1:22" ht="18" hidden="1" customHeight="1">
      <c r="A226" s="196"/>
      <c r="F226" s="27" t="s">
        <v>138</v>
      </c>
      <c r="G226" s="637" t="e">
        <f>G225/J225</f>
        <v>#VALUE!</v>
      </c>
      <c r="H226" s="637"/>
      <c r="I226" s="27"/>
      <c r="J226" s="27"/>
      <c r="K226" s="27"/>
      <c r="V226" s="197"/>
    </row>
    <row r="227" spans="1:22" ht="18" hidden="1" customHeight="1">
      <c r="A227" s="196"/>
      <c r="V227" s="197"/>
    </row>
    <row r="228" spans="1:22" ht="18" hidden="1" customHeight="1">
      <c r="A228" s="196"/>
      <c r="E228" s="256" t="s">
        <v>564</v>
      </c>
      <c r="F228" s="27" t="s">
        <v>138</v>
      </c>
      <c r="G228" s="233" t="s">
        <v>506</v>
      </c>
      <c r="H228" s="233" t="s">
        <v>565</v>
      </c>
      <c r="I228" s="575" t="s">
        <v>502</v>
      </c>
      <c r="J228" s="233" t="s">
        <v>358</v>
      </c>
      <c r="K228" s="575" t="s">
        <v>504</v>
      </c>
      <c r="L228" s="233" t="s">
        <v>550</v>
      </c>
      <c r="M228" s="575" t="s">
        <v>502</v>
      </c>
      <c r="N228" s="233" t="s">
        <v>358</v>
      </c>
      <c r="O228" s="575" t="s">
        <v>523</v>
      </c>
      <c r="P228" s="28" t="s">
        <v>361</v>
      </c>
      <c r="V228" s="197"/>
    </row>
    <row r="229" spans="1:22" ht="18" hidden="1" customHeight="1">
      <c r="A229" s="196"/>
      <c r="F229" s="27" t="s">
        <v>138</v>
      </c>
      <c r="G229" s="254">
        <f>S210</f>
        <v>20</v>
      </c>
      <c r="H229" s="257" t="s">
        <v>565</v>
      </c>
      <c r="I229" s="313" t="e">
        <f>S207</f>
        <v>#VALUE!</v>
      </c>
      <c r="J229" s="257" t="s">
        <v>358</v>
      </c>
      <c r="K229" s="313" t="e">
        <f>E215</f>
        <v>#VALUE!</v>
      </c>
      <c r="L229" s="257" t="s">
        <v>550</v>
      </c>
      <c r="M229" s="313" t="e">
        <f>S207</f>
        <v>#VALUE!</v>
      </c>
      <c r="N229" s="257" t="s">
        <v>358</v>
      </c>
      <c r="O229" s="313">
        <f>S208</f>
        <v>1.5398674400000001</v>
      </c>
      <c r="P229" s="27" t="s">
        <v>361</v>
      </c>
      <c r="V229" s="197"/>
    </row>
    <row r="230" spans="1:22" ht="18" hidden="1" customHeight="1">
      <c r="A230" s="196"/>
      <c r="F230" s="27" t="s">
        <v>138</v>
      </c>
      <c r="G230" s="640" t="e">
        <f>G229*((I229+K229)/(M229+O229))</f>
        <v>#VALUE!</v>
      </c>
      <c r="H230" s="640"/>
      <c r="I230" s="254"/>
      <c r="J230" s="254"/>
      <c r="K230" s="254"/>
      <c r="L230" s="254"/>
      <c r="M230" s="254"/>
      <c r="N230" s="254"/>
      <c r="O230" s="254"/>
      <c r="V230" s="197"/>
    </row>
    <row r="231" spans="1:22" ht="18" hidden="1" customHeight="1">
      <c r="A231" s="196"/>
      <c r="V231" s="197"/>
    </row>
    <row r="232" spans="1:22" ht="18" hidden="1" customHeight="1">
      <c r="A232" s="196"/>
      <c r="E232" s="256" t="s">
        <v>566</v>
      </c>
      <c r="F232" s="27" t="e">
        <f>IF(D233&gt;G233,"&gt;","&lt;")</f>
        <v>#VALUE!</v>
      </c>
      <c r="G232" s="308" t="s">
        <v>123</v>
      </c>
      <c r="V232" s="197"/>
    </row>
    <row r="233" spans="1:22" ht="18" hidden="1" customHeight="1">
      <c r="A233" s="196"/>
      <c r="D233" s="637" t="e">
        <f>G230</f>
        <v>#VALUE!</v>
      </c>
      <c r="E233" s="637"/>
      <c r="F233" s="27" t="e">
        <f>F232</f>
        <v>#VALUE!</v>
      </c>
      <c r="G233" s="637" t="e">
        <f>G226</f>
        <v>#VALUE!</v>
      </c>
      <c r="H233" s="637"/>
      <c r="V233" s="197"/>
    </row>
    <row r="234" spans="1:22" ht="18" hidden="1" customHeight="1">
      <c r="A234" s="196"/>
      <c r="E234" s="256" t="s">
        <v>489</v>
      </c>
      <c r="G234" s="18" t="e">
        <f>IF(F232="&gt;","Suitably Dimentioned","Under Dimentioned")</f>
        <v>#VALUE!</v>
      </c>
      <c r="V234" s="197"/>
    </row>
    <row r="235" spans="1:22" ht="18" hidden="1" customHeight="1">
      <c r="A235" s="196"/>
      <c r="V235" s="197"/>
    </row>
    <row r="236" spans="1:22" ht="18" hidden="1" customHeight="1">
      <c r="A236" s="196"/>
      <c r="V236" s="197"/>
    </row>
    <row r="237" spans="1:22" ht="18" hidden="1" customHeight="1">
      <c r="A237" s="196"/>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ht="18" hidden="1" customHeight="1">
      <c r="A262" s="196"/>
      <c r="V262" s="197"/>
    </row>
    <row r="263" spans="1:22" ht="18" hidden="1" customHeight="1">
      <c r="A263" s="196"/>
      <c r="V263" s="197"/>
    </row>
    <row r="264" spans="1:22" ht="18" hidden="1" customHeight="1">
      <c r="A264" s="196"/>
      <c r="V264" s="197"/>
    </row>
    <row r="265" spans="1:22" ht="18" hidden="1" customHeight="1">
      <c r="A265" s="196"/>
      <c r="V265" s="197"/>
    </row>
    <row r="266" spans="1:22" s="14" customFormat="1" ht="18" hidden="1" customHeight="1">
      <c r="A266" s="206"/>
      <c r="B266" s="207"/>
      <c r="C266" s="207"/>
      <c r="D266" s="207"/>
      <c r="E266" s="207"/>
      <c r="F266" s="207"/>
      <c r="G266" s="207"/>
      <c r="H266" s="207"/>
      <c r="I266" s="207"/>
      <c r="J266" s="207"/>
      <c r="K266" s="207"/>
      <c r="L266" s="207"/>
      <c r="M266" s="207"/>
      <c r="N266" s="207"/>
      <c r="O266" s="207"/>
      <c r="P266" s="207"/>
      <c r="Q266" s="236"/>
      <c r="R266" s="194"/>
      <c r="S266" s="237"/>
      <c r="T266" s="207"/>
      <c r="U266" s="207"/>
      <c r="V266" s="140" t="s">
        <v>563</v>
      </c>
    </row>
    <row r="267" spans="1:22" ht="18" customHeight="1">
      <c r="A267" s="238"/>
      <c r="B267" s="239"/>
      <c r="C267" s="239"/>
      <c r="D267" s="239"/>
      <c r="E267" s="239"/>
      <c r="F267" s="239"/>
      <c r="G267" s="239"/>
      <c r="H267" s="239"/>
      <c r="I267" s="239"/>
      <c r="J267" s="239"/>
      <c r="K267" s="239"/>
      <c r="L267" s="239"/>
      <c r="M267" s="239"/>
      <c r="N267" s="239"/>
      <c r="O267" s="239"/>
      <c r="P267" s="239"/>
      <c r="Q267" s="239"/>
      <c r="R267" s="239"/>
      <c r="S267" s="239"/>
      <c r="T267" s="239"/>
      <c r="U267" s="239"/>
      <c r="V267" s="240"/>
    </row>
    <row r="268" spans="1:22" ht="18" customHeight="1">
      <c r="A268" s="96" t="s">
        <v>543</v>
      </c>
      <c r="B268" s="14"/>
      <c r="C268" s="14"/>
      <c r="D268" s="120"/>
      <c r="E268" s="120"/>
      <c r="F268" s="18"/>
      <c r="G268" s="18"/>
      <c r="H268" s="14"/>
      <c r="I268" s="14"/>
      <c r="J268" s="14"/>
      <c r="K268" s="14"/>
      <c r="L268" s="14"/>
      <c r="M268" s="14"/>
      <c r="N268" s="14"/>
      <c r="O268" s="14"/>
      <c r="P268" s="28"/>
      <c r="Q268" s="120"/>
      <c r="R268" s="47"/>
      <c r="S268" s="47"/>
      <c r="T268" s="14"/>
      <c r="U268" s="14"/>
      <c r="V268" s="97"/>
    </row>
    <row r="269" spans="1:22" ht="18" customHeight="1">
      <c r="A269" s="196"/>
      <c r="V269" s="197"/>
    </row>
    <row r="270" spans="1:22" ht="18" customHeight="1">
      <c r="A270" s="614" t="s">
        <v>97</v>
      </c>
      <c r="B270" s="620"/>
      <c r="C270" s="615"/>
      <c r="D270" s="614" t="s">
        <v>98</v>
      </c>
      <c r="E270" s="620"/>
      <c r="F270" s="615"/>
      <c r="G270" s="614" t="s">
        <v>99</v>
      </c>
      <c r="H270" s="615"/>
      <c r="I270" s="614" t="s">
        <v>100</v>
      </c>
      <c r="J270" s="615"/>
      <c r="K270" s="614" t="s">
        <v>513</v>
      </c>
      <c r="L270" s="615"/>
      <c r="M270" s="614" t="s">
        <v>102</v>
      </c>
      <c r="N270" s="615"/>
      <c r="O270" s="614" t="s">
        <v>103</v>
      </c>
      <c r="P270" s="615"/>
      <c r="Q270" s="614" t="s">
        <v>104</v>
      </c>
      <c r="R270" s="615"/>
      <c r="S270" s="614" t="s">
        <v>105</v>
      </c>
      <c r="T270" s="620"/>
      <c r="U270" s="620"/>
      <c r="V270" s="615"/>
    </row>
    <row r="271" spans="1:22" ht="18" customHeight="1">
      <c r="A271" s="616"/>
      <c r="B271" s="621"/>
      <c r="C271" s="617"/>
      <c r="D271" s="616"/>
      <c r="E271" s="621"/>
      <c r="F271" s="617"/>
      <c r="G271" s="616"/>
      <c r="H271" s="617"/>
      <c r="I271" s="616"/>
      <c r="J271" s="617"/>
      <c r="K271" s="616"/>
      <c r="L271" s="617"/>
      <c r="M271" s="616"/>
      <c r="N271" s="617"/>
      <c r="O271" s="616"/>
      <c r="P271" s="617"/>
      <c r="Q271" s="616"/>
      <c r="R271" s="617"/>
      <c r="S271" s="616"/>
      <c r="T271" s="621"/>
      <c r="U271" s="621"/>
      <c r="V271" s="617"/>
    </row>
    <row r="272" spans="1:22" ht="18" customHeight="1">
      <c r="A272" s="616"/>
      <c r="B272" s="621"/>
      <c r="C272" s="617"/>
      <c r="D272" s="616"/>
      <c r="E272" s="621"/>
      <c r="F272" s="617"/>
      <c r="G272" s="616"/>
      <c r="H272" s="617"/>
      <c r="I272" s="616"/>
      <c r="J272" s="617"/>
      <c r="K272" s="616"/>
      <c r="L272" s="617"/>
      <c r="M272" s="616"/>
      <c r="N272" s="617"/>
      <c r="O272" s="616"/>
      <c r="P272" s="617"/>
      <c r="Q272" s="616"/>
      <c r="R272" s="617"/>
      <c r="S272" s="616"/>
      <c r="T272" s="621"/>
      <c r="U272" s="621"/>
      <c r="V272" s="617"/>
    </row>
    <row r="273" spans="1:22" ht="18" customHeight="1">
      <c r="A273" s="618"/>
      <c r="B273" s="622"/>
      <c r="C273" s="619"/>
      <c r="D273" s="618"/>
      <c r="E273" s="622"/>
      <c r="F273" s="619"/>
      <c r="G273" s="618"/>
      <c r="H273" s="619"/>
      <c r="I273" s="618"/>
      <c r="J273" s="619"/>
      <c r="K273" s="618"/>
      <c r="L273" s="619"/>
      <c r="M273" s="618"/>
      <c r="N273" s="619"/>
      <c r="O273" s="618"/>
      <c r="P273" s="619"/>
      <c r="Q273" s="618"/>
      <c r="R273" s="619"/>
      <c r="S273" s="618"/>
      <c r="T273" s="622"/>
      <c r="U273" s="622"/>
      <c r="V273" s="619"/>
    </row>
    <row r="274" spans="1:22" ht="18" customHeight="1">
      <c r="A274" s="623" t="str">
        <f>B7</f>
        <v>T1</v>
      </c>
      <c r="B274" s="623" t="str">
        <f>D7</f>
        <v>Core3</v>
      </c>
      <c r="C274" s="623"/>
      <c r="D274" s="613">
        <f>H10</f>
        <v>2500</v>
      </c>
      <c r="E274" s="613"/>
      <c r="F274" s="624">
        <f>O10</f>
        <v>1</v>
      </c>
      <c r="G274" s="613">
        <f>'CT-VT Burdens'!S19</f>
        <v>80</v>
      </c>
      <c r="H274" s="783">
        <f>'CT-VT Burdens'!S10</f>
        <v>2.5</v>
      </c>
      <c r="I274" s="783" t="str">
        <f>H11</f>
        <v>5P20</v>
      </c>
      <c r="J274" s="783" t="e">
        <f>#REF!</f>
        <v>#REF!</v>
      </c>
      <c r="K274" s="612">
        <f>H12</f>
        <v>5</v>
      </c>
      <c r="L274" s="612"/>
      <c r="M274" s="785" t="s">
        <v>7</v>
      </c>
      <c r="N274" s="612"/>
      <c r="O274" s="786" t="s">
        <v>7</v>
      </c>
      <c r="P274" s="613"/>
      <c r="Q274" s="629" t="str">
        <f>IF(T8="",T7,IF(T9="",T7&amp;" "&amp;T8,T7&amp;" "&amp;T8&amp;" "&amp;T9))</f>
        <v>REF650 REC670 IDM+9</v>
      </c>
      <c r="R274" s="629"/>
      <c r="S274" s="628" t="str">
        <f>G61</f>
        <v>Suitably Dimentioned</v>
      </c>
      <c r="T274" s="628"/>
      <c r="U274" s="628"/>
      <c r="V274" s="628"/>
    </row>
    <row r="275" spans="1:22" ht="18" customHeight="1">
      <c r="A275" s="623"/>
      <c r="B275" s="623"/>
      <c r="C275" s="623"/>
      <c r="D275" s="786" t="s">
        <v>7</v>
      </c>
      <c r="E275" s="613"/>
      <c r="F275" s="625"/>
      <c r="G275" s="613"/>
      <c r="H275" s="613"/>
      <c r="I275" s="783"/>
      <c r="J275" s="783"/>
      <c r="K275" s="785" t="s">
        <v>7</v>
      </c>
      <c r="L275" s="612"/>
      <c r="M275" s="785" t="s">
        <v>7</v>
      </c>
      <c r="N275" s="612"/>
      <c r="O275" s="786" t="s">
        <v>7</v>
      </c>
      <c r="P275" s="613"/>
      <c r="Q275" s="629"/>
      <c r="R275" s="629"/>
      <c r="S275" s="961" t="s">
        <v>7</v>
      </c>
      <c r="T275" s="628"/>
      <c r="U275" s="628"/>
      <c r="V275" s="628"/>
    </row>
    <row r="276" spans="1:22" ht="18" customHeight="1">
      <c r="A276" s="623"/>
      <c r="B276" s="623"/>
      <c r="C276" s="623"/>
      <c r="D276" s="786" t="s">
        <v>7</v>
      </c>
      <c r="E276" s="613"/>
      <c r="F276" s="626"/>
      <c r="G276" s="613"/>
      <c r="H276" s="613"/>
      <c r="I276" s="783"/>
      <c r="J276" s="783"/>
      <c r="K276" s="785" t="s">
        <v>7</v>
      </c>
      <c r="L276" s="612"/>
      <c r="M276" s="785" t="s">
        <v>7</v>
      </c>
      <c r="N276" s="612"/>
      <c r="O276" s="786" t="s">
        <v>7</v>
      </c>
      <c r="P276" s="613"/>
      <c r="Q276" s="629"/>
      <c r="R276" s="629"/>
      <c r="S276" s="628" t="s">
        <v>7</v>
      </c>
      <c r="T276" s="628"/>
      <c r="U276" s="628"/>
      <c r="V276" s="628"/>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206"/>
      <c r="B307" s="207"/>
      <c r="C307" s="207"/>
      <c r="D307" s="207"/>
      <c r="E307" s="207"/>
      <c r="F307" s="207"/>
      <c r="G307" s="207"/>
      <c r="H307" s="207"/>
      <c r="I307" s="207"/>
      <c r="J307" s="207"/>
      <c r="K307" s="207"/>
      <c r="L307" s="207"/>
      <c r="M307" s="207"/>
      <c r="N307" s="207"/>
      <c r="O307" s="207"/>
      <c r="P307" s="207"/>
      <c r="Q307" s="236"/>
      <c r="R307" s="194"/>
      <c r="S307" s="237"/>
      <c r="T307" s="207"/>
      <c r="U307" s="207"/>
      <c r="V307" s="140"/>
    </row>
    <row r="313" spans="1:22" s="14" customFormat="1" ht="18" customHeight="1">
      <c r="A313" s="30"/>
      <c r="B313" s="30"/>
      <c r="C313" s="30"/>
      <c r="D313" s="30"/>
      <c r="E313" s="30"/>
      <c r="F313" s="30"/>
      <c r="G313" s="30"/>
      <c r="H313" s="30"/>
      <c r="I313" s="30"/>
      <c r="J313" s="30"/>
      <c r="K313" s="30"/>
      <c r="L313" s="30"/>
      <c r="M313" s="30"/>
      <c r="N313" s="30"/>
      <c r="O313" s="30"/>
      <c r="P313" s="30"/>
      <c r="Q313" s="30"/>
      <c r="R313" s="30"/>
      <c r="S313" s="30"/>
      <c r="T313" s="30"/>
      <c r="U313" s="30"/>
      <c r="V313" s="30"/>
    </row>
  </sheetData>
  <mergeCells count="176">
    <mergeCell ref="B7:C7"/>
    <mergeCell ref="T7:U7"/>
    <mergeCell ref="B8:C8"/>
    <mergeCell ref="H3:N4"/>
    <mergeCell ref="O3:Q3"/>
    <mergeCell ref="R3:V3"/>
    <mergeCell ref="O4:Q4"/>
    <mergeCell ref="R4:V4"/>
    <mergeCell ref="A1:G4"/>
    <mergeCell ref="H1:N1"/>
    <mergeCell ref="O1:Q1"/>
    <mergeCell ref="R1:V1"/>
    <mergeCell ref="H2:N2"/>
    <mergeCell ref="O2:Q2"/>
    <mergeCell ref="R2:V2"/>
    <mergeCell ref="A5:B5"/>
    <mergeCell ref="D5:F5"/>
    <mergeCell ref="H5:N5"/>
    <mergeCell ref="O5:Q5"/>
    <mergeCell ref="R5:V5"/>
    <mergeCell ref="H11:I11"/>
    <mergeCell ref="H12:I12"/>
    <mergeCell ref="H13:I13"/>
    <mergeCell ref="H14:I14"/>
    <mergeCell ref="J18:K18"/>
    <mergeCell ref="J19:K19"/>
    <mergeCell ref="T8:U8"/>
    <mergeCell ref="H9:I9"/>
    <mergeCell ref="J9:K9"/>
    <mergeCell ref="L9:M9"/>
    <mergeCell ref="T9:U9"/>
    <mergeCell ref="H10:I10"/>
    <mergeCell ref="J10:K10"/>
    <mergeCell ref="L10:M10"/>
    <mergeCell ref="S31:T31"/>
    <mergeCell ref="S32:T32"/>
    <mergeCell ref="S33:T33"/>
    <mergeCell ref="S34:T34"/>
    <mergeCell ref="S35:T35"/>
    <mergeCell ref="S36:T36"/>
    <mergeCell ref="J20:K20"/>
    <mergeCell ref="J21:K21"/>
    <mergeCell ref="J22:K22"/>
    <mergeCell ref="P22:Q22"/>
    <mergeCell ref="A24:V25"/>
    <mergeCell ref="H29:I29"/>
    <mergeCell ref="G52:H52"/>
    <mergeCell ref="J52:K52"/>
    <mergeCell ref="G53:H53"/>
    <mergeCell ref="G57:H57"/>
    <mergeCell ref="D60:E60"/>
    <mergeCell ref="G60:H60"/>
    <mergeCell ref="S37:T37"/>
    <mergeCell ref="S38:T38"/>
    <mergeCell ref="H40:I40"/>
    <mergeCell ref="H41:I41"/>
    <mergeCell ref="E42:F42"/>
    <mergeCell ref="G51:H51"/>
    <mergeCell ref="J51:K51"/>
    <mergeCell ref="T94:U94"/>
    <mergeCell ref="H95:I95"/>
    <mergeCell ref="J95:K95"/>
    <mergeCell ref="L95:M95"/>
    <mergeCell ref="B92:C92"/>
    <mergeCell ref="D92:E93"/>
    <mergeCell ref="H92:M92"/>
    <mergeCell ref="T92:U92"/>
    <mergeCell ref="B93:C93"/>
    <mergeCell ref="T93:U93"/>
    <mergeCell ref="J96:K96"/>
    <mergeCell ref="J97:K97"/>
    <mergeCell ref="J98:K98"/>
    <mergeCell ref="J99:K99"/>
    <mergeCell ref="J103:K103"/>
    <mergeCell ref="J104:K104"/>
    <mergeCell ref="H94:I94"/>
    <mergeCell ref="J94:K94"/>
    <mergeCell ref="L94:M94"/>
    <mergeCell ref="S116:T116"/>
    <mergeCell ref="S117:T117"/>
    <mergeCell ref="S118:T118"/>
    <mergeCell ref="S119:T119"/>
    <mergeCell ref="S120:T120"/>
    <mergeCell ref="S121:T121"/>
    <mergeCell ref="J105:K105"/>
    <mergeCell ref="J106:K106"/>
    <mergeCell ref="J107:K107"/>
    <mergeCell ref="P107:Q107"/>
    <mergeCell ref="A109:V110"/>
    <mergeCell ref="H114:I114"/>
    <mergeCell ref="G137:H137"/>
    <mergeCell ref="J137:K137"/>
    <mergeCell ref="G138:H138"/>
    <mergeCell ref="G142:H142"/>
    <mergeCell ref="D145:E145"/>
    <mergeCell ref="G145:H145"/>
    <mergeCell ref="S122:T122"/>
    <mergeCell ref="H125:I125"/>
    <mergeCell ref="H126:I126"/>
    <mergeCell ref="E127:F127"/>
    <mergeCell ref="G136:H136"/>
    <mergeCell ref="J136:K136"/>
    <mergeCell ref="T182:U182"/>
    <mergeCell ref="H183:I183"/>
    <mergeCell ref="J183:K183"/>
    <mergeCell ref="L183:M183"/>
    <mergeCell ref="B180:C180"/>
    <mergeCell ref="D180:E181"/>
    <mergeCell ref="H180:M180"/>
    <mergeCell ref="T180:U180"/>
    <mergeCell ref="B181:C181"/>
    <mergeCell ref="T181:U181"/>
    <mergeCell ref="L184:M184"/>
    <mergeCell ref="L185:M185"/>
    <mergeCell ref="L186:M186"/>
    <mergeCell ref="L187:M187"/>
    <mergeCell ref="J191:K191"/>
    <mergeCell ref="J192:K192"/>
    <mergeCell ref="H182:I182"/>
    <mergeCell ref="J182:K182"/>
    <mergeCell ref="L182:M182"/>
    <mergeCell ref="S204:T204"/>
    <mergeCell ref="S205:T205"/>
    <mergeCell ref="S206:T206"/>
    <mergeCell ref="S207:T207"/>
    <mergeCell ref="S208:T208"/>
    <mergeCell ref="S209:T209"/>
    <mergeCell ref="J193:K193"/>
    <mergeCell ref="J194:K194"/>
    <mergeCell ref="J195:K195"/>
    <mergeCell ref="P195:Q195"/>
    <mergeCell ref="A197:V198"/>
    <mergeCell ref="H202:I202"/>
    <mergeCell ref="G225:H225"/>
    <mergeCell ref="J225:K225"/>
    <mergeCell ref="G226:H226"/>
    <mergeCell ref="G230:H230"/>
    <mergeCell ref="D233:E233"/>
    <mergeCell ref="G233:H233"/>
    <mergeCell ref="S210:T210"/>
    <mergeCell ref="H213:I213"/>
    <mergeCell ref="H214:I214"/>
    <mergeCell ref="E215:F215"/>
    <mergeCell ref="G224:H224"/>
    <mergeCell ref="J224:K224"/>
    <mergeCell ref="A274:A276"/>
    <mergeCell ref="B274:C276"/>
    <mergeCell ref="D274:E274"/>
    <mergeCell ref="F274:F276"/>
    <mergeCell ref="G274:G276"/>
    <mergeCell ref="H274:H276"/>
    <mergeCell ref="I274:J276"/>
    <mergeCell ref="A270:C273"/>
    <mergeCell ref="D270:F273"/>
    <mergeCell ref="G270:H273"/>
    <mergeCell ref="I270:J273"/>
    <mergeCell ref="D276:E276"/>
    <mergeCell ref="Q274:R276"/>
    <mergeCell ref="S274:V274"/>
    <mergeCell ref="D275:E275"/>
    <mergeCell ref="K275:L275"/>
    <mergeCell ref="M275:N275"/>
    <mergeCell ref="O275:P275"/>
    <mergeCell ref="S275:V275"/>
    <mergeCell ref="O270:P273"/>
    <mergeCell ref="Q270:R273"/>
    <mergeCell ref="S270:V273"/>
    <mergeCell ref="K270:L273"/>
    <mergeCell ref="M270:N273"/>
    <mergeCell ref="K276:L276"/>
    <mergeCell ref="M276:N276"/>
    <mergeCell ref="O276:P276"/>
    <mergeCell ref="S276:V276"/>
    <mergeCell ref="K274:L274"/>
    <mergeCell ref="M274:N274"/>
    <mergeCell ref="O274:P274"/>
  </mergeCells>
  <conditionalFormatting sqref="G61 G146 G234">
    <cfRule type="cellIs" dxfId="39" priority="1" stopIfTrue="1" operator="equal">
      <formula>"Under Dimentioned"</formula>
    </cfRule>
  </conditionalFormatting>
  <dataValidations count="2">
    <dataValidation type="decimal" operator="equal" allowBlank="1" showInputMessage="1" showErrorMessage="1" sqref="K56" xr:uid="{1A5A67E6-0463-4EA3-94E5-C3CE4FF50156}">
      <formula1>0</formula1>
    </dataValidation>
    <dataValidation type="list" allowBlank="1" showInputMessage="1" showErrorMessage="1" sqref="D180 D7 D92" xr:uid="{B8892FDC-3DD5-4914-9B74-DA02322E1222}">
      <formula1>"Core1,Core2,Core3"</formula1>
    </dataValidation>
  </dataValidations>
  <printOptions horizontalCentered="1" verticalCentered="1"/>
  <pageMargins left="0.5" right="0.5" top="0.5" bottom="0.5" header="0" footer="0"/>
  <pageSetup paperSize="9" scale="90" orientation="portrait" r:id="rId1"/>
  <headerFooter alignWithMargins="0"/>
  <rowBreaks count="2" manualBreakCount="2">
    <brk id="49" max="21" man="1"/>
    <brk id="90" max="21"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9B02-757C-48D6-AF21-D692591E8A98}">
  <sheetPr>
    <tabColor rgb="FFFFFF00"/>
  </sheetPr>
  <dimension ref="A1:Y126"/>
  <sheetViews>
    <sheetView showZeros="0" view="pageBreakPreview" topLeftCell="A61" zoomScaleNormal="100" zoomScaleSheetLayoutView="100" workbookViewId="0">
      <selection activeCell="K13" sqref="K13"/>
    </sheetView>
  </sheetViews>
  <sheetFormatPr defaultColWidth="4.33203125" defaultRowHeight="18" customHeight="1"/>
  <cols>
    <col min="1" max="17" width="4.33203125" style="30"/>
    <col min="18" max="18" width="6.44140625" style="30" customWidth="1"/>
    <col min="19" max="16384" width="4.33203125" style="30"/>
  </cols>
  <sheetData>
    <row r="1" spans="1:24" ht="18" customHeight="1">
      <c r="A1" s="717" t="s">
        <v>0</v>
      </c>
      <c r="B1" s="718"/>
      <c r="C1" s="718"/>
      <c r="D1" s="718"/>
      <c r="E1" s="718"/>
      <c r="F1" s="718"/>
      <c r="G1" s="719"/>
      <c r="H1" s="726" t="str">
        <f>[3]Title!H1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[3]Title!H2</f>
        <v>ADEQUACY CHECK</v>
      </c>
      <c r="I2" s="730"/>
      <c r="J2" s="730"/>
      <c r="K2" s="730"/>
      <c r="L2" s="730"/>
      <c r="M2" s="730"/>
      <c r="N2" s="731"/>
      <c r="O2" s="702" t="str">
        <f>[3]Title!O2</f>
        <v>Date</v>
      </c>
      <c r="P2" s="703"/>
      <c r="Q2" s="704"/>
      <c r="R2" s="732">
        <f>Title!R2</f>
        <v>46106</v>
      </c>
      <c r="S2" s="706"/>
      <c r="T2" s="706"/>
      <c r="U2" s="706"/>
      <c r="V2" s="707"/>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[3]Title!O3</f>
        <v>Document No.</v>
      </c>
      <c r="P3" s="703"/>
      <c r="Q3" s="704"/>
      <c r="R3" s="1055" t="str">
        <f>Title!R3</f>
        <v>-</v>
      </c>
      <c r="S3" s="1056"/>
      <c r="T3" s="1056"/>
      <c r="U3" s="1056"/>
      <c r="V3" s="1057"/>
      <c r="W3" s="14"/>
      <c r="X3" s="14"/>
    </row>
    <row r="4" spans="1:24" ht="18" customHeight="1">
      <c r="A4" s="723"/>
      <c r="B4" s="724"/>
      <c r="C4" s="724"/>
      <c r="D4" s="724"/>
      <c r="E4" s="724"/>
      <c r="F4" s="724"/>
      <c r="G4" s="725"/>
      <c r="H4" s="738"/>
      <c r="I4" s="739"/>
      <c r="J4" s="739"/>
      <c r="K4" s="739"/>
      <c r="L4" s="739"/>
      <c r="M4" s="739"/>
      <c r="N4" s="740"/>
      <c r="O4" s="702" t="str">
        <f>[3]Title!O4</f>
        <v>Revision No.</v>
      </c>
      <c r="P4" s="703"/>
      <c r="Q4" s="704"/>
      <c r="R4" s="705" t="str">
        <f>Title!R4</f>
        <v>A</v>
      </c>
      <c r="S4" s="706"/>
      <c r="T4" s="706"/>
      <c r="U4" s="706"/>
      <c r="V4" s="707"/>
      <c r="W4" s="14"/>
      <c r="X4" s="14"/>
    </row>
    <row r="5" spans="1:24" ht="18" customHeight="1">
      <c r="A5" s="708" t="str">
        <f>[3]Title!A5</f>
        <v>Prep. By</v>
      </c>
      <c r="B5" s="709"/>
      <c r="C5" s="25" t="str">
        <f>[3]Title!C5</f>
        <v>AK</v>
      </c>
      <c r="D5" s="708" t="str">
        <f>[3]Title!D5</f>
        <v>Checked By</v>
      </c>
      <c r="E5" s="710"/>
      <c r="F5" s="709"/>
      <c r="G5" s="25" t="str">
        <f>[3]Title!G5</f>
        <v>LN</v>
      </c>
      <c r="H5" s="973" t="s">
        <v>927</v>
      </c>
      <c r="I5" s="974"/>
      <c r="J5" s="974"/>
      <c r="K5" s="974"/>
      <c r="L5" s="974"/>
      <c r="M5" s="974"/>
      <c r="N5" s="975"/>
      <c r="O5" s="714" t="str">
        <f>[3]Title!O5</f>
        <v>Contractor</v>
      </c>
      <c r="P5" s="715"/>
      <c r="Q5" s="716"/>
      <c r="R5" s="705" t="str">
        <f>Title!R5</f>
        <v>HITACHI</v>
      </c>
      <c r="S5" s="706"/>
      <c r="T5" s="706"/>
      <c r="U5" s="706"/>
      <c r="V5" s="707"/>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940" t="s">
        <v>120</v>
      </c>
      <c r="C7" s="941"/>
      <c r="D7" s="940" t="s">
        <v>125</v>
      </c>
      <c r="E7" s="941"/>
      <c r="F7" s="267"/>
      <c r="H7" s="14"/>
      <c r="I7" s="14"/>
      <c r="J7" s="14"/>
      <c r="K7" s="14"/>
      <c r="L7" s="14"/>
      <c r="M7" s="14"/>
      <c r="P7" s="198"/>
      <c r="S7" s="199" t="s">
        <v>398</v>
      </c>
      <c r="T7" s="940" t="s">
        <v>928</v>
      </c>
      <c r="U7" s="941"/>
      <c r="V7" s="197"/>
    </row>
    <row r="8" spans="1:24" ht="18" customHeight="1">
      <c r="A8" s="196"/>
      <c r="B8"/>
      <c r="C8"/>
      <c r="D8"/>
      <c r="E8"/>
      <c r="F8" s="267"/>
      <c r="T8"/>
      <c r="U8"/>
      <c r="V8" s="197"/>
    </row>
    <row r="9" spans="1:24" ht="18" customHeight="1">
      <c r="A9" s="196"/>
      <c r="H9" s="662" t="s">
        <v>401</v>
      </c>
      <c r="I9" s="662"/>
      <c r="J9" s="701" t="s">
        <v>402</v>
      </c>
      <c r="K9" s="701"/>
      <c r="L9" s="701" t="s">
        <v>403</v>
      </c>
      <c r="M9" s="701"/>
      <c r="T9"/>
      <c r="U9"/>
      <c r="V9" s="197"/>
    </row>
    <row r="10" spans="1:24" ht="18" customHeight="1">
      <c r="A10" s="196"/>
      <c r="B10" s="47" t="s">
        <v>404</v>
      </c>
      <c r="H10" s="942">
        <v>2500</v>
      </c>
      <c r="I10" s="943"/>
      <c r="J10" s="940" t="s">
        <v>7</v>
      </c>
      <c r="K10" s="941"/>
      <c r="L10" s="940" t="s">
        <v>7</v>
      </c>
      <c r="M10" s="941"/>
      <c r="N10" s="203" t="s">
        <v>353</v>
      </c>
      <c r="O10" s="515">
        <v>1</v>
      </c>
      <c r="P10" s="27" t="s">
        <v>9</v>
      </c>
      <c r="R10" s="267"/>
      <c r="S10" s="267"/>
      <c r="V10" s="197"/>
    </row>
    <row r="11" spans="1:24" ht="18" customHeight="1">
      <c r="A11" s="196"/>
      <c r="B11" s="47" t="s">
        <v>405</v>
      </c>
      <c r="H11" s="940" t="s">
        <v>849</v>
      </c>
      <c r="I11" s="941"/>
      <c r="V11" s="197"/>
    </row>
    <row r="12" spans="1:24" ht="18" customHeight="1">
      <c r="A12" s="196"/>
      <c r="B12" s="47" t="s">
        <v>407</v>
      </c>
      <c r="G12" s="120" t="s">
        <v>508</v>
      </c>
      <c r="H12" s="940">
        <v>5</v>
      </c>
      <c r="I12" s="941"/>
      <c r="J12" s="204" t="s">
        <v>344</v>
      </c>
      <c r="V12" s="197"/>
    </row>
    <row r="13" spans="1:24" ht="18" customHeight="1">
      <c r="A13" s="196"/>
      <c r="B13" s="47" t="s">
        <v>409</v>
      </c>
      <c r="G13" s="120" t="s">
        <v>509</v>
      </c>
      <c r="H13" s="940">
        <v>750</v>
      </c>
      <c r="I13" s="941"/>
      <c r="J13" s="14" t="s">
        <v>316</v>
      </c>
      <c r="V13" s="197"/>
      <c r="W13" s="30" t="str">
        <f>G58</f>
        <v>Suitably Dimentioned</v>
      </c>
    </row>
    <row r="14" spans="1:24" ht="18" customHeight="1">
      <c r="A14" s="196"/>
      <c r="B14" s="14" t="s">
        <v>412</v>
      </c>
      <c r="G14" s="120" t="s">
        <v>413</v>
      </c>
      <c r="H14" s="940">
        <v>60</v>
      </c>
      <c r="I14" s="941"/>
      <c r="J14" s="14" t="s">
        <v>414</v>
      </c>
      <c r="V14" s="197"/>
    </row>
    <row r="15" spans="1:24" ht="18" customHeight="1">
      <c r="A15" s="196"/>
      <c r="V15" s="197"/>
    </row>
    <row r="16" spans="1:24" ht="18" customHeight="1">
      <c r="A16" s="205" t="s">
        <v>415</v>
      </c>
      <c r="V16" s="197"/>
    </row>
    <row r="17" spans="1:22" ht="18" customHeight="1">
      <c r="A17" s="196"/>
      <c r="V17" s="197"/>
    </row>
    <row r="18" spans="1:22" ht="18" customHeight="1">
      <c r="A18" s="196"/>
      <c r="B18" s="141" t="s">
        <v>416</v>
      </c>
      <c r="C18" s="285"/>
      <c r="D18" s="146" t="str">
        <f>T7</f>
        <v>REF650</v>
      </c>
      <c r="E18" s="239"/>
      <c r="F18" s="239"/>
      <c r="G18" s="239"/>
      <c r="H18" s="145"/>
      <c r="I18" s="272" t="s">
        <v>138</v>
      </c>
      <c r="J18" s="948">
        <f>'CT-VT Burdens'!Q48</f>
        <v>0.02</v>
      </c>
      <c r="K18" s="949"/>
      <c r="L18" s="3" t="s">
        <v>168</v>
      </c>
      <c r="N18" s="209" t="s">
        <v>521</v>
      </c>
      <c r="V18" s="197"/>
    </row>
    <row r="19" spans="1:22" ht="18" customHeight="1">
      <c r="A19" s="196"/>
      <c r="B19" s="96" t="s">
        <v>416</v>
      </c>
      <c r="D19" s="308">
        <f>T8</f>
        <v>0</v>
      </c>
      <c r="I19" s="189" t="s">
        <v>138</v>
      </c>
      <c r="J19" s="976"/>
      <c r="K19" s="977"/>
      <c r="L19" s="210" t="s">
        <v>168</v>
      </c>
      <c r="P19" s="256"/>
      <c r="V19" s="197"/>
    </row>
    <row r="20" spans="1:22" ht="18" customHeight="1">
      <c r="A20" s="196"/>
      <c r="B20" s="96" t="s">
        <v>416</v>
      </c>
      <c r="C20" s="14"/>
      <c r="D20" s="47">
        <f>T9</f>
        <v>0</v>
      </c>
      <c r="E20" s="14"/>
      <c r="G20" s="211"/>
      <c r="H20" s="27"/>
      <c r="I20" s="101" t="s">
        <v>138</v>
      </c>
      <c r="J20" s="971"/>
      <c r="K20" s="972"/>
      <c r="L20" s="214" t="s">
        <v>168</v>
      </c>
      <c r="N20" s="28" t="s">
        <v>502</v>
      </c>
      <c r="O20" s="27" t="s">
        <v>138</v>
      </c>
      <c r="P20" s="27" t="s">
        <v>522</v>
      </c>
      <c r="Q20" s="27" t="s">
        <v>326</v>
      </c>
      <c r="R20" s="27" t="s">
        <v>522</v>
      </c>
      <c r="S20" s="27" t="s">
        <v>326</v>
      </c>
      <c r="T20" s="27" t="s">
        <v>431</v>
      </c>
      <c r="V20" s="197"/>
    </row>
    <row r="21" spans="1:22" ht="18" customHeight="1">
      <c r="A21" s="196"/>
      <c r="B21" s="196" t="s">
        <v>423</v>
      </c>
      <c r="C21" s="14"/>
      <c r="D21" s="14"/>
      <c r="E21" s="14"/>
      <c r="H21" s="27"/>
      <c r="I21" s="101" t="s">
        <v>138</v>
      </c>
      <c r="J21" s="950">
        <f>'CT-VT Burdens'!S39</f>
        <v>2.7035014500000001</v>
      </c>
      <c r="K21" s="951"/>
      <c r="L21" s="309" t="s">
        <v>168</v>
      </c>
      <c r="O21" s="27" t="s">
        <v>138</v>
      </c>
      <c r="P21" s="27">
        <f>O10</f>
        <v>1</v>
      </c>
      <c r="Q21" s="27" t="s">
        <v>326</v>
      </c>
      <c r="R21" s="27">
        <f>O10</f>
        <v>1</v>
      </c>
      <c r="S21" s="27" t="s">
        <v>326</v>
      </c>
      <c r="T21" s="27">
        <f>H12</f>
        <v>5</v>
      </c>
      <c r="V21" s="197"/>
    </row>
    <row r="22" spans="1:22" ht="18" customHeight="1">
      <c r="A22" s="196"/>
      <c r="B22" s="1" t="s">
        <v>424</v>
      </c>
      <c r="C22" s="2"/>
      <c r="D22" s="2"/>
      <c r="E22" s="2"/>
      <c r="F22" s="208"/>
      <c r="G22" s="208"/>
      <c r="H22" s="236" t="s">
        <v>523</v>
      </c>
      <c r="I22" s="195" t="s">
        <v>138</v>
      </c>
      <c r="J22" s="648">
        <f>SUM(J18:J21)</f>
        <v>2.7235014500000001</v>
      </c>
      <c r="K22" s="649"/>
      <c r="L22" s="3" t="s">
        <v>168</v>
      </c>
      <c r="O22" s="27" t="s">
        <v>138</v>
      </c>
      <c r="P22" s="637">
        <f>P21*R21*T21</f>
        <v>5</v>
      </c>
      <c r="Q22" s="639"/>
      <c r="R22" s="27" t="s">
        <v>168</v>
      </c>
      <c r="S22" s="27"/>
      <c r="T22" s="27"/>
      <c r="V22" s="197"/>
    </row>
    <row r="23" spans="1:22" ht="18" customHeight="1">
      <c r="A23" s="196"/>
      <c r="B23" s="47"/>
      <c r="C23" s="47"/>
      <c r="D23" s="47"/>
      <c r="E23" s="47"/>
      <c r="H23" s="27"/>
      <c r="I23" s="28"/>
      <c r="J23" s="211"/>
      <c r="L23" s="47"/>
      <c r="O23" s="27"/>
      <c r="P23" s="223"/>
      <c r="Q23" s="27"/>
      <c r="R23" s="216"/>
      <c r="S23" s="27"/>
      <c r="V23" s="197"/>
    </row>
    <row r="24" spans="1:22" ht="18" customHeight="1">
      <c r="A24" s="964" t="s">
        <v>547</v>
      </c>
      <c r="B24" s="965"/>
      <c r="C24" s="965"/>
      <c r="D24" s="965"/>
      <c r="E24" s="965"/>
      <c r="F24" s="965"/>
      <c r="G24" s="965"/>
      <c r="H24" s="965"/>
      <c r="I24" s="965"/>
      <c r="J24" s="965"/>
      <c r="K24" s="965"/>
      <c r="L24" s="965"/>
      <c r="M24" s="965"/>
      <c r="N24" s="965"/>
      <c r="O24" s="965"/>
      <c r="P24" s="965"/>
      <c r="Q24" s="965"/>
      <c r="R24" s="965"/>
      <c r="S24" s="965"/>
      <c r="T24" s="965"/>
      <c r="U24" s="965"/>
      <c r="V24" s="966"/>
    </row>
    <row r="25" spans="1:22" ht="18" customHeight="1">
      <c r="A25" s="967"/>
      <c r="B25" s="965"/>
      <c r="C25" s="965"/>
      <c r="D25" s="965"/>
      <c r="E25" s="965"/>
      <c r="F25" s="965"/>
      <c r="G25" s="965"/>
      <c r="H25" s="965"/>
      <c r="I25" s="965"/>
      <c r="J25" s="965"/>
      <c r="K25" s="965"/>
      <c r="L25" s="965"/>
      <c r="M25" s="965"/>
      <c r="N25" s="965"/>
      <c r="O25" s="965"/>
      <c r="P25" s="965"/>
      <c r="Q25" s="965"/>
      <c r="R25" s="965"/>
      <c r="S25" s="965"/>
      <c r="T25" s="965"/>
      <c r="U25" s="965"/>
      <c r="V25" s="966"/>
    </row>
    <row r="26" spans="1:22" ht="18" customHeight="1">
      <c r="A26" s="196"/>
      <c r="Q26" s="223"/>
      <c r="R26" s="204"/>
      <c r="V26" s="197"/>
    </row>
    <row r="27" spans="1:22" ht="18" customHeight="1">
      <c r="A27" s="196"/>
      <c r="C27" s="28" t="s">
        <v>484</v>
      </c>
      <c r="D27" s="28" t="s">
        <v>138</v>
      </c>
      <c r="E27" s="28" t="s">
        <v>548</v>
      </c>
      <c r="F27" s="28" t="s">
        <v>504</v>
      </c>
      <c r="G27" s="28" t="s">
        <v>358</v>
      </c>
      <c r="H27" s="28" t="s">
        <v>502</v>
      </c>
      <c r="I27" s="28" t="s">
        <v>549</v>
      </c>
      <c r="J27" s="28" t="s">
        <v>506</v>
      </c>
      <c r="K27" s="28" t="s">
        <v>550</v>
      </c>
      <c r="L27" s="28" t="s">
        <v>522</v>
      </c>
      <c r="M27" s="28" t="s">
        <v>326</v>
      </c>
      <c r="N27" s="28">
        <v>1.3</v>
      </c>
      <c r="O27" s="47" t="s">
        <v>361</v>
      </c>
      <c r="V27" s="197"/>
    </row>
    <row r="28" spans="1:22" ht="18" customHeight="1">
      <c r="A28" s="572" t="s">
        <v>551</v>
      </c>
      <c r="C28" s="28"/>
      <c r="D28" s="28"/>
      <c r="E28" s="14"/>
      <c r="F28" s="14"/>
      <c r="G28" s="14"/>
      <c r="H28" s="14"/>
      <c r="I28" s="14"/>
      <c r="J28" s="14"/>
      <c r="K28" s="14"/>
      <c r="L28" s="14"/>
      <c r="M28" s="14"/>
      <c r="N28" s="14"/>
      <c r="O28" s="14"/>
      <c r="V28" s="197"/>
    </row>
    <row r="29" spans="1:22" ht="18" customHeight="1">
      <c r="A29" s="196"/>
      <c r="C29" s="28" t="s">
        <v>504</v>
      </c>
      <c r="D29" s="28" t="s">
        <v>138</v>
      </c>
      <c r="E29" s="28" t="s">
        <v>548</v>
      </c>
      <c r="F29" s="28">
        <v>1.3</v>
      </c>
      <c r="G29" s="28" t="s">
        <v>326</v>
      </c>
      <c r="H29" s="638" t="s">
        <v>484</v>
      </c>
      <c r="I29" s="920"/>
      <c r="J29" s="28" t="s">
        <v>326</v>
      </c>
      <c r="K29" s="28" t="s">
        <v>522</v>
      </c>
      <c r="L29" s="28" t="s">
        <v>552</v>
      </c>
      <c r="M29" s="28" t="s">
        <v>506</v>
      </c>
      <c r="N29" s="47" t="s">
        <v>553</v>
      </c>
      <c r="O29" s="28" t="s">
        <v>502</v>
      </c>
      <c r="V29" s="197"/>
    </row>
    <row r="30" spans="1:22" ht="18" customHeight="1">
      <c r="A30" s="196"/>
      <c r="V30" s="197"/>
    </row>
    <row r="31" spans="1:22" ht="18" customHeight="1">
      <c r="A31" s="180"/>
      <c r="B31" s="5"/>
      <c r="C31" s="47" t="s">
        <v>554</v>
      </c>
      <c r="D31" s="14"/>
      <c r="E31" s="14"/>
      <c r="F31" s="14"/>
      <c r="G31" s="14"/>
      <c r="H31" s="291"/>
      <c r="I31" s="120"/>
      <c r="J31" s="291"/>
      <c r="K31" s="291"/>
      <c r="L31" s="14"/>
      <c r="M31" s="14"/>
      <c r="N31" s="14"/>
      <c r="O31" s="14"/>
      <c r="P31" s="14"/>
      <c r="Q31" s="120" t="s">
        <v>555</v>
      </c>
      <c r="R31" s="102" t="s">
        <v>138</v>
      </c>
      <c r="S31" s="638">
        <f>'Parameters &amp; Fault Cal. (4)'!Q10 *1000</f>
        <v>40000</v>
      </c>
      <c r="T31" s="638"/>
      <c r="U31" s="47" t="s">
        <v>9</v>
      </c>
      <c r="V31" s="197"/>
    </row>
    <row r="32" spans="1:22" ht="18" customHeight="1">
      <c r="A32" s="180"/>
      <c r="B32" s="5"/>
      <c r="C32" s="47" t="s">
        <v>556</v>
      </c>
      <c r="D32" s="14"/>
      <c r="E32" s="14"/>
      <c r="F32" s="18"/>
      <c r="G32" s="18"/>
      <c r="H32" s="291"/>
      <c r="I32" s="120"/>
      <c r="J32" s="291"/>
      <c r="K32" s="291"/>
      <c r="L32" s="14"/>
      <c r="M32" s="14"/>
      <c r="N32" s="14"/>
      <c r="O32" s="14"/>
      <c r="P32" s="14"/>
      <c r="Q32" s="120" t="s">
        <v>434</v>
      </c>
      <c r="R32" s="102" t="s">
        <v>138</v>
      </c>
      <c r="S32" s="638">
        <f>H10</f>
        <v>2500</v>
      </c>
      <c r="T32" s="638"/>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638">
        <f>H13</f>
        <v>750</v>
      </c>
      <c r="T33" s="638"/>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641">
        <f>P22</f>
        <v>5</v>
      </c>
      <c r="T34" s="638"/>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641">
        <f>J22</f>
        <v>2.7235014500000001</v>
      </c>
      <c r="T35" s="638"/>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638">
        <f>O10</f>
        <v>1</v>
      </c>
      <c r="T36" s="638"/>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638">
        <v>20</v>
      </c>
      <c r="T37" s="638"/>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639">
        <f>E42</f>
        <v>43.75</v>
      </c>
      <c r="T38" s="639"/>
      <c r="U38" s="291"/>
      <c r="V38" s="312"/>
      <c r="W38" s="291"/>
      <c r="X38" s="291"/>
      <c r="Y38" s="291"/>
    </row>
    <row r="39" spans="1:25" ht="18" customHeight="1">
      <c r="A39" s="196"/>
      <c r="V39" s="197"/>
    </row>
    <row r="40" spans="1:25" ht="18" customHeight="1">
      <c r="A40" s="196"/>
      <c r="C40" s="28" t="s">
        <v>504</v>
      </c>
      <c r="D40" s="28" t="s">
        <v>138</v>
      </c>
      <c r="E40" s="28" t="s">
        <v>548</v>
      </c>
      <c r="F40" s="233">
        <v>1.3</v>
      </c>
      <c r="G40" s="233" t="s">
        <v>326</v>
      </c>
      <c r="H40" s="861" t="s">
        <v>484</v>
      </c>
      <c r="I40" s="968"/>
      <c r="J40" s="233" t="s">
        <v>326</v>
      </c>
      <c r="K40" s="233" t="s">
        <v>522</v>
      </c>
      <c r="L40" s="233" t="s">
        <v>552</v>
      </c>
      <c r="M40" s="233" t="s">
        <v>506</v>
      </c>
      <c r="N40" s="560" t="s">
        <v>553</v>
      </c>
      <c r="O40" s="233" t="s">
        <v>502</v>
      </c>
      <c r="V40" s="197"/>
    </row>
    <row r="41" spans="1:25" ht="18" customHeight="1">
      <c r="A41" s="196"/>
      <c r="C41" s="120"/>
      <c r="D41" s="27" t="s">
        <v>138</v>
      </c>
      <c r="E41" s="27" t="s">
        <v>548</v>
      </c>
      <c r="F41" s="257">
        <v>1.3</v>
      </c>
      <c r="G41" s="257" t="s">
        <v>326</v>
      </c>
      <c r="H41" s="969">
        <f>S33</f>
        <v>750</v>
      </c>
      <c r="I41" s="970"/>
      <c r="J41" s="257" t="s">
        <v>326</v>
      </c>
      <c r="K41" s="257">
        <f>S36</f>
        <v>1</v>
      </c>
      <c r="L41" s="257" t="s">
        <v>552</v>
      </c>
      <c r="M41" s="257">
        <f>S37</f>
        <v>20</v>
      </c>
      <c r="N41" s="474" t="s">
        <v>553</v>
      </c>
      <c r="O41" s="516">
        <f>S34</f>
        <v>5</v>
      </c>
      <c r="V41" s="197"/>
    </row>
    <row r="42" spans="1:25" ht="18" customHeight="1">
      <c r="A42" s="196"/>
      <c r="D42" s="27" t="s">
        <v>138</v>
      </c>
      <c r="E42" s="639">
        <f>((F41*H41)/(K41*M41))-O41</f>
        <v>43.75</v>
      </c>
      <c r="F42" s="639"/>
      <c r="G42" s="27" t="s">
        <v>168</v>
      </c>
      <c r="V42" s="197"/>
    </row>
    <row r="43" spans="1:25" ht="18" customHeight="1">
      <c r="A43" s="196"/>
      <c r="D43" s="27"/>
      <c r="E43" s="27"/>
      <c r="F43" s="27"/>
      <c r="G43" s="27"/>
      <c r="V43" s="197"/>
    </row>
    <row r="44" spans="1:25" ht="18" customHeight="1">
      <c r="A44" s="196"/>
      <c r="D44" s="27"/>
      <c r="E44" s="27"/>
      <c r="F44" s="27"/>
      <c r="G44" s="27"/>
      <c r="V44" s="197"/>
    </row>
    <row r="45" spans="1:25" ht="18" customHeight="1">
      <c r="A45" s="196"/>
      <c r="D45" s="27"/>
      <c r="E45" s="27"/>
      <c r="F45" s="27"/>
      <c r="G45" s="27"/>
      <c r="V45" s="197"/>
    </row>
    <row r="46" spans="1:25" ht="18" customHeight="1">
      <c r="A46" s="302"/>
      <c r="B46" s="208"/>
      <c r="C46" s="208"/>
      <c r="D46" s="319"/>
      <c r="E46" s="319"/>
      <c r="F46" s="319"/>
      <c r="G46" s="319"/>
      <c r="H46" s="208"/>
      <c r="I46" s="208"/>
      <c r="J46" s="208"/>
      <c r="K46" s="208"/>
      <c r="L46" s="208"/>
      <c r="M46" s="208"/>
      <c r="N46" s="208"/>
      <c r="O46" s="208"/>
      <c r="P46" s="208"/>
      <c r="Q46" s="208"/>
      <c r="R46" s="208"/>
      <c r="S46" s="208"/>
      <c r="T46" s="208"/>
      <c r="U46" s="208"/>
      <c r="V46" s="303"/>
    </row>
    <row r="47" spans="1:25" ht="18" customHeight="1">
      <c r="A47" s="238"/>
      <c r="B47" s="239"/>
      <c r="C47" s="239"/>
      <c r="D47" s="323"/>
      <c r="E47" s="323"/>
      <c r="F47" s="323"/>
      <c r="G47" s="323"/>
      <c r="H47" s="239"/>
      <c r="I47" s="239"/>
      <c r="J47" s="239"/>
      <c r="K47" s="239"/>
      <c r="L47" s="239"/>
      <c r="M47" s="239"/>
      <c r="N47" s="239"/>
      <c r="O47" s="239"/>
      <c r="P47" s="239"/>
      <c r="Q47" s="239"/>
      <c r="R47" s="239"/>
      <c r="S47" s="239"/>
      <c r="T47" s="239"/>
      <c r="U47" s="239"/>
      <c r="V47" s="240"/>
    </row>
    <row r="48" spans="1:25" ht="18" customHeight="1">
      <c r="A48" s="196"/>
      <c r="E48" s="256" t="s">
        <v>123</v>
      </c>
      <c r="F48" s="27" t="s">
        <v>138</v>
      </c>
      <c r="G48" s="638" t="s">
        <v>555</v>
      </c>
      <c r="H48" s="638"/>
      <c r="I48" s="203" t="s">
        <v>353</v>
      </c>
      <c r="J48" s="639" t="s">
        <v>434</v>
      </c>
      <c r="K48" s="639"/>
      <c r="V48" s="197"/>
    </row>
    <row r="49" spans="1:22" ht="18" customHeight="1">
      <c r="A49" s="196"/>
      <c r="F49" s="27" t="s">
        <v>138</v>
      </c>
      <c r="G49" s="639">
        <f>S31</f>
        <v>40000</v>
      </c>
      <c r="H49" s="639"/>
      <c r="I49" s="203" t="s">
        <v>353</v>
      </c>
      <c r="J49" s="639">
        <f>S32</f>
        <v>2500</v>
      </c>
      <c r="K49" s="639"/>
      <c r="V49" s="197"/>
    </row>
    <row r="50" spans="1:22" ht="18" customHeight="1">
      <c r="A50" s="196"/>
      <c r="F50" s="27" t="s">
        <v>138</v>
      </c>
      <c r="G50" s="637">
        <f>G49/J49</f>
        <v>16</v>
      </c>
      <c r="H50" s="637"/>
      <c r="I50" s="27"/>
      <c r="J50" s="27"/>
      <c r="K50" s="27"/>
      <c r="V50" s="197"/>
    </row>
    <row r="51" spans="1:22" ht="18" customHeight="1">
      <c r="A51" s="196"/>
      <c r="V51" s="197"/>
    </row>
    <row r="52" spans="1:22" ht="18" customHeight="1">
      <c r="A52" s="196"/>
      <c r="E52" s="256" t="s">
        <v>564</v>
      </c>
      <c r="F52" s="27" t="s">
        <v>138</v>
      </c>
      <c r="G52" s="257" t="s">
        <v>506</v>
      </c>
      <c r="H52" s="257" t="s">
        <v>565</v>
      </c>
      <c r="I52" s="233" t="s">
        <v>502</v>
      </c>
      <c r="J52" s="233" t="s">
        <v>358</v>
      </c>
      <c r="K52" s="233" t="s">
        <v>504</v>
      </c>
      <c r="L52" s="233" t="s">
        <v>550</v>
      </c>
      <c r="M52" s="233" t="s">
        <v>502</v>
      </c>
      <c r="N52" s="233" t="s">
        <v>358</v>
      </c>
      <c r="O52" s="233" t="s">
        <v>523</v>
      </c>
      <c r="P52" s="27" t="s">
        <v>361</v>
      </c>
      <c r="V52" s="197"/>
    </row>
    <row r="53" spans="1:22" ht="18" customHeight="1">
      <c r="A53" s="196"/>
      <c r="F53" s="27" t="s">
        <v>138</v>
      </c>
      <c r="G53" s="257">
        <f>S37</f>
        <v>20</v>
      </c>
      <c r="H53" s="257" t="s">
        <v>565</v>
      </c>
      <c r="I53" s="313">
        <f>S34</f>
        <v>5</v>
      </c>
      <c r="J53" s="257" t="s">
        <v>358</v>
      </c>
      <c r="K53" s="313">
        <f>E42</f>
        <v>43.75</v>
      </c>
      <c r="L53" s="257" t="s">
        <v>550</v>
      </c>
      <c r="M53" s="313">
        <f>S34</f>
        <v>5</v>
      </c>
      <c r="N53" s="257" t="s">
        <v>358</v>
      </c>
      <c r="O53" s="313">
        <f>S35</f>
        <v>2.7235014500000001</v>
      </c>
      <c r="P53" s="27" t="s">
        <v>361</v>
      </c>
      <c r="V53" s="197"/>
    </row>
    <row r="54" spans="1:22" ht="18" customHeight="1">
      <c r="A54" s="196"/>
      <c r="F54" s="27" t="s">
        <v>138</v>
      </c>
      <c r="G54" s="640">
        <f>G53*((I53+K53)/(M53+O53))</f>
        <v>126.23808078653238</v>
      </c>
      <c r="H54" s="640"/>
      <c r="I54" s="254"/>
      <c r="J54" s="254"/>
      <c r="K54" s="254"/>
      <c r="L54" s="254"/>
      <c r="M54" s="254"/>
      <c r="N54" s="254"/>
      <c r="O54" s="254"/>
      <c r="V54" s="197"/>
    </row>
    <row r="55" spans="1:22" ht="18" customHeight="1">
      <c r="A55" s="196"/>
      <c r="V55" s="197"/>
    </row>
    <row r="56" spans="1:22" ht="18" customHeight="1">
      <c r="A56" s="196"/>
      <c r="E56" s="256" t="s">
        <v>566</v>
      </c>
      <c r="F56" s="27" t="str">
        <f>IF(D57&gt;G57,"&gt;","&lt;")</f>
        <v>&gt;</v>
      </c>
      <c r="G56" s="308" t="s">
        <v>123</v>
      </c>
      <c r="V56" s="197"/>
    </row>
    <row r="57" spans="1:22" ht="18" customHeight="1">
      <c r="A57" s="196"/>
      <c r="D57" s="637">
        <f>G54</f>
        <v>126.23808078653238</v>
      </c>
      <c r="E57" s="637"/>
      <c r="F57" s="27" t="str">
        <f>F56</f>
        <v>&gt;</v>
      </c>
      <c r="G57" s="637">
        <f>G50</f>
        <v>16</v>
      </c>
      <c r="H57" s="637"/>
      <c r="V57" s="197"/>
    </row>
    <row r="58" spans="1:22" ht="18" customHeight="1">
      <c r="A58" s="196"/>
      <c r="E58" s="256" t="s">
        <v>489</v>
      </c>
      <c r="G58" s="18" t="str">
        <f>IF(F56="&gt;","Suitably Dimentioned","Under Dimentioned")</f>
        <v>Suitably Dimentioned</v>
      </c>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465"/>
      <c r="B86" s="219"/>
      <c r="C86" s="219"/>
      <c r="D86" s="219"/>
      <c r="E86" s="219"/>
      <c r="F86" s="219"/>
      <c r="G86" s="219"/>
      <c r="H86" s="219"/>
      <c r="I86" s="219"/>
      <c r="J86" s="219"/>
      <c r="K86" s="219"/>
      <c r="L86" s="219"/>
      <c r="M86" s="219"/>
      <c r="N86" s="219"/>
      <c r="O86" s="219"/>
      <c r="P86" s="219"/>
      <c r="Q86" s="219"/>
      <c r="R86" s="219"/>
      <c r="S86" s="219"/>
      <c r="T86" s="219"/>
      <c r="U86" s="219"/>
      <c r="V86" s="466"/>
    </row>
    <row r="87" spans="1:22" ht="18" customHeight="1">
      <c r="A87" s="302"/>
      <c r="B87" s="208"/>
      <c r="C87" s="208"/>
      <c r="D87" s="208"/>
      <c r="E87" s="208"/>
      <c r="F87" s="208"/>
      <c r="G87" s="208"/>
      <c r="H87" s="208"/>
      <c r="I87" s="208"/>
      <c r="J87" s="208"/>
      <c r="K87" s="208"/>
      <c r="L87" s="208"/>
      <c r="M87" s="208"/>
      <c r="N87" s="208"/>
      <c r="O87" s="208"/>
      <c r="P87" s="208"/>
      <c r="Q87" s="208"/>
      <c r="R87" s="208"/>
      <c r="S87" s="208"/>
      <c r="T87" s="208"/>
      <c r="U87" s="208"/>
      <c r="V87" s="303"/>
    </row>
    <row r="88" spans="1:22" ht="18"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2" ht="18" customHeight="1">
      <c r="A89" s="274" t="s">
        <v>543</v>
      </c>
      <c r="B89" s="14"/>
      <c r="C89" s="14"/>
      <c r="D89" s="120"/>
      <c r="E89" s="120"/>
      <c r="F89" s="18"/>
      <c r="G89" s="18"/>
      <c r="H89" s="14"/>
      <c r="I89" s="14"/>
      <c r="J89" s="14"/>
      <c r="K89" s="14"/>
      <c r="L89" s="14"/>
      <c r="M89" s="14"/>
      <c r="N89" s="14"/>
      <c r="O89" s="14"/>
      <c r="P89" s="28"/>
      <c r="Q89" s="120"/>
      <c r="R89" s="47"/>
      <c r="S89" s="218"/>
      <c r="T89" s="271"/>
      <c r="U89" s="14"/>
      <c r="V89" s="97"/>
    </row>
    <row r="90" spans="1:22" ht="56.4" customHeight="1">
      <c r="A90" s="782" t="s">
        <v>97</v>
      </c>
      <c r="B90" s="782"/>
      <c r="C90" s="612"/>
      <c r="D90" s="782" t="s">
        <v>98</v>
      </c>
      <c r="E90" s="782"/>
      <c r="F90" s="782"/>
      <c r="G90" s="782" t="s">
        <v>99</v>
      </c>
      <c r="H90" s="782"/>
      <c r="I90" s="782" t="s">
        <v>100</v>
      </c>
      <c r="J90" s="782"/>
      <c r="K90" s="614" t="s">
        <v>101</v>
      </c>
      <c r="L90" s="615"/>
      <c r="M90" s="614" t="s">
        <v>102</v>
      </c>
      <c r="N90" s="615"/>
      <c r="O90" s="614" t="s">
        <v>103</v>
      </c>
      <c r="P90" s="615"/>
      <c r="Q90" s="614" t="s">
        <v>104</v>
      </c>
      <c r="R90" s="615"/>
      <c r="S90" s="782" t="s">
        <v>105</v>
      </c>
      <c r="T90" s="782"/>
      <c r="U90" s="782"/>
      <c r="V90" s="782"/>
    </row>
    <row r="91" spans="1:22" ht="18" customHeight="1">
      <c r="A91" s="612" t="str">
        <f>B7</f>
        <v>T1</v>
      </c>
      <c r="B91" s="623" t="str">
        <f>D7</f>
        <v>Core4</v>
      </c>
      <c r="C91" s="623"/>
      <c r="D91" s="613">
        <f>H10</f>
        <v>2500</v>
      </c>
      <c r="E91" s="613"/>
      <c r="F91" s="624">
        <f>O10</f>
        <v>1</v>
      </c>
      <c r="G91" s="627">
        <f>'CT-VT Burdens'!S19</f>
        <v>80</v>
      </c>
      <c r="H91" s="783">
        <f>'CT-VT Burdens'!S10</f>
        <v>2.5</v>
      </c>
      <c r="I91" s="783" t="str">
        <f>H11</f>
        <v>PX-B</v>
      </c>
      <c r="J91" s="783"/>
      <c r="K91" s="612">
        <f>H12</f>
        <v>5</v>
      </c>
      <c r="L91" s="612"/>
      <c r="M91" s="612">
        <f>H13</f>
        <v>750</v>
      </c>
      <c r="N91" s="612"/>
      <c r="O91" s="613">
        <f>H14</f>
        <v>60</v>
      </c>
      <c r="P91" s="613"/>
      <c r="Q91" s="629" t="str">
        <f>T7</f>
        <v>REF650</v>
      </c>
      <c r="R91" s="629"/>
      <c r="S91" s="628" t="str">
        <f>G58</f>
        <v>Suitably Dimentioned</v>
      </c>
      <c r="T91" s="628"/>
      <c r="U91" s="628"/>
      <c r="V91" s="628"/>
    </row>
    <row r="92" spans="1:22" ht="18" customHeight="1">
      <c r="A92" s="612"/>
      <c r="B92" s="623"/>
      <c r="C92" s="623"/>
      <c r="D92" s="613" t="s">
        <v>7</v>
      </c>
      <c r="E92" s="613"/>
      <c r="F92" s="625"/>
      <c r="G92" s="627"/>
      <c r="H92" s="613"/>
      <c r="I92" s="783"/>
      <c r="J92" s="783"/>
      <c r="K92" s="612" t="s">
        <v>7</v>
      </c>
      <c r="L92" s="612"/>
      <c r="M92" s="612" t="s">
        <v>7</v>
      </c>
      <c r="N92" s="612"/>
      <c r="O92" s="613" t="s">
        <v>7</v>
      </c>
      <c r="P92" s="613"/>
      <c r="Q92" s="629"/>
      <c r="R92" s="629"/>
      <c r="S92" s="628" t="s">
        <v>7</v>
      </c>
      <c r="T92" s="628"/>
      <c r="U92" s="628"/>
      <c r="V92" s="628"/>
    </row>
    <row r="93" spans="1:22" ht="18" customHeight="1">
      <c r="A93" s="612"/>
      <c r="B93" s="623"/>
      <c r="C93" s="623"/>
      <c r="D93" s="613" t="s">
        <v>7</v>
      </c>
      <c r="E93" s="613"/>
      <c r="F93" s="626"/>
      <c r="G93" s="627"/>
      <c r="H93" s="613"/>
      <c r="I93" s="783"/>
      <c r="J93" s="783"/>
      <c r="K93" s="612" t="s">
        <v>7</v>
      </c>
      <c r="L93" s="612"/>
      <c r="M93" s="612" t="s">
        <v>7</v>
      </c>
      <c r="N93" s="612"/>
      <c r="O93" s="613" t="s">
        <v>7</v>
      </c>
      <c r="P93" s="613"/>
      <c r="Q93" s="629"/>
      <c r="R93" s="629"/>
      <c r="S93" s="628" t="s">
        <v>7</v>
      </c>
      <c r="T93" s="628"/>
      <c r="U93" s="628"/>
      <c r="V93" s="628"/>
    </row>
    <row r="94" spans="1:22" ht="18" customHeight="1">
      <c r="A94" s="196"/>
      <c r="V94" s="197"/>
    </row>
    <row r="95" spans="1:22" ht="18" customHeight="1">
      <c r="A95" s="196"/>
      <c r="V95" s="197"/>
    </row>
    <row r="96" spans="1:22" ht="18" customHeight="1">
      <c r="A96" s="196"/>
      <c r="V96" s="197"/>
    </row>
    <row r="97" spans="1:22" ht="18" customHeight="1">
      <c r="A97" s="196"/>
      <c r="V97" s="197"/>
    </row>
    <row r="98" spans="1:22" ht="18" customHeight="1">
      <c r="A98" s="196"/>
      <c r="V98" s="197"/>
    </row>
    <row r="99" spans="1:22" ht="18" customHeight="1">
      <c r="A99" s="196"/>
      <c r="V99" s="197"/>
    </row>
    <row r="100" spans="1:22" ht="18" customHeight="1">
      <c r="A100" s="196"/>
      <c r="V100" s="197"/>
    </row>
    <row r="101" spans="1:22" ht="18" customHeight="1">
      <c r="A101" s="196"/>
      <c r="V101" s="197"/>
    </row>
    <row r="102" spans="1:22" ht="18" customHeight="1">
      <c r="A102" s="196"/>
      <c r="V102" s="197"/>
    </row>
    <row r="103" spans="1:22" ht="18" customHeight="1">
      <c r="A103" s="196"/>
      <c r="V103" s="197"/>
    </row>
    <row r="104" spans="1:22" ht="18" customHeight="1">
      <c r="A104" s="196"/>
      <c r="V104" s="197"/>
    </row>
    <row r="105" spans="1:22" ht="18" customHeight="1">
      <c r="A105" s="196"/>
      <c r="V105" s="197"/>
    </row>
    <row r="106" spans="1:22" ht="18" customHeight="1">
      <c r="A106" s="196"/>
      <c r="V106" s="197"/>
    </row>
    <row r="107" spans="1:22" ht="18" customHeight="1">
      <c r="A107" s="196"/>
      <c r="V107" s="197"/>
    </row>
    <row r="108" spans="1:22" ht="18" customHeight="1">
      <c r="A108" s="196"/>
      <c r="V108" s="197"/>
    </row>
    <row r="109" spans="1:22" ht="18" customHeight="1">
      <c r="A109" s="196"/>
      <c r="V109" s="197"/>
    </row>
    <row r="110" spans="1:22" ht="18" customHeight="1">
      <c r="A110" s="196"/>
      <c r="V110" s="197"/>
    </row>
    <row r="111" spans="1:22" ht="18" customHeight="1">
      <c r="A111" s="196"/>
      <c r="V111" s="197"/>
    </row>
    <row r="112" spans="1:22"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302"/>
      <c r="B126" s="208"/>
      <c r="C126" s="208"/>
      <c r="D126" s="208"/>
      <c r="E126" s="208"/>
      <c r="F126" s="208"/>
      <c r="G126" s="208"/>
      <c r="H126" s="208"/>
      <c r="I126" s="208"/>
      <c r="J126" s="208"/>
      <c r="K126" s="208"/>
      <c r="L126" s="208"/>
      <c r="M126" s="208"/>
      <c r="N126" s="208"/>
      <c r="O126" s="208"/>
      <c r="P126" s="208"/>
      <c r="Q126" s="208"/>
      <c r="R126" s="208"/>
      <c r="S126" s="208"/>
      <c r="T126" s="208"/>
      <c r="U126" s="208"/>
      <c r="V126" s="303"/>
    </row>
  </sheetData>
  <mergeCells count="88">
    <mergeCell ref="M93:N93"/>
    <mergeCell ref="O93:P93"/>
    <mergeCell ref="S93:V93"/>
    <mergeCell ref="K91:L91"/>
    <mergeCell ref="M91:N91"/>
    <mergeCell ref="O91:P91"/>
    <mergeCell ref="Q91:R93"/>
    <mergeCell ref="S91:V91"/>
    <mergeCell ref="K92:L92"/>
    <mergeCell ref="M92:N92"/>
    <mergeCell ref="O92:P92"/>
    <mergeCell ref="S92:V92"/>
    <mergeCell ref="A90:C90"/>
    <mergeCell ref="D90:F90"/>
    <mergeCell ref="G90:H90"/>
    <mergeCell ref="I90:J90"/>
    <mergeCell ref="D93:E93"/>
    <mergeCell ref="D92:E92"/>
    <mergeCell ref="A91:A93"/>
    <mergeCell ref="B91:C93"/>
    <mergeCell ref="D91:E91"/>
    <mergeCell ref="F91:F93"/>
    <mergeCell ref="G91:G93"/>
    <mergeCell ref="G49:H49"/>
    <mergeCell ref="J49:K49"/>
    <mergeCell ref="G50:H50"/>
    <mergeCell ref="G54:H54"/>
    <mergeCell ref="H91:H93"/>
    <mergeCell ref="I91:J93"/>
    <mergeCell ref="K93:L93"/>
    <mergeCell ref="O90:P90"/>
    <mergeCell ref="Q90:R90"/>
    <mergeCell ref="S90:V90"/>
    <mergeCell ref="K90:L90"/>
    <mergeCell ref="M90:N90"/>
    <mergeCell ref="H40:I40"/>
    <mergeCell ref="H41:I41"/>
    <mergeCell ref="E42:F42"/>
    <mergeCell ref="G48:H48"/>
    <mergeCell ref="J48:K48"/>
    <mergeCell ref="D57:E57"/>
    <mergeCell ref="G57:H57"/>
    <mergeCell ref="S36:T36"/>
    <mergeCell ref="J20:K20"/>
    <mergeCell ref="J21:K21"/>
    <mergeCell ref="J22:K22"/>
    <mergeCell ref="P22:Q22"/>
    <mergeCell ref="A24:V25"/>
    <mergeCell ref="H29:I29"/>
    <mergeCell ref="S31:T31"/>
    <mergeCell ref="S32:T32"/>
    <mergeCell ref="S33:T33"/>
    <mergeCell ref="S34:T34"/>
    <mergeCell ref="S35:T35"/>
    <mergeCell ref="S37:T37"/>
    <mergeCell ref="S38:T38"/>
    <mergeCell ref="O5:Q5"/>
    <mergeCell ref="H1:N1"/>
    <mergeCell ref="O1:Q1"/>
    <mergeCell ref="R1:V1"/>
    <mergeCell ref="J19:K19"/>
    <mergeCell ref="H9:I9"/>
    <mergeCell ref="J9:K9"/>
    <mergeCell ref="L9:M9"/>
    <mergeCell ref="H10:I10"/>
    <mergeCell ref="J10:K10"/>
    <mergeCell ref="L10:M10"/>
    <mergeCell ref="H11:I11"/>
    <mergeCell ref="H12:I12"/>
    <mergeCell ref="H13:I13"/>
    <mergeCell ref="H14:I14"/>
    <mergeCell ref="J18:K18"/>
    <mergeCell ref="H2:N2"/>
    <mergeCell ref="O2:Q2"/>
    <mergeCell ref="R2:V2"/>
    <mergeCell ref="R5:V5"/>
    <mergeCell ref="B7:C7"/>
    <mergeCell ref="D7:E7"/>
    <mergeCell ref="T7:U7"/>
    <mergeCell ref="H3:N4"/>
    <mergeCell ref="O3:Q3"/>
    <mergeCell ref="R3:V3"/>
    <mergeCell ref="O4:Q4"/>
    <mergeCell ref="R4:V4"/>
    <mergeCell ref="A1:G4"/>
    <mergeCell ref="A5:B5"/>
    <mergeCell ref="D5:F5"/>
    <mergeCell ref="H5:N5"/>
  </mergeCells>
  <conditionalFormatting sqref="G58">
    <cfRule type="cellIs" dxfId="38" priority="1" stopIfTrue="1" operator="equal">
      <formula>"Under Dimentioned"</formula>
    </cfRule>
  </conditionalFormatting>
  <dataValidations count="1">
    <dataValidation type="list" allowBlank="1" showInputMessage="1" showErrorMessage="1" sqref="D7" xr:uid="{E0D63F13-BF36-4DF6-BBE8-A0F814284557}">
      <formula1>"Core1,Core2,Core3,Core4,Core5,Core6,Core7"</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6" max="21" man="1"/>
    <brk id="87" max="21"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946B1-4580-4047-8966-DD84960DAA4F}">
  <sheetPr>
    <tabColor rgb="FFFFFF00"/>
  </sheetPr>
  <dimension ref="A1:Y331"/>
  <sheetViews>
    <sheetView showZeros="0" view="pageBreakPreview" zoomScaleNormal="100" zoomScaleSheetLayoutView="100" workbookViewId="0">
      <selection activeCell="R6" sqref="R6"/>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Title!H2</f>
        <v>ADEQUACY CHECK</v>
      </c>
      <c r="I2" s="730"/>
      <c r="J2" s="730"/>
      <c r="K2" s="730"/>
      <c r="L2" s="730"/>
      <c r="M2" s="730"/>
      <c r="N2" s="731"/>
      <c r="O2" s="702" t="str">
        <f>Title!O2</f>
        <v>Date</v>
      </c>
      <c r="P2" s="703"/>
      <c r="Q2" s="704"/>
      <c r="R2" s="732">
        <f>Title!R2</f>
        <v>46106</v>
      </c>
      <c r="S2" s="706"/>
      <c r="T2" s="706"/>
      <c r="U2" s="706"/>
      <c r="V2" s="707"/>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14"/>
      <c r="X4" s="14"/>
    </row>
    <row r="5" spans="1:24" ht="18" customHeight="1">
      <c r="A5" s="708" t="str">
        <f>Title!A5</f>
        <v>Prep. By</v>
      </c>
      <c r="B5" s="709"/>
      <c r="C5" s="25" t="str">
        <f>Title!C5</f>
        <v>AP</v>
      </c>
      <c r="D5" s="708" t="str">
        <f>Title!D5</f>
        <v>Checked By</v>
      </c>
      <c r="E5" s="710"/>
      <c r="F5" s="709"/>
      <c r="G5" s="25" t="str">
        <f>Title!G5</f>
        <v>RB</v>
      </c>
      <c r="H5" s="711" t="s">
        <v>927</v>
      </c>
      <c r="I5" s="712"/>
      <c r="J5" s="712"/>
      <c r="K5" s="712"/>
      <c r="L5" s="712"/>
      <c r="M5" s="712"/>
      <c r="N5" s="713"/>
      <c r="O5" s="714" t="str">
        <f>Title!O5</f>
        <v>Contractor</v>
      </c>
      <c r="P5" s="715"/>
      <c r="Q5" s="716"/>
      <c r="R5" s="705" t="str">
        <f>Title!R5</f>
        <v>HITACHI</v>
      </c>
      <c r="S5" s="706"/>
      <c r="T5" s="706"/>
      <c r="U5" s="706"/>
      <c r="V5" s="707"/>
      <c r="W5" s="14"/>
      <c r="X5" s="14"/>
    </row>
    <row r="6" spans="1:24" ht="18" customHeight="1">
      <c r="A6" s="196"/>
      <c r="B6" s="198"/>
      <c r="D6" s="467"/>
      <c r="H6" s="30" t="s">
        <v>930</v>
      </c>
      <c r="V6" s="197"/>
    </row>
    <row r="7" spans="1:24" ht="18" customHeight="1">
      <c r="A7" s="196"/>
      <c r="B7" s="656" t="s">
        <v>120</v>
      </c>
      <c r="C7" s="657"/>
      <c r="D7" s="894" t="s">
        <v>124</v>
      </c>
      <c r="E7" s="995"/>
      <c r="F7" s="468"/>
      <c r="H7" s="638"/>
      <c r="I7" s="639"/>
      <c r="J7" s="639"/>
      <c r="K7" s="639"/>
      <c r="L7" s="639"/>
      <c r="M7" s="639"/>
      <c r="P7" s="198"/>
      <c r="S7" s="199" t="s">
        <v>398</v>
      </c>
      <c r="T7" s="656" t="s">
        <v>190</v>
      </c>
      <c r="U7" s="657"/>
      <c r="V7" s="197"/>
    </row>
    <row r="8" spans="1:24" ht="18" customHeight="1">
      <c r="A8" s="469"/>
      <c r="F8" s="468"/>
      <c r="T8" s="656" t="s">
        <v>917</v>
      </c>
      <c r="U8" s="657"/>
      <c r="V8" s="197"/>
    </row>
    <row r="9" spans="1:24" ht="18" customHeight="1">
      <c r="A9" s="196"/>
      <c r="H9" s="662" t="s">
        <v>401</v>
      </c>
      <c r="I9" s="662"/>
      <c r="J9" s="701" t="s">
        <v>402</v>
      </c>
      <c r="K9" s="701"/>
      <c r="L9" s="701" t="s">
        <v>403</v>
      </c>
      <c r="M9" s="701"/>
      <c r="T9" s="980"/>
      <c r="U9" s="980"/>
      <c r="V9" s="197"/>
    </row>
    <row r="10" spans="1:24" ht="18" customHeight="1">
      <c r="A10" s="196"/>
      <c r="B10" s="47" t="s">
        <v>404</v>
      </c>
      <c r="H10" s="692">
        <v>2500</v>
      </c>
      <c r="I10" s="693"/>
      <c r="J10" s="656"/>
      <c r="K10" s="657"/>
      <c r="L10" s="656" t="s">
        <v>7</v>
      </c>
      <c r="M10" s="657"/>
      <c r="N10" s="203" t="s">
        <v>353</v>
      </c>
      <c r="O10" s="125">
        <v>1</v>
      </c>
      <c r="P10" s="27" t="s">
        <v>9</v>
      </c>
      <c r="R10" s="267"/>
      <c r="S10" s="267"/>
      <c r="V10" s="197"/>
    </row>
    <row r="11" spans="1:24" ht="18" customHeight="1">
      <c r="A11" s="196"/>
      <c r="B11" s="47" t="s">
        <v>405</v>
      </c>
      <c r="H11" s="656" t="s">
        <v>849</v>
      </c>
      <c r="I11" s="657"/>
      <c r="V11" s="197"/>
    </row>
    <row r="12" spans="1:24" ht="18" customHeight="1">
      <c r="A12" s="196"/>
      <c r="B12" s="47" t="s">
        <v>407</v>
      </c>
      <c r="G12" s="120" t="s">
        <v>508</v>
      </c>
      <c r="H12" s="656">
        <v>5</v>
      </c>
      <c r="I12" s="657"/>
      <c r="J12" s="204" t="s">
        <v>344</v>
      </c>
      <c r="M12" s="14"/>
      <c r="N12" s="14"/>
      <c r="V12" s="197"/>
    </row>
    <row r="13" spans="1:24" ht="18" customHeight="1">
      <c r="A13" s="196"/>
      <c r="B13" s="47" t="s">
        <v>409</v>
      </c>
      <c r="G13" s="120" t="s">
        <v>509</v>
      </c>
      <c r="H13" s="656">
        <v>750</v>
      </c>
      <c r="I13" s="657"/>
      <c r="J13" s="14" t="s">
        <v>316</v>
      </c>
      <c r="M13" s="14"/>
      <c r="T13" s="307"/>
      <c r="U13" s="18"/>
      <c r="V13" s="197"/>
      <c r="W13" s="30" t="e">
        <f>#REF!</f>
        <v>#REF!</v>
      </c>
    </row>
    <row r="14" spans="1:24" ht="18" customHeight="1">
      <c r="A14" s="196"/>
      <c r="B14" s="14" t="s">
        <v>412</v>
      </c>
      <c r="G14" s="120" t="s">
        <v>413</v>
      </c>
      <c r="H14" s="656">
        <v>60</v>
      </c>
      <c r="I14" s="657"/>
      <c r="J14" s="14" t="s">
        <v>414</v>
      </c>
      <c r="M14" s="14"/>
      <c r="N14" s="14"/>
      <c r="V14" s="197"/>
    </row>
    <row r="15" spans="1:24" ht="18" customHeight="1">
      <c r="A15" s="196"/>
      <c r="B15" s="14"/>
      <c r="V15" s="197"/>
    </row>
    <row r="16" spans="1:24" ht="18" customHeight="1">
      <c r="A16" s="205" t="s">
        <v>415</v>
      </c>
      <c r="V16" s="197"/>
    </row>
    <row r="17" spans="1:25" ht="18" customHeight="1">
      <c r="A17" s="196"/>
      <c r="V17" s="197"/>
    </row>
    <row r="18" spans="1:25" ht="18" customHeight="1">
      <c r="A18" s="196"/>
      <c r="B18" s="141" t="s">
        <v>416</v>
      </c>
      <c r="C18" s="285"/>
      <c r="D18" s="146" t="str">
        <f>T7</f>
        <v>REB500</v>
      </c>
      <c r="E18" s="239"/>
      <c r="F18" s="239"/>
      <c r="G18" s="239"/>
      <c r="H18" s="145"/>
      <c r="I18" s="272" t="s">
        <v>138</v>
      </c>
      <c r="J18" s="684">
        <f>'CT-VT Burdens'!Q49</f>
        <v>0.01</v>
      </c>
      <c r="K18" s="685"/>
      <c r="L18" s="3" t="s">
        <v>168</v>
      </c>
      <c r="N18" s="209" t="s">
        <v>521</v>
      </c>
      <c r="V18" s="197"/>
    </row>
    <row r="19" spans="1:25" ht="18" customHeight="1">
      <c r="A19" s="196"/>
      <c r="B19" s="96" t="s">
        <v>416</v>
      </c>
      <c r="C19" s="14"/>
      <c r="D19" s="47" t="str">
        <f>T8</f>
        <v>P743</v>
      </c>
      <c r="H19" s="28"/>
      <c r="I19" s="101" t="s">
        <v>138</v>
      </c>
      <c r="J19" s="684">
        <f>'CT-VT Burdens'!Q98</f>
        <v>0.1</v>
      </c>
      <c r="K19" s="685"/>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684"/>
      <c r="K20" s="685"/>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690">
        <f>'CT-VT Burdens'!S22</f>
        <v>1.44186744</v>
      </c>
      <c r="K21" s="691"/>
      <c r="L21" s="309" t="s">
        <v>168</v>
      </c>
      <c r="O21" s="27" t="s">
        <v>138</v>
      </c>
      <c r="P21" s="637">
        <f>P20*R20*T20</f>
        <v>5</v>
      </c>
      <c r="Q21" s="639"/>
      <c r="R21" s="27" t="s">
        <v>168</v>
      </c>
      <c r="V21" s="197"/>
    </row>
    <row r="22" spans="1:25" ht="18" customHeight="1">
      <c r="A22" s="196"/>
      <c r="B22" s="1" t="s">
        <v>424</v>
      </c>
      <c r="C22" s="2"/>
      <c r="D22" s="2"/>
      <c r="E22" s="2"/>
      <c r="F22" s="208"/>
      <c r="G22" s="208"/>
      <c r="H22" s="236" t="s">
        <v>523</v>
      </c>
      <c r="I22" s="195" t="s">
        <v>138</v>
      </c>
      <c r="J22" s="644">
        <f>SUM(J18:J21)</f>
        <v>1.5518674400000001</v>
      </c>
      <c r="K22" s="648"/>
      <c r="L22" s="3" t="s">
        <v>168</v>
      </c>
      <c r="V22" s="197"/>
    </row>
    <row r="23" spans="1:25" ht="18" customHeight="1">
      <c r="A23" s="196"/>
      <c r="B23" s="47"/>
      <c r="C23" s="47"/>
      <c r="D23" s="47"/>
      <c r="E23" s="47"/>
      <c r="H23" s="27"/>
      <c r="I23" s="28"/>
      <c r="J23" s="211"/>
      <c r="L23" s="47"/>
      <c r="S23" s="27"/>
      <c r="V23" s="197"/>
    </row>
    <row r="24" spans="1:25" ht="18" customHeight="1">
      <c r="A24" s="196"/>
      <c r="B24" s="117" t="s">
        <v>723</v>
      </c>
      <c r="V24" s="197"/>
    </row>
    <row r="25" spans="1:25" ht="18" customHeight="1">
      <c r="A25" s="180"/>
      <c r="B25" s="5"/>
      <c r="C25" s="47" t="s">
        <v>724</v>
      </c>
      <c r="D25" s="14"/>
      <c r="E25" s="14"/>
      <c r="F25" s="14"/>
      <c r="G25" s="14"/>
      <c r="H25" s="291"/>
      <c r="I25" s="120"/>
      <c r="J25" s="291"/>
      <c r="K25" s="291"/>
      <c r="L25" s="14"/>
      <c r="M25" s="14"/>
      <c r="N25" s="14"/>
      <c r="O25" s="14"/>
      <c r="P25" s="14"/>
      <c r="Q25" s="120" t="s">
        <v>725</v>
      </c>
      <c r="R25" s="102" t="s">
        <v>138</v>
      </c>
      <c r="S25" s="638">
        <f>'Parameters &amp; Fault Cal. (4)'!Q10 *1000</f>
        <v>40000</v>
      </c>
      <c r="T25" s="638"/>
      <c r="U25" s="47" t="s">
        <v>9</v>
      </c>
      <c r="V25" s="97"/>
    </row>
    <row r="26" spans="1:25" ht="18" customHeight="1">
      <c r="A26" s="180"/>
      <c r="B26" s="5"/>
      <c r="C26" s="47" t="s">
        <v>556</v>
      </c>
      <c r="D26" s="14"/>
      <c r="E26" s="14"/>
      <c r="F26" s="18"/>
      <c r="G26" s="18"/>
      <c r="H26" s="291"/>
      <c r="I26" s="120"/>
      <c r="J26" s="291"/>
      <c r="K26" s="291"/>
      <c r="L26" s="14"/>
      <c r="M26" s="14"/>
      <c r="N26" s="14"/>
      <c r="O26" s="14"/>
      <c r="P26" s="14"/>
      <c r="Q26" s="120" t="s">
        <v>434</v>
      </c>
      <c r="R26" s="102" t="s">
        <v>138</v>
      </c>
      <c r="S26" s="638">
        <f>H10</f>
        <v>2500</v>
      </c>
      <c r="T26" s="638"/>
      <c r="U26" s="14" t="s">
        <v>9</v>
      </c>
      <c r="V26" s="197"/>
    </row>
    <row r="27" spans="1:25" ht="18" customHeight="1">
      <c r="A27" s="180"/>
      <c r="B27" s="5"/>
      <c r="C27" s="47" t="s">
        <v>726</v>
      </c>
      <c r="D27" s="14"/>
      <c r="E27" s="14"/>
      <c r="F27" s="18"/>
      <c r="G27" s="18"/>
      <c r="H27" s="291"/>
      <c r="I27" s="120"/>
      <c r="J27" s="291"/>
      <c r="K27" s="291"/>
      <c r="L27" s="14"/>
      <c r="M27" s="14"/>
      <c r="N27" s="14"/>
      <c r="O27" s="14"/>
      <c r="P27" s="14"/>
      <c r="Q27" s="120" t="s">
        <v>727</v>
      </c>
      <c r="R27" s="102" t="s">
        <v>138</v>
      </c>
      <c r="S27" s="638">
        <v>400</v>
      </c>
      <c r="T27" s="638"/>
      <c r="U27" s="14" t="s">
        <v>174</v>
      </c>
      <c r="V27" s="197"/>
    </row>
    <row r="28" spans="1:25" ht="18" customHeight="1">
      <c r="A28" s="180"/>
      <c r="B28" s="5"/>
      <c r="C28" s="47" t="s">
        <v>557</v>
      </c>
      <c r="D28" s="14"/>
      <c r="E28" s="14"/>
      <c r="F28" s="18"/>
      <c r="G28" s="18"/>
      <c r="H28" s="291"/>
      <c r="I28" s="120"/>
      <c r="J28" s="291"/>
      <c r="K28" s="291"/>
      <c r="L28" s="14"/>
      <c r="M28" s="14"/>
      <c r="N28" s="14"/>
      <c r="O28" s="14"/>
      <c r="P28" s="14"/>
      <c r="Q28" s="120" t="s">
        <v>484</v>
      </c>
      <c r="R28" s="102" t="s">
        <v>138</v>
      </c>
      <c r="S28" s="638">
        <f>H13</f>
        <v>750</v>
      </c>
      <c r="T28" s="638"/>
      <c r="U28" s="14" t="s">
        <v>316</v>
      </c>
      <c r="V28" s="197"/>
    </row>
    <row r="29" spans="1:25" ht="18" customHeight="1">
      <c r="A29" s="180"/>
      <c r="B29" s="5"/>
      <c r="C29" s="47" t="s">
        <v>728</v>
      </c>
      <c r="D29" s="14"/>
      <c r="E29" s="14"/>
      <c r="F29" s="18"/>
      <c r="G29" s="18"/>
      <c r="H29" s="291"/>
      <c r="I29" s="120"/>
      <c r="J29" s="291"/>
      <c r="K29" s="291"/>
      <c r="L29" s="14"/>
      <c r="M29" s="14"/>
      <c r="N29" s="14"/>
      <c r="O29" s="14"/>
      <c r="P29" s="14"/>
      <c r="Q29" s="120" t="s">
        <v>431</v>
      </c>
      <c r="R29" s="102" t="s">
        <v>138</v>
      </c>
      <c r="S29" s="641">
        <f>P21</f>
        <v>5</v>
      </c>
      <c r="T29" s="638"/>
      <c r="U29" s="14" t="s">
        <v>168</v>
      </c>
      <c r="V29" s="197"/>
      <c r="W29" s="291"/>
      <c r="X29" s="291"/>
      <c r="Y29" s="291"/>
    </row>
    <row r="30" spans="1:25" ht="18" customHeight="1">
      <c r="A30" s="180"/>
      <c r="B30" s="5"/>
      <c r="C30" s="47" t="s">
        <v>729</v>
      </c>
      <c r="D30" s="14"/>
      <c r="E30" s="14"/>
      <c r="F30" s="18"/>
      <c r="G30" s="18"/>
      <c r="H30" s="291"/>
      <c r="I30" s="120"/>
      <c r="J30" s="291"/>
      <c r="K30" s="291"/>
      <c r="L30" s="14"/>
      <c r="M30" s="14"/>
      <c r="N30" s="14"/>
      <c r="O30" s="14"/>
      <c r="P30" s="14"/>
      <c r="Q30" s="120" t="s">
        <v>533</v>
      </c>
      <c r="R30" s="102" t="s">
        <v>138</v>
      </c>
      <c r="S30" s="641">
        <f>J22</f>
        <v>1.5518674400000001</v>
      </c>
      <c r="T30" s="638"/>
      <c r="U30" s="14" t="s">
        <v>168</v>
      </c>
      <c r="V30" s="197"/>
      <c r="X30" s="291"/>
      <c r="Y30" s="291"/>
    </row>
    <row r="31" spans="1:25" ht="18" customHeight="1">
      <c r="A31" s="180"/>
      <c r="B31" s="5"/>
      <c r="C31" s="47" t="s">
        <v>560</v>
      </c>
      <c r="D31" s="14"/>
      <c r="E31" s="14"/>
      <c r="F31" s="14"/>
      <c r="G31" s="14"/>
      <c r="H31" s="291"/>
      <c r="I31" s="120"/>
      <c r="J31" s="291"/>
      <c r="K31" s="291"/>
      <c r="L31" s="14"/>
      <c r="M31" s="14"/>
      <c r="N31" s="14"/>
      <c r="O31" s="14"/>
      <c r="P31" s="14"/>
      <c r="Q31" s="120" t="s">
        <v>725</v>
      </c>
      <c r="R31" s="102" t="s">
        <v>138</v>
      </c>
      <c r="S31" s="638">
        <f>O10</f>
        <v>1</v>
      </c>
      <c r="T31" s="638"/>
      <c r="U31" s="14" t="s">
        <v>9</v>
      </c>
      <c r="V31" s="197"/>
      <c r="X31" s="291"/>
      <c r="Y31" s="291"/>
    </row>
    <row r="32" spans="1:25" ht="18" customHeight="1">
      <c r="A32" s="180"/>
      <c r="B32" s="5"/>
      <c r="C32" s="47" t="s">
        <v>730</v>
      </c>
      <c r="D32" s="14"/>
      <c r="E32" s="14"/>
      <c r="F32" s="14"/>
      <c r="G32" s="14"/>
      <c r="H32" s="291"/>
      <c r="I32" s="120"/>
      <c r="J32" s="291"/>
      <c r="K32" s="291"/>
      <c r="L32" s="14"/>
      <c r="M32" s="14"/>
      <c r="N32" s="14"/>
      <c r="O32" s="14"/>
      <c r="P32" s="14"/>
      <c r="Q32" s="120" t="s">
        <v>731</v>
      </c>
      <c r="R32" s="102" t="s">
        <v>138</v>
      </c>
      <c r="S32" s="638">
        <v>50</v>
      </c>
      <c r="T32" s="638"/>
      <c r="U32" s="47"/>
      <c r="V32" s="197"/>
    </row>
    <row r="33" spans="1:25" ht="18" customHeight="1">
      <c r="A33" s="311"/>
      <c r="B33" s="291"/>
      <c r="C33" s="47"/>
      <c r="D33" s="14"/>
      <c r="E33" s="14"/>
      <c r="F33" s="14"/>
      <c r="G33" s="14"/>
      <c r="H33" s="291"/>
      <c r="I33" s="120"/>
      <c r="J33" s="291"/>
      <c r="K33" s="291"/>
      <c r="L33" s="14"/>
      <c r="M33" s="14"/>
      <c r="N33" s="291"/>
      <c r="O33" s="291"/>
      <c r="P33" s="14"/>
      <c r="Q33" s="120"/>
      <c r="R33" s="14"/>
      <c r="S33" s="291"/>
      <c r="T33" s="291"/>
      <c r="U33" s="291"/>
      <c r="V33" s="312"/>
      <c r="W33" s="291"/>
      <c r="X33" s="291"/>
      <c r="Y33" s="291"/>
    </row>
    <row r="34" spans="1:25" ht="18" customHeight="1">
      <c r="A34" s="196"/>
      <c r="C34" s="18" t="s">
        <v>732</v>
      </c>
      <c r="D34" s="14"/>
      <c r="E34" s="14"/>
      <c r="F34" s="14"/>
      <c r="G34" s="14"/>
      <c r="H34" s="14"/>
      <c r="I34" s="14"/>
      <c r="J34" s="14"/>
      <c r="K34" s="14"/>
      <c r="L34" s="14"/>
      <c r="M34" s="14"/>
      <c r="N34" s="14"/>
      <c r="O34" s="14"/>
      <c r="P34" s="14"/>
      <c r="Q34" s="14"/>
      <c r="R34" s="14"/>
      <c r="S34" s="14"/>
      <c r="T34" s="14"/>
      <c r="U34" s="14"/>
      <c r="V34" s="197"/>
    </row>
    <row r="35" spans="1:25" ht="18" customHeight="1">
      <c r="A35" s="196"/>
      <c r="C35" s="28"/>
      <c r="D35" s="47" t="s">
        <v>733</v>
      </c>
      <c r="E35" s="28"/>
      <c r="F35" s="28"/>
      <c r="G35" s="28"/>
      <c r="H35" s="14"/>
      <c r="I35" s="14"/>
      <c r="J35" s="28"/>
      <c r="K35" s="28"/>
      <c r="L35" s="28"/>
      <c r="M35" s="28"/>
      <c r="N35" s="47"/>
      <c r="O35" s="28"/>
      <c r="V35" s="197"/>
    </row>
    <row r="36" spans="1:25" ht="18" customHeight="1">
      <c r="A36" s="196"/>
      <c r="D36" s="27"/>
      <c r="E36" s="27"/>
      <c r="F36" s="27"/>
      <c r="G36" s="27"/>
      <c r="I36" s="638" t="s">
        <v>734</v>
      </c>
      <c r="J36" s="638" t="s">
        <v>138</v>
      </c>
      <c r="K36" s="881" t="s">
        <v>725</v>
      </c>
      <c r="L36" s="881"/>
      <c r="M36" s="27"/>
      <c r="N36" s="308"/>
      <c r="O36" s="234"/>
      <c r="V36" s="197"/>
    </row>
    <row r="37" spans="1:25" ht="18" customHeight="1">
      <c r="A37" s="196"/>
      <c r="D37" s="27"/>
      <c r="G37" s="27"/>
      <c r="I37" s="638"/>
      <c r="J37" s="638"/>
      <c r="K37" s="991" t="s">
        <v>735</v>
      </c>
      <c r="L37" s="991"/>
      <c r="V37" s="197"/>
    </row>
    <row r="38" spans="1:25" ht="18" customHeight="1">
      <c r="A38" s="196"/>
      <c r="C38" s="18" t="s">
        <v>736</v>
      </c>
      <c r="D38" s="27"/>
      <c r="G38" s="27"/>
      <c r="I38" s="28"/>
      <c r="J38" s="28"/>
      <c r="K38" s="102"/>
      <c r="L38" s="102"/>
      <c r="V38" s="197"/>
    </row>
    <row r="39" spans="1:25" ht="18" customHeight="1">
      <c r="A39" s="196"/>
      <c r="D39" s="385" t="s">
        <v>737</v>
      </c>
      <c r="E39" s="14"/>
      <c r="F39" s="14"/>
      <c r="G39" s="280"/>
      <c r="K39" s="102"/>
      <c r="L39" s="102"/>
      <c r="V39" s="197"/>
    </row>
    <row r="40" spans="1:25" ht="18" customHeight="1">
      <c r="A40" s="196"/>
      <c r="D40" s="7" t="s">
        <v>738</v>
      </c>
      <c r="E40" s="47"/>
      <c r="F40" s="14"/>
      <c r="G40" s="280"/>
      <c r="K40" s="102"/>
      <c r="L40" s="102"/>
      <c r="V40" s="197"/>
    </row>
    <row r="41" spans="1:25" ht="18" customHeight="1">
      <c r="A41" s="196"/>
      <c r="B41" s="14" t="s">
        <v>739</v>
      </c>
      <c r="D41" s="14" t="s">
        <v>740</v>
      </c>
      <c r="G41" s="27"/>
      <c r="I41" s="28"/>
      <c r="J41" s="28"/>
      <c r="K41" s="102"/>
      <c r="L41" s="102"/>
      <c r="V41" s="197"/>
    </row>
    <row r="42" spans="1:25" ht="18" customHeight="1">
      <c r="A42" s="196"/>
      <c r="D42" s="7" t="s">
        <v>741</v>
      </c>
      <c r="G42" s="27"/>
      <c r="I42" s="28"/>
      <c r="J42" s="28"/>
      <c r="K42" s="102"/>
      <c r="L42" s="102"/>
      <c r="V42" s="197"/>
    </row>
    <row r="43" spans="1:25" ht="18" customHeight="1">
      <c r="A43" s="196"/>
      <c r="D43" s="7" t="s">
        <v>742</v>
      </c>
      <c r="G43" s="27"/>
      <c r="I43" s="28"/>
      <c r="J43" s="28"/>
      <c r="K43" s="102"/>
      <c r="L43" s="102"/>
      <c r="V43" s="197"/>
    </row>
    <row r="44" spans="1:25" ht="18" customHeight="1">
      <c r="A44" s="196"/>
      <c r="D44" s="7"/>
      <c r="G44" s="27"/>
      <c r="I44" s="28"/>
      <c r="J44" s="28"/>
      <c r="K44" s="102"/>
      <c r="L44" s="102"/>
      <c r="V44" s="197"/>
    </row>
    <row r="45" spans="1:25" ht="18" customHeight="1">
      <c r="A45" s="302"/>
      <c r="B45" s="208"/>
      <c r="C45" s="208"/>
      <c r="D45" s="208"/>
      <c r="E45" s="208"/>
      <c r="F45" s="208"/>
      <c r="G45" s="208"/>
      <c r="H45" s="208"/>
      <c r="I45" s="208"/>
      <c r="J45" s="208"/>
      <c r="K45" s="208"/>
      <c r="L45" s="208"/>
      <c r="M45" s="208"/>
      <c r="N45" s="208"/>
      <c r="O45" s="208"/>
      <c r="P45" s="208"/>
      <c r="Q45" s="208"/>
      <c r="R45" s="208"/>
      <c r="S45" s="208"/>
      <c r="T45" s="208"/>
      <c r="U45" s="208"/>
      <c r="V45" s="303"/>
    </row>
    <row r="46" spans="1:25" ht="18" customHeight="1">
      <c r="A46" s="196"/>
      <c r="V46" s="197"/>
    </row>
    <row r="47" spans="1:25" ht="18" customHeight="1">
      <c r="A47" s="96"/>
      <c r="B47" s="7" t="s">
        <v>744</v>
      </c>
      <c r="C47" s="7"/>
      <c r="D47" s="14"/>
      <c r="E47" s="7"/>
      <c r="F47" s="7"/>
      <c r="L47" s="27"/>
      <c r="O47" s="27"/>
      <c r="P47" s="27"/>
      <c r="Q47" s="28"/>
      <c r="T47" s="14"/>
      <c r="U47" s="14"/>
      <c r="V47" s="197"/>
    </row>
    <row r="48" spans="1:25" ht="18" customHeight="1">
      <c r="A48" s="96"/>
      <c r="B48" s="14"/>
      <c r="C48" s="7"/>
      <c r="D48" s="7"/>
      <c r="E48" s="14"/>
      <c r="F48" s="7"/>
      <c r="L48" s="27"/>
      <c r="M48" s="14"/>
      <c r="O48" s="14"/>
      <c r="P48" s="14"/>
      <c r="Q48" s="14"/>
      <c r="R48" s="14"/>
      <c r="S48" s="14"/>
      <c r="T48" s="14"/>
      <c r="U48" s="14"/>
      <c r="V48" s="197"/>
    </row>
    <row r="49" spans="1:22" ht="18" customHeight="1">
      <c r="A49" s="96"/>
      <c r="B49" s="14"/>
      <c r="C49" s="120" t="s">
        <v>745</v>
      </c>
      <c r="D49" s="28" t="s">
        <v>138</v>
      </c>
      <c r="E49" s="861">
        <f>S25</f>
        <v>40000</v>
      </c>
      <c r="F49" s="861"/>
      <c r="G49" s="14"/>
      <c r="H49" s="14"/>
      <c r="I49" s="102"/>
      <c r="J49" s="47"/>
      <c r="K49" s="47"/>
      <c r="L49" s="14"/>
      <c r="M49" s="14"/>
      <c r="N49" s="14"/>
      <c r="O49" s="14"/>
      <c r="P49" s="14"/>
      <c r="Q49" s="14"/>
      <c r="R49" s="14"/>
      <c r="S49" s="14"/>
      <c r="T49" s="14"/>
      <c r="U49" s="14"/>
      <c r="V49" s="197"/>
    </row>
    <row r="50" spans="1:22" ht="18" customHeight="1">
      <c r="A50" s="96"/>
      <c r="B50" s="14"/>
      <c r="C50" s="120"/>
      <c r="D50" s="28"/>
      <c r="E50" s="860" t="str">
        <f>"5 x "&amp;S26&amp;""</f>
        <v>5 x 2500</v>
      </c>
      <c r="F50" s="860"/>
      <c r="G50" s="28"/>
      <c r="H50" s="269"/>
      <c r="K50" s="28"/>
      <c r="L50" s="230"/>
      <c r="M50" s="269"/>
      <c r="O50" s="14"/>
      <c r="P50" s="14"/>
      <c r="Q50" s="14"/>
      <c r="R50" s="14"/>
      <c r="S50" s="14"/>
      <c r="T50" s="14"/>
      <c r="U50" s="14"/>
      <c r="V50" s="197"/>
    </row>
    <row r="51" spans="1:22" ht="18" customHeight="1">
      <c r="A51" s="196"/>
      <c r="J51" s="14"/>
      <c r="K51" s="269"/>
      <c r="M51" s="14"/>
      <c r="N51" s="14"/>
      <c r="O51" s="14"/>
      <c r="P51" s="14"/>
      <c r="Q51" s="14"/>
      <c r="R51" s="14"/>
      <c r="S51" s="14"/>
      <c r="T51" s="14"/>
      <c r="U51" s="14"/>
      <c r="V51" s="197"/>
    </row>
    <row r="52" spans="1:22" ht="18" customHeight="1">
      <c r="A52" s="96"/>
      <c r="C52" s="471" t="s">
        <v>745</v>
      </c>
      <c r="D52" s="194" t="s">
        <v>138</v>
      </c>
      <c r="E52" s="990">
        <f>S25/5/S26</f>
        <v>3.2</v>
      </c>
      <c r="F52" s="648"/>
      <c r="G52" s="27"/>
      <c r="H52" s="27"/>
      <c r="I52" s="27"/>
      <c r="J52" s="120"/>
      <c r="K52" s="28"/>
      <c r="L52" s="120"/>
      <c r="M52" s="28"/>
      <c r="N52" s="120"/>
      <c r="O52" s="28"/>
      <c r="P52" s="120"/>
      <c r="Q52" s="308"/>
      <c r="V52" s="197"/>
    </row>
    <row r="53" spans="1:22" ht="18" customHeight="1">
      <c r="A53" s="96"/>
      <c r="C53" s="120"/>
      <c r="D53" s="28"/>
      <c r="E53" s="230"/>
      <c r="F53" s="230"/>
      <c r="G53" s="27"/>
      <c r="H53" s="27"/>
      <c r="I53" s="27"/>
      <c r="J53" s="120"/>
      <c r="K53" s="28"/>
      <c r="L53" s="120"/>
      <c r="M53" s="28"/>
      <c r="N53" s="120"/>
      <c r="O53" s="28"/>
      <c r="P53" s="120"/>
      <c r="Q53" s="308"/>
      <c r="V53" s="197"/>
    </row>
    <row r="54" spans="1:22" ht="18" customHeight="1">
      <c r="A54" s="96"/>
      <c r="B54" s="14" t="s">
        <v>746</v>
      </c>
      <c r="C54" s="14"/>
      <c r="D54" s="14"/>
      <c r="E54" s="7"/>
      <c r="F54" s="102"/>
      <c r="G54" s="7"/>
      <c r="H54" s="7"/>
      <c r="I54" s="251"/>
      <c r="J54" s="120"/>
      <c r="K54" s="28"/>
      <c r="L54" s="120"/>
      <c r="M54" s="28"/>
      <c r="N54" s="120"/>
      <c r="O54" s="28"/>
      <c r="P54" s="120"/>
      <c r="Q54" s="308"/>
      <c r="V54" s="197"/>
    </row>
    <row r="55" spans="1:22" ht="18" customHeight="1">
      <c r="A55" s="96"/>
      <c r="C55" s="14"/>
      <c r="D55" s="14"/>
      <c r="E55" s="638" t="s">
        <v>747</v>
      </c>
      <c r="F55" s="638">
        <v>1</v>
      </c>
      <c r="G55" s="638"/>
      <c r="H55" s="638" t="s">
        <v>323</v>
      </c>
      <c r="I55" s="472" t="s">
        <v>323</v>
      </c>
      <c r="J55" s="120"/>
      <c r="K55" s="28"/>
      <c r="L55" s="120"/>
      <c r="M55" s="28"/>
      <c r="N55" s="120"/>
      <c r="O55" s="28"/>
      <c r="P55" s="120"/>
      <c r="Q55" s="308"/>
      <c r="V55" s="197"/>
    </row>
    <row r="56" spans="1:22" ht="18" customHeight="1">
      <c r="A56" s="96"/>
      <c r="C56" s="14"/>
      <c r="D56" s="14"/>
      <c r="E56" s="985"/>
      <c r="F56" s="285"/>
      <c r="G56" s="286" t="s">
        <v>748</v>
      </c>
      <c r="H56" s="638"/>
      <c r="I56" s="14" t="s">
        <v>152</v>
      </c>
      <c r="J56" s="120"/>
      <c r="K56" s="28"/>
      <c r="L56" s="120"/>
      <c r="M56" s="28"/>
      <c r="N56" s="120"/>
      <c r="O56" s="28"/>
      <c r="P56" s="120"/>
      <c r="Q56" s="308"/>
      <c r="V56" s="197"/>
    </row>
    <row r="57" spans="1:22" ht="18" customHeight="1">
      <c r="A57" s="96"/>
      <c r="C57" s="120"/>
      <c r="D57" s="28"/>
      <c r="E57" s="230"/>
      <c r="F57" s="230"/>
      <c r="G57" s="27"/>
      <c r="H57" s="27"/>
      <c r="I57" s="27"/>
      <c r="J57" s="120"/>
      <c r="K57" s="28"/>
      <c r="L57" s="120"/>
      <c r="M57" s="28"/>
      <c r="N57" s="120"/>
      <c r="O57" s="28"/>
      <c r="P57" s="120"/>
      <c r="Q57" s="308"/>
      <c r="V57" s="197"/>
    </row>
    <row r="58" spans="1:22" ht="18" customHeight="1">
      <c r="A58" s="96"/>
      <c r="C58" s="120"/>
      <c r="F58" s="661">
        <v>1</v>
      </c>
      <c r="G58" s="661"/>
      <c r="H58" s="661"/>
      <c r="I58" s="27"/>
      <c r="J58" s="638" t="s">
        <v>326</v>
      </c>
      <c r="K58" s="987">
        <v>15</v>
      </c>
      <c r="L58" s="120"/>
      <c r="M58" s="28"/>
      <c r="N58" s="120"/>
      <c r="O58" s="28"/>
      <c r="P58" s="120"/>
      <c r="Q58" s="308"/>
      <c r="V58" s="197"/>
    </row>
    <row r="59" spans="1:22" ht="18" customHeight="1">
      <c r="A59" s="96"/>
      <c r="C59" s="120"/>
      <c r="D59" s="120" t="s">
        <v>749</v>
      </c>
      <c r="E59" s="102" t="s">
        <v>138</v>
      </c>
      <c r="F59" s="30" t="s">
        <v>750</v>
      </c>
      <c r="I59" s="27"/>
      <c r="J59" s="639"/>
      <c r="K59" s="986"/>
      <c r="L59" s="120"/>
      <c r="M59" s="28"/>
      <c r="N59" s="120"/>
      <c r="O59" s="28"/>
      <c r="P59" s="120"/>
      <c r="Q59" s="308"/>
      <c r="V59" s="197"/>
    </row>
    <row r="60" spans="1:22" ht="18" customHeight="1">
      <c r="A60" s="96"/>
      <c r="C60" s="28"/>
      <c r="D60" s="230"/>
      <c r="E60" s="230"/>
      <c r="F60" s="230"/>
      <c r="G60" s="230"/>
      <c r="H60" s="230"/>
      <c r="I60" s="230"/>
      <c r="J60" s="230"/>
      <c r="K60" s="230"/>
      <c r="L60" s="230"/>
      <c r="M60" s="28"/>
      <c r="N60" s="120"/>
      <c r="O60" s="28"/>
      <c r="P60" s="120"/>
      <c r="Q60" s="308"/>
      <c r="V60" s="197"/>
    </row>
    <row r="61" spans="1:22" ht="18" customHeight="1">
      <c r="A61" s="96"/>
      <c r="C61" s="120"/>
      <c r="D61" s="28"/>
      <c r="E61" s="230" t="s">
        <v>138</v>
      </c>
      <c r="F61" s="988">
        <f>1*K58/(2*3.14*50)</f>
        <v>4.7770700636942678E-2</v>
      </c>
      <c r="G61" s="988"/>
      <c r="H61" s="28" t="s">
        <v>751</v>
      </c>
      <c r="I61" s="27"/>
      <c r="J61" s="120"/>
      <c r="K61" s="28"/>
      <c r="L61" s="120"/>
      <c r="M61" s="28"/>
      <c r="N61" s="120"/>
      <c r="O61" s="28"/>
      <c r="P61" s="120"/>
      <c r="Q61" s="308"/>
      <c r="V61" s="197"/>
    </row>
    <row r="62" spans="1:22" ht="17.399999999999999" customHeight="1">
      <c r="A62" s="96"/>
      <c r="C62" s="120"/>
      <c r="D62" s="120" t="s">
        <v>749</v>
      </c>
      <c r="E62" s="230" t="s">
        <v>138</v>
      </c>
      <c r="F62" s="989">
        <f>F61*1000</f>
        <v>47.770700636942678</v>
      </c>
      <c r="G62" s="989"/>
      <c r="H62" s="28" t="s">
        <v>354</v>
      </c>
      <c r="I62" s="27"/>
      <c r="J62" s="120"/>
      <c r="K62" s="28"/>
      <c r="L62" s="120"/>
      <c r="M62" s="28"/>
      <c r="N62" s="120"/>
      <c r="O62" s="28"/>
      <c r="P62" s="120"/>
      <c r="Q62" s="308"/>
      <c r="V62" s="197"/>
    </row>
    <row r="63" spans="1:22" ht="17.399999999999999" customHeight="1">
      <c r="A63" s="196"/>
      <c r="G63" s="27"/>
      <c r="H63" s="257"/>
      <c r="I63" s="257"/>
      <c r="J63" s="473"/>
      <c r="K63" s="257"/>
      <c r="L63" s="473"/>
      <c r="M63" s="257"/>
      <c r="N63" s="473"/>
      <c r="O63" s="257"/>
      <c r="P63" s="473"/>
      <c r="Q63" s="474"/>
      <c r="V63" s="197"/>
    </row>
    <row r="64" spans="1:22" ht="17.399999999999999" customHeight="1">
      <c r="A64" s="196"/>
      <c r="B64" s="14" t="s">
        <v>752</v>
      </c>
      <c r="E64" s="28" t="s">
        <v>138</v>
      </c>
      <c r="F64" s="27">
        <v>10</v>
      </c>
      <c r="G64" s="27"/>
      <c r="H64" s="257"/>
      <c r="I64" s="257"/>
      <c r="J64" s="473"/>
      <c r="K64" s="257"/>
      <c r="L64" s="473"/>
      <c r="M64" s="257"/>
      <c r="N64" s="473"/>
      <c r="O64" s="257"/>
      <c r="P64" s="473"/>
      <c r="Q64" s="474"/>
      <c r="V64" s="197"/>
    </row>
    <row r="65" spans="1:22" ht="17.399999999999999" customHeight="1">
      <c r="A65" s="196"/>
      <c r="G65" s="27"/>
      <c r="H65" s="257"/>
      <c r="I65" s="257"/>
      <c r="J65" s="473"/>
      <c r="K65" s="257"/>
      <c r="L65" s="473"/>
      <c r="M65" s="257"/>
      <c r="N65" s="473"/>
      <c r="O65" s="257"/>
      <c r="P65" s="473"/>
      <c r="Q65" s="474"/>
      <c r="V65" s="197"/>
    </row>
    <row r="66" spans="1:22" ht="17.399999999999999" customHeight="1">
      <c r="A66" s="196"/>
      <c r="B66" s="7" t="s">
        <v>753</v>
      </c>
      <c r="F66" s="7"/>
      <c r="G66" s="7"/>
      <c r="H66" s="216"/>
      <c r="I66" s="216"/>
      <c r="V66" s="197"/>
    </row>
    <row r="67" spans="1:22" ht="17.399999999999999" customHeight="1">
      <c r="A67" s="196"/>
      <c r="B67" s="7"/>
      <c r="E67" s="30" t="s">
        <v>754</v>
      </c>
      <c r="F67" s="7"/>
      <c r="G67" s="7"/>
      <c r="V67" s="197"/>
    </row>
    <row r="68" spans="1:22" ht="17.399999999999999" customHeight="1">
      <c r="A68" s="196"/>
      <c r="B68" s="7"/>
      <c r="E68" s="14"/>
      <c r="F68" s="7"/>
      <c r="G68" s="7"/>
      <c r="V68" s="197"/>
    </row>
    <row r="69" spans="1:22" ht="17.399999999999999" customHeight="1">
      <c r="A69" s="196"/>
      <c r="B69" s="14" t="s">
        <v>755</v>
      </c>
      <c r="C69" s="14"/>
      <c r="D69" s="14"/>
      <c r="E69" s="14"/>
      <c r="F69" s="14"/>
      <c r="G69" s="120"/>
      <c r="H69" s="120"/>
      <c r="V69" s="197"/>
    </row>
    <row r="70" spans="1:22" ht="17.399999999999999" customHeight="1">
      <c r="A70" s="196"/>
      <c r="B70" s="14"/>
      <c r="C70" s="120" t="s">
        <v>756</v>
      </c>
      <c r="D70" s="28" t="s">
        <v>138</v>
      </c>
      <c r="E70" s="28">
        <v>10</v>
      </c>
      <c r="F70" s="14"/>
      <c r="G70" s="47" t="s">
        <v>757</v>
      </c>
      <c r="H70" s="120"/>
      <c r="V70" s="197"/>
    </row>
    <row r="71" spans="1:22" ht="17.399999999999999" customHeight="1">
      <c r="A71" s="196"/>
      <c r="B71" s="7"/>
      <c r="E71" s="14"/>
      <c r="F71" s="7"/>
      <c r="G71" s="7"/>
      <c r="V71" s="197"/>
    </row>
    <row r="72" spans="1:22" ht="17.399999999999999" customHeight="1">
      <c r="A72" s="196"/>
      <c r="B72" s="47" t="s">
        <v>758</v>
      </c>
      <c r="E72" s="14"/>
      <c r="F72" s="7"/>
      <c r="G72" s="7"/>
      <c r="V72" s="197"/>
    </row>
    <row r="73" spans="1:22" ht="17.399999999999999" customHeight="1">
      <c r="A73" s="196"/>
      <c r="B73" s="47" t="s">
        <v>759</v>
      </c>
      <c r="E73" s="14"/>
      <c r="F73" s="7"/>
      <c r="G73" s="7"/>
      <c r="V73" s="197"/>
    </row>
    <row r="74" spans="1:22" ht="17.399999999999999" customHeight="1" thickBot="1">
      <c r="A74" s="196"/>
      <c r="B74" s="102" t="s">
        <v>138</v>
      </c>
      <c r="C74" s="120">
        <f>E70</f>
        <v>10</v>
      </c>
      <c r="D74" s="28" t="s">
        <v>326</v>
      </c>
      <c r="E74" s="28" t="s">
        <v>430</v>
      </c>
      <c r="F74" s="641">
        <f>S29</f>
        <v>5</v>
      </c>
      <c r="G74" s="641"/>
      <c r="H74" s="102" t="s">
        <v>358</v>
      </c>
      <c r="I74" s="230">
        <f>S30</f>
        <v>1.5518674400000001</v>
      </c>
      <c r="J74" s="252" t="s">
        <v>358</v>
      </c>
      <c r="K74" s="293">
        <f>J18</f>
        <v>0.01</v>
      </c>
      <c r="L74" s="14" t="s">
        <v>361</v>
      </c>
      <c r="M74" s="14" t="s">
        <v>326</v>
      </c>
      <c r="N74" s="28">
        <v>1</v>
      </c>
      <c r="V74" s="197"/>
    </row>
    <row r="75" spans="1:22" ht="17.399999999999999" customHeight="1" thickBot="1">
      <c r="A75" s="196"/>
      <c r="B75" s="475" t="s">
        <v>539</v>
      </c>
      <c r="C75" s="476" t="s">
        <v>138</v>
      </c>
      <c r="D75" s="477">
        <f>C74*(F74+I74+K74)*N74</f>
        <v>65.618674400000003</v>
      </c>
      <c r="E75" s="14" t="s">
        <v>316</v>
      </c>
      <c r="F75" s="7"/>
      <c r="G75" s="7"/>
      <c r="V75" s="197"/>
    </row>
    <row r="76" spans="1:22" ht="17.399999999999999" customHeight="1">
      <c r="A76" s="196"/>
      <c r="B76" s="7"/>
      <c r="E76" s="14"/>
      <c r="F76" s="7"/>
      <c r="G76" s="7"/>
      <c r="V76" s="197"/>
    </row>
    <row r="77" spans="1:22" ht="17.399999999999999" customHeight="1">
      <c r="A77" s="196"/>
      <c r="B77" s="47" t="s">
        <v>760</v>
      </c>
      <c r="E77" s="14"/>
      <c r="F77" s="7"/>
      <c r="G77" s="7"/>
      <c r="J77" s="14" t="s">
        <v>761</v>
      </c>
      <c r="L77" s="28" t="s">
        <v>487</v>
      </c>
      <c r="N77" s="14" t="s">
        <v>762</v>
      </c>
      <c r="V77" s="197"/>
    </row>
    <row r="78" spans="1:22" ht="17.399999999999999" customHeight="1">
      <c r="A78" s="196"/>
      <c r="B78" s="7"/>
      <c r="E78" s="14"/>
      <c r="F78" s="7"/>
      <c r="G78" s="7"/>
      <c r="L78" s="28" t="s">
        <v>138</v>
      </c>
      <c r="N78" s="986">
        <f>0.8*D75</f>
        <v>52.494939520000003</v>
      </c>
      <c r="O78" s="986"/>
      <c r="V78" s="197"/>
    </row>
    <row r="79" spans="1:22" ht="17.399999999999999" customHeight="1">
      <c r="A79" s="196"/>
      <c r="B79" s="7"/>
      <c r="E79" s="14"/>
      <c r="F79" s="14" t="s">
        <v>763</v>
      </c>
      <c r="G79" s="7"/>
      <c r="L79" s="28" t="s">
        <v>138</v>
      </c>
      <c r="N79" s="960">
        <f>N78*1.2</f>
        <v>62.993927423999999</v>
      </c>
      <c r="O79" s="960"/>
      <c r="V79" s="197"/>
    </row>
    <row r="80" spans="1:22" ht="17.399999999999999" customHeight="1">
      <c r="A80" s="196"/>
      <c r="K80" s="211" t="s">
        <v>486</v>
      </c>
      <c r="L80" s="28" t="str">
        <f>IF(I81&gt;M81,"&gt;","&lt;")</f>
        <v>&gt;</v>
      </c>
      <c r="M80" s="269" t="s">
        <v>488</v>
      </c>
      <c r="O80" s="18"/>
      <c r="P80" s="280"/>
      <c r="V80" s="197"/>
    </row>
    <row r="81" spans="1:23" s="14" customFormat="1" ht="18" customHeight="1">
      <c r="A81" s="196"/>
      <c r="B81" s="30"/>
      <c r="C81" s="30"/>
      <c r="D81" s="30"/>
      <c r="E81" s="30"/>
      <c r="F81" s="30"/>
      <c r="G81" s="30"/>
      <c r="H81" s="30"/>
      <c r="I81" s="637">
        <f>S28</f>
        <v>750</v>
      </c>
      <c r="J81" s="637"/>
      <c r="K81" s="27"/>
      <c r="L81" s="27" t="str">
        <f>IF(I81&gt;=M81,"&gt;","&lt;")</f>
        <v>&gt;</v>
      </c>
      <c r="M81" s="637">
        <f>N79</f>
        <v>62.993927423999999</v>
      </c>
      <c r="N81" s="637"/>
      <c r="O81" s="30"/>
      <c r="P81" s="280"/>
      <c r="Q81" s="30"/>
      <c r="R81" s="30"/>
      <c r="S81" s="30"/>
      <c r="T81" s="30"/>
      <c r="U81" s="30"/>
      <c r="V81" s="197"/>
    </row>
    <row r="82" spans="1:23" ht="18" customHeight="1">
      <c r="A82" s="196"/>
      <c r="K82" s="256" t="s">
        <v>489</v>
      </c>
      <c r="M82" s="18" t="str">
        <f>IF(I81&gt;M81,"Suitable Dimensions","Under Dimensioned")</f>
        <v>Suitable Dimensions</v>
      </c>
      <c r="V82" s="197"/>
    </row>
    <row r="83" spans="1:23" ht="18" hidden="1" customHeight="1">
      <c r="A83" s="196"/>
      <c r="K83" s="256"/>
      <c r="M83" s="18"/>
      <c r="V83" s="197"/>
    </row>
    <row r="84" spans="1:23" ht="18" hidden="1" customHeight="1">
      <c r="A84" s="196"/>
      <c r="K84" s="256"/>
      <c r="M84" s="18"/>
      <c r="V84" s="197"/>
    </row>
    <row r="85" spans="1:23" ht="18" hidden="1" customHeight="1">
      <c r="A85" s="196"/>
      <c r="B85" s="7"/>
      <c r="E85" s="14"/>
      <c r="F85" s="7"/>
      <c r="G85" s="7"/>
      <c r="V85" s="197"/>
    </row>
    <row r="86" spans="1:23" ht="18" hidden="1" customHeight="1">
      <c r="A86" s="206"/>
      <c r="B86" s="207"/>
      <c r="C86" s="207"/>
      <c r="D86" s="207"/>
      <c r="E86" s="207"/>
      <c r="F86" s="207"/>
      <c r="G86" s="207"/>
      <c r="H86" s="207"/>
      <c r="I86" s="207"/>
      <c r="J86" s="207"/>
      <c r="K86" s="207"/>
      <c r="L86" s="207"/>
      <c r="M86" s="207"/>
      <c r="N86" s="207"/>
      <c r="O86" s="207"/>
      <c r="P86" s="207"/>
      <c r="Q86" s="236"/>
      <c r="R86" s="194"/>
      <c r="S86" s="237"/>
      <c r="T86" s="207"/>
      <c r="U86" s="207"/>
      <c r="V86" s="140"/>
    </row>
    <row r="87" spans="1:23" ht="18" hidden="1" customHeight="1">
      <c r="A87" s="238"/>
      <c r="B87" s="239"/>
      <c r="C87" s="239"/>
      <c r="D87" s="239"/>
      <c r="E87" s="239"/>
      <c r="F87" s="239"/>
      <c r="G87" s="239"/>
      <c r="H87" s="239"/>
      <c r="I87" s="239"/>
      <c r="J87" s="239"/>
      <c r="K87" s="239"/>
      <c r="L87" s="239"/>
      <c r="M87" s="239"/>
      <c r="N87" s="239"/>
      <c r="O87" s="239"/>
      <c r="P87" s="239"/>
      <c r="Q87" s="239"/>
      <c r="R87" s="239"/>
      <c r="S87" s="239"/>
      <c r="T87" s="239"/>
      <c r="U87" s="239"/>
      <c r="V87" s="240"/>
    </row>
    <row r="88" spans="1:23" ht="18" hidden="1" customHeight="1">
      <c r="A88" s="196"/>
      <c r="B88" s="667" t="str">
        <f>B7</f>
        <v>T1</v>
      </c>
      <c r="C88" s="668"/>
      <c r="D88" s="679" t="str">
        <f>D7</f>
        <v>Core5</v>
      </c>
      <c r="E88" s="994"/>
      <c r="F88" s="468"/>
      <c r="H88" s="639">
        <f>H7</f>
        <v>0</v>
      </c>
      <c r="I88" s="639"/>
      <c r="J88" s="639"/>
      <c r="K88" s="639"/>
      <c r="L88" s="639"/>
      <c r="M88" s="639"/>
      <c r="P88" s="198"/>
      <c r="S88" s="199" t="s">
        <v>398</v>
      </c>
      <c r="T88" s="667" t="str">
        <f>T7</f>
        <v>REB500</v>
      </c>
      <c r="U88" s="668"/>
      <c r="V88" s="197"/>
    </row>
    <row r="89" spans="1:23" ht="18" hidden="1" customHeight="1">
      <c r="A89" s="469"/>
      <c r="F89" s="468"/>
      <c r="T89" s="992" t="str">
        <f>T8</f>
        <v>P743</v>
      </c>
      <c r="U89" s="993"/>
      <c r="V89" s="197"/>
      <c r="W89" s="30" t="str">
        <f>M161</f>
        <v>Required Vk</v>
      </c>
    </row>
    <row r="90" spans="1:23" ht="18" hidden="1" customHeight="1">
      <c r="A90" s="196"/>
      <c r="H90" s="661" t="s">
        <v>401</v>
      </c>
      <c r="I90" s="661"/>
      <c r="J90" s="662" t="s">
        <v>402</v>
      </c>
      <c r="K90" s="662"/>
      <c r="L90" s="701" t="s">
        <v>403</v>
      </c>
      <c r="M90" s="701"/>
      <c r="T90" s="992">
        <f>T9</f>
        <v>0</v>
      </c>
      <c r="U90" s="993"/>
      <c r="V90" s="197"/>
    </row>
    <row r="91" spans="1:23" ht="18" hidden="1" customHeight="1">
      <c r="A91" s="196"/>
      <c r="B91" s="47" t="s">
        <v>404</v>
      </c>
      <c r="H91" s="667">
        <f>H10</f>
        <v>2500</v>
      </c>
      <c r="I91" s="668"/>
      <c r="J91" s="667">
        <f>J10</f>
        <v>0</v>
      </c>
      <c r="K91" s="668"/>
      <c r="L91" s="667" t="str">
        <f>L10</f>
        <v>-</v>
      </c>
      <c r="M91" s="668"/>
      <c r="N91" s="203" t="s">
        <v>353</v>
      </c>
      <c r="O91" s="501">
        <f>O10</f>
        <v>1</v>
      </c>
      <c r="P91" s="27" t="s">
        <v>9</v>
      </c>
      <c r="R91" s="267"/>
      <c r="S91" s="267"/>
      <c r="V91" s="197"/>
    </row>
    <row r="92" spans="1:23" ht="18" hidden="1" customHeight="1">
      <c r="A92" s="196"/>
      <c r="B92" s="47" t="s">
        <v>405</v>
      </c>
      <c r="H92" s="14"/>
      <c r="I92" s="14"/>
      <c r="J92" s="667" t="str">
        <f>H11</f>
        <v>PX-B</v>
      </c>
      <c r="K92" s="668"/>
      <c r="L92" s="14"/>
      <c r="M92" s="14"/>
      <c r="V92" s="197"/>
    </row>
    <row r="93" spans="1:23" ht="18" hidden="1" customHeight="1">
      <c r="A93" s="196"/>
      <c r="B93" s="47" t="s">
        <v>407</v>
      </c>
      <c r="I93" s="120" t="s">
        <v>508</v>
      </c>
      <c r="J93" s="656">
        <v>9.3000000000000007</v>
      </c>
      <c r="K93" s="657"/>
      <c r="L93" s="204" t="s">
        <v>344</v>
      </c>
      <c r="V93" s="197"/>
    </row>
    <row r="94" spans="1:23" ht="18" hidden="1" customHeight="1">
      <c r="A94" s="196"/>
      <c r="B94" s="47" t="s">
        <v>409</v>
      </c>
      <c r="I94" s="120" t="s">
        <v>509</v>
      </c>
      <c r="J94" s="656">
        <v>500</v>
      </c>
      <c r="K94" s="657"/>
      <c r="L94" s="14" t="s">
        <v>316</v>
      </c>
      <c r="T94" s="307"/>
      <c r="U94" s="18"/>
      <c r="V94" s="197"/>
    </row>
    <row r="95" spans="1:23" ht="18" hidden="1" customHeight="1">
      <c r="A95" s="196"/>
      <c r="B95" s="14" t="s">
        <v>412</v>
      </c>
      <c r="I95" s="120" t="s">
        <v>413</v>
      </c>
      <c r="J95" s="656">
        <v>60</v>
      </c>
      <c r="K95" s="657"/>
      <c r="L95" s="14" t="s">
        <v>414</v>
      </c>
      <c r="V95" s="197"/>
    </row>
    <row r="96" spans="1:23" ht="18" hidden="1" customHeight="1">
      <c r="A96" s="196"/>
      <c r="V96" s="197"/>
    </row>
    <row r="97" spans="1:25" ht="18" hidden="1" customHeight="1">
      <c r="A97" s="205" t="s">
        <v>415</v>
      </c>
      <c r="V97" s="197"/>
    </row>
    <row r="98" spans="1:25" ht="18" hidden="1" customHeight="1">
      <c r="A98" s="196"/>
      <c r="V98" s="197"/>
    </row>
    <row r="99" spans="1:25" ht="18" hidden="1" customHeight="1">
      <c r="A99" s="196"/>
      <c r="B99" s="141" t="s">
        <v>416</v>
      </c>
      <c r="C99" s="285"/>
      <c r="D99" s="146" t="str">
        <f>T88</f>
        <v>REB500</v>
      </c>
      <c r="E99" s="239"/>
      <c r="F99" s="239"/>
      <c r="G99" s="239"/>
      <c r="H99" s="145"/>
      <c r="I99" s="272" t="s">
        <v>138</v>
      </c>
      <c r="J99" s="648">
        <f>J18</f>
        <v>0.01</v>
      </c>
      <c r="K99" s="649"/>
      <c r="L99" s="3" t="s">
        <v>168</v>
      </c>
      <c r="N99" s="209" t="s">
        <v>521</v>
      </c>
      <c r="V99" s="197"/>
    </row>
    <row r="100" spans="1:25" ht="18" hidden="1" customHeight="1">
      <c r="A100" s="196"/>
      <c r="B100" s="96" t="s">
        <v>416</v>
      </c>
      <c r="C100" s="14"/>
      <c r="D100" s="47" t="str">
        <f>T89</f>
        <v>P743</v>
      </c>
      <c r="H100" s="28"/>
      <c r="I100" s="101" t="s">
        <v>138</v>
      </c>
      <c r="J100" s="648">
        <f>J19</f>
        <v>0.1</v>
      </c>
      <c r="K100" s="649"/>
      <c r="L100" s="3" t="s">
        <v>168</v>
      </c>
      <c r="N100" s="120" t="s">
        <v>502</v>
      </c>
      <c r="O100" s="27" t="s">
        <v>138</v>
      </c>
      <c r="P100" s="27" t="s">
        <v>522</v>
      </c>
      <c r="Q100" s="27" t="s">
        <v>326</v>
      </c>
      <c r="R100" s="27" t="s">
        <v>522</v>
      </c>
      <c r="S100" s="27" t="s">
        <v>326</v>
      </c>
      <c r="T100" s="27" t="s">
        <v>431</v>
      </c>
      <c r="V100" s="197"/>
    </row>
    <row r="101" spans="1:25" ht="18" hidden="1" customHeight="1">
      <c r="A101" s="196"/>
      <c r="B101" s="96" t="s">
        <v>416</v>
      </c>
      <c r="C101" s="14"/>
      <c r="D101" s="47">
        <f>T90</f>
        <v>0</v>
      </c>
      <c r="H101" s="28"/>
      <c r="I101" s="101" t="s">
        <v>138</v>
      </c>
      <c r="J101" s="648">
        <f>J20</f>
        <v>0</v>
      </c>
      <c r="K101" s="649"/>
      <c r="L101" s="3" t="s">
        <v>168</v>
      </c>
      <c r="N101" s="27"/>
      <c r="O101" s="27" t="s">
        <v>138</v>
      </c>
      <c r="P101" s="27">
        <f>O91</f>
        <v>1</v>
      </c>
      <c r="Q101" s="27" t="s">
        <v>326</v>
      </c>
      <c r="R101" s="27">
        <f>O91</f>
        <v>1</v>
      </c>
      <c r="S101" s="27" t="s">
        <v>326</v>
      </c>
      <c r="T101" s="27">
        <f>J93</f>
        <v>9.3000000000000007</v>
      </c>
      <c r="V101" s="197"/>
    </row>
    <row r="102" spans="1:25" ht="18" hidden="1" customHeight="1">
      <c r="A102" s="196"/>
      <c r="B102" s="465" t="s">
        <v>423</v>
      </c>
      <c r="C102" s="271"/>
      <c r="D102" s="271"/>
      <c r="E102" s="271"/>
      <c r="F102" s="219"/>
      <c r="G102" s="219"/>
      <c r="H102" s="202"/>
      <c r="I102" s="220" t="s">
        <v>138</v>
      </c>
      <c r="J102" s="646">
        <f>J21</f>
        <v>1.44186744</v>
      </c>
      <c r="K102" s="647"/>
      <c r="L102" s="309" t="s">
        <v>168</v>
      </c>
      <c r="O102" s="27" t="s">
        <v>138</v>
      </c>
      <c r="P102" s="637">
        <f>P101*R101*T101</f>
        <v>9.3000000000000007</v>
      </c>
      <c r="Q102" s="639"/>
      <c r="R102" s="27" t="s">
        <v>168</v>
      </c>
      <c r="V102" s="197"/>
    </row>
    <row r="103" spans="1:25" ht="18" hidden="1" customHeight="1">
      <c r="A103" s="196"/>
      <c r="B103" s="1" t="s">
        <v>424</v>
      </c>
      <c r="C103" s="2"/>
      <c r="D103" s="2"/>
      <c r="E103" s="2"/>
      <c r="F103" s="208"/>
      <c r="G103" s="208"/>
      <c r="H103" s="236" t="s">
        <v>523</v>
      </c>
      <c r="I103" s="195" t="s">
        <v>138</v>
      </c>
      <c r="J103" s="648">
        <f>SUM(J99:J102)</f>
        <v>1.5518674400000001</v>
      </c>
      <c r="K103" s="649"/>
      <c r="L103" s="3" t="s">
        <v>168</v>
      </c>
      <c r="V103" s="197"/>
    </row>
    <row r="104" spans="1:25" ht="18" hidden="1" customHeight="1">
      <c r="A104" s="196"/>
      <c r="B104" s="47"/>
      <c r="C104" s="47"/>
      <c r="D104" s="47"/>
      <c r="E104" s="47"/>
      <c r="H104" s="27"/>
      <c r="I104" s="28"/>
      <c r="J104" s="211"/>
      <c r="L104" s="47"/>
      <c r="S104" s="27"/>
      <c r="V104" s="197"/>
    </row>
    <row r="105" spans="1:25" ht="18" hidden="1" customHeight="1">
      <c r="A105" s="270"/>
      <c r="B105" s="117" t="s">
        <v>723</v>
      </c>
      <c r="V105" s="197"/>
    </row>
    <row r="106" spans="1:25" ht="18" hidden="1" customHeight="1">
      <c r="A106" s="243"/>
      <c r="B106" s="5"/>
      <c r="C106" s="47" t="s">
        <v>724</v>
      </c>
      <c r="D106" s="14"/>
      <c r="E106" s="14"/>
      <c r="F106" s="14"/>
      <c r="G106" s="14"/>
      <c r="H106" s="291"/>
      <c r="I106" s="120"/>
      <c r="J106" s="291"/>
      <c r="K106" s="291"/>
      <c r="L106" s="14"/>
      <c r="M106" s="14"/>
      <c r="N106" s="14"/>
      <c r="O106" s="14"/>
      <c r="P106" s="14"/>
      <c r="Q106" s="120" t="s">
        <v>725</v>
      </c>
      <c r="R106" s="102" t="s">
        <v>138</v>
      </c>
      <c r="S106" s="638">
        <v>31500</v>
      </c>
      <c r="T106" s="638"/>
      <c r="U106" s="47" t="s">
        <v>9</v>
      </c>
      <c r="V106" s="97" t="s">
        <v>140</v>
      </c>
    </row>
    <row r="107" spans="1:25" ht="18" hidden="1" customHeight="1">
      <c r="A107" s="196"/>
      <c r="B107" s="5"/>
      <c r="C107" s="47" t="s">
        <v>556</v>
      </c>
      <c r="D107" s="14"/>
      <c r="E107" s="14"/>
      <c r="F107" s="18"/>
      <c r="G107" s="18"/>
      <c r="H107" s="291"/>
      <c r="I107" s="120"/>
      <c r="J107" s="291"/>
      <c r="K107" s="291"/>
      <c r="L107" s="14"/>
      <c r="M107" s="14"/>
      <c r="N107" s="14"/>
      <c r="O107" s="14"/>
      <c r="P107" s="14"/>
      <c r="Q107" s="120" t="s">
        <v>434</v>
      </c>
      <c r="R107" s="102" t="s">
        <v>138</v>
      </c>
      <c r="S107" s="638">
        <f>J91</f>
        <v>0</v>
      </c>
      <c r="T107" s="638"/>
      <c r="U107" s="14" t="s">
        <v>9</v>
      </c>
      <c r="V107" s="197"/>
    </row>
    <row r="108" spans="1:25" ht="18" hidden="1" customHeight="1">
      <c r="A108" s="196"/>
      <c r="B108" s="5"/>
      <c r="C108" s="47" t="s">
        <v>726</v>
      </c>
      <c r="D108" s="14"/>
      <c r="E108" s="14"/>
      <c r="F108" s="18"/>
      <c r="G108" s="18"/>
      <c r="H108" s="291"/>
      <c r="I108" s="120"/>
      <c r="J108" s="291"/>
      <c r="K108" s="291"/>
      <c r="L108" s="14"/>
      <c r="M108" s="14"/>
      <c r="N108" s="14"/>
      <c r="O108" s="14"/>
      <c r="P108" s="14"/>
      <c r="Q108" s="120" t="s">
        <v>727</v>
      </c>
      <c r="R108" s="102" t="s">
        <v>138</v>
      </c>
      <c r="S108" s="638">
        <v>33</v>
      </c>
      <c r="T108" s="638"/>
      <c r="U108" s="14" t="s">
        <v>174</v>
      </c>
      <c r="V108" s="197"/>
    </row>
    <row r="109" spans="1:25" ht="18" hidden="1" customHeight="1">
      <c r="A109" s="196"/>
      <c r="B109" s="5"/>
      <c r="C109" s="47" t="s">
        <v>557</v>
      </c>
      <c r="D109" s="14"/>
      <c r="E109" s="14"/>
      <c r="F109" s="18"/>
      <c r="G109" s="18"/>
      <c r="H109" s="291"/>
      <c r="I109" s="120"/>
      <c r="J109" s="291"/>
      <c r="K109" s="291"/>
      <c r="L109" s="14"/>
      <c r="M109" s="14"/>
      <c r="N109" s="14"/>
      <c r="O109" s="14"/>
      <c r="P109" s="14"/>
      <c r="Q109" s="120" t="s">
        <v>484</v>
      </c>
      <c r="R109" s="102" t="s">
        <v>138</v>
      </c>
      <c r="S109" s="638">
        <f>J94</f>
        <v>500</v>
      </c>
      <c r="T109" s="638"/>
      <c r="U109" s="14" t="s">
        <v>316</v>
      </c>
      <c r="V109" s="197"/>
    </row>
    <row r="110" spans="1:25" ht="18" hidden="1" customHeight="1">
      <c r="A110" s="196"/>
      <c r="B110" s="5"/>
      <c r="C110" s="47" t="s">
        <v>728</v>
      </c>
      <c r="D110" s="14"/>
      <c r="E110" s="14"/>
      <c r="F110" s="18"/>
      <c r="G110" s="18"/>
      <c r="H110" s="291"/>
      <c r="I110" s="120"/>
      <c r="J110" s="291"/>
      <c r="K110" s="291"/>
      <c r="L110" s="14"/>
      <c r="M110" s="14"/>
      <c r="N110" s="14"/>
      <c r="O110" s="14"/>
      <c r="P110" s="14"/>
      <c r="Q110" s="120" t="s">
        <v>431</v>
      </c>
      <c r="R110" s="102" t="s">
        <v>138</v>
      </c>
      <c r="S110" s="641">
        <f>P102</f>
        <v>9.3000000000000007</v>
      </c>
      <c r="T110" s="638"/>
      <c r="U110" s="14" t="s">
        <v>168</v>
      </c>
      <c r="V110" s="197"/>
      <c r="W110" s="291"/>
      <c r="X110" s="291"/>
      <c r="Y110" s="291"/>
    </row>
    <row r="111" spans="1:25" ht="18" hidden="1" customHeight="1">
      <c r="A111" s="196"/>
      <c r="B111" s="5"/>
      <c r="C111" s="47" t="s">
        <v>729</v>
      </c>
      <c r="D111" s="14"/>
      <c r="E111" s="14"/>
      <c r="F111" s="18"/>
      <c r="G111" s="18"/>
      <c r="H111" s="291"/>
      <c r="I111" s="120"/>
      <c r="J111" s="291"/>
      <c r="K111" s="291"/>
      <c r="L111" s="14"/>
      <c r="M111" s="14"/>
      <c r="N111" s="14"/>
      <c r="O111" s="14"/>
      <c r="P111" s="14"/>
      <c r="Q111" s="120" t="s">
        <v>533</v>
      </c>
      <c r="R111" s="102" t="s">
        <v>138</v>
      </c>
      <c r="S111" s="641">
        <f>J103</f>
        <v>1.5518674400000001</v>
      </c>
      <c r="T111" s="638"/>
      <c r="U111" s="14" t="s">
        <v>168</v>
      </c>
      <c r="V111" s="197"/>
      <c r="X111" s="291"/>
      <c r="Y111" s="291"/>
    </row>
    <row r="112" spans="1:25" ht="18" hidden="1" customHeight="1">
      <c r="A112" s="180"/>
      <c r="B112" s="5"/>
      <c r="C112" s="47" t="s">
        <v>560</v>
      </c>
      <c r="D112" s="14"/>
      <c r="E112" s="14"/>
      <c r="F112" s="14"/>
      <c r="G112" s="14"/>
      <c r="H112" s="291"/>
      <c r="I112" s="120"/>
      <c r="J112" s="291"/>
      <c r="K112" s="291"/>
      <c r="L112" s="14"/>
      <c r="M112" s="14"/>
      <c r="N112" s="14"/>
      <c r="O112" s="14"/>
      <c r="P112" s="14"/>
      <c r="Q112" s="120" t="s">
        <v>725</v>
      </c>
      <c r="R112" s="102" t="s">
        <v>138</v>
      </c>
      <c r="S112" s="638">
        <f>O91</f>
        <v>1</v>
      </c>
      <c r="T112" s="638"/>
      <c r="U112" s="14" t="s">
        <v>9</v>
      </c>
      <c r="V112" s="197"/>
      <c r="X112" s="291"/>
      <c r="Y112" s="291"/>
    </row>
    <row r="113" spans="1:22" ht="18" hidden="1" customHeight="1">
      <c r="A113" s="180"/>
      <c r="B113" s="5"/>
      <c r="C113" s="47" t="s">
        <v>730</v>
      </c>
      <c r="D113" s="14"/>
      <c r="E113" s="14"/>
      <c r="F113" s="14"/>
      <c r="G113" s="14"/>
      <c r="H113" s="291"/>
      <c r="I113" s="120"/>
      <c r="J113" s="291"/>
      <c r="K113" s="291"/>
      <c r="L113" s="14"/>
      <c r="M113" s="14"/>
      <c r="N113" s="14"/>
      <c r="O113" s="14"/>
      <c r="P113" s="14"/>
      <c r="Q113" s="120" t="s">
        <v>731</v>
      </c>
      <c r="R113" s="102" t="s">
        <v>138</v>
      </c>
      <c r="S113" s="638">
        <v>50</v>
      </c>
      <c r="T113" s="638"/>
      <c r="U113" s="47"/>
      <c r="V113" s="197"/>
    </row>
    <row r="114" spans="1:22" ht="18" hidden="1" customHeight="1">
      <c r="A114" s="180"/>
      <c r="B114" s="291"/>
      <c r="C114" s="47"/>
      <c r="D114" s="14"/>
      <c r="E114" s="14"/>
      <c r="F114" s="14"/>
      <c r="G114" s="14"/>
      <c r="H114" s="291"/>
      <c r="I114" s="120"/>
      <c r="J114" s="291"/>
      <c r="K114" s="291"/>
      <c r="L114" s="14"/>
      <c r="M114" s="14"/>
      <c r="N114" s="291"/>
      <c r="O114" s="291"/>
      <c r="P114" s="14"/>
      <c r="Q114" s="120"/>
      <c r="R114" s="14"/>
      <c r="S114" s="291"/>
      <c r="T114" s="291"/>
      <c r="U114" s="291"/>
      <c r="V114" s="312"/>
    </row>
    <row r="115" spans="1:22" ht="18" hidden="1" customHeight="1">
      <c r="A115" s="180"/>
      <c r="C115" s="18" t="s">
        <v>732</v>
      </c>
      <c r="D115" s="14"/>
      <c r="E115" s="14"/>
      <c r="F115" s="14"/>
      <c r="G115" s="14"/>
      <c r="H115" s="14"/>
      <c r="I115" s="14"/>
      <c r="J115" s="14"/>
      <c r="K115" s="14"/>
      <c r="L115" s="14"/>
      <c r="M115" s="14"/>
      <c r="N115" s="14"/>
      <c r="O115" s="14"/>
      <c r="P115" s="14"/>
      <c r="Q115" s="14"/>
      <c r="R115" s="14"/>
      <c r="S115" s="14"/>
      <c r="T115" s="14"/>
      <c r="U115" s="14"/>
      <c r="V115" s="197"/>
    </row>
    <row r="116" spans="1:22" ht="18" hidden="1" customHeight="1">
      <c r="A116" s="180"/>
      <c r="C116" s="28"/>
      <c r="D116" s="47" t="s">
        <v>733</v>
      </c>
      <c r="E116" s="28"/>
      <c r="F116" s="28"/>
      <c r="G116" s="28"/>
      <c r="H116" s="14"/>
      <c r="I116" s="14"/>
      <c r="J116" s="28"/>
      <c r="K116" s="28"/>
      <c r="L116" s="28"/>
      <c r="M116" s="28"/>
      <c r="N116" s="47"/>
      <c r="O116" s="28"/>
      <c r="V116" s="197"/>
    </row>
    <row r="117" spans="1:22" ht="18" hidden="1" customHeight="1">
      <c r="A117" s="180"/>
      <c r="D117" s="27"/>
      <c r="E117" s="27"/>
      <c r="F117" s="27"/>
      <c r="G117" s="27"/>
      <c r="I117" s="638" t="s">
        <v>734</v>
      </c>
      <c r="J117" s="638" t="s">
        <v>138</v>
      </c>
      <c r="K117" s="881" t="s">
        <v>725</v>
      </c>
      <c r="L117" s="881"/>
      <c r="M117" s="27"/>
      <c r="N117" s="308"/>
      <c r="O117" s="234"/>
      <c r="V117" s="197"/>
    </row>
    <row r="118" spans="1:22" ht="18" hidden="1" customHeight="1">
      <c r="A118" s="180"/>
      <c r="D118" s="27"/>
      <c r="G118" s="27"/>
      <c r="I118" s="638"/>
      <c r="J118" s="638"/>
      <c r="K118" s="991" t="s">
        <v>735</v>
      </c>
      <c r="L118" s="991"/>
      <c r="V118" s="197"/>
    </row>
    <row r="119" spans="1:22" ht="18" hidden="1" customHeight="1">
      <c r="A119" s="196"/>
      <c r="B119" s="18" t="s">
        <v>736</v>
      </c>
      <c r="C119" s="14"/>
      <c r="V119" s="197"/>
    </row>
    <row r="120" spans="1:22" ht="18" hidden="1" customHeight="1">
      <c r="A120" s="196"/>
      <c r="B120" s="28"/>
      <c r="C120" s="385" t="s">
        <v>737</v>
      </c>
      <c r="D120" s="14"/>
      <c r="E120" s="14"/>
      <c r="F120" s="14"/>
      <c r="G120" s="14"/>
      <c r="H120" s="14"/>
      <c r="I120" s="14"/>
      <c r="J120" s="14"/>
      <c r="K120" s="14"/>
      <c r="L120" s="14"/>
      <c r="M120" s="14"/>
      <c r="N120" s="14"/>
      <c r="O120" s="14"/>
      <c r="P120" s="28"/>
      <c r="Q120" s="120"/>
      <c r="R120" s="14"/>
      <c r="S120" s="14"/>
      <c r="T120" s="14"/>
      <c r="U120" s="14"/>
      <c r="V120" s="197"/>
    </row>
    <row r="121" spans="1:22" ht="18" hidden="1" customHeight="1">
      <c r="A121" s="196"/>
      <c r="B121" s="28"/>
      <c r="C121" s="7" t="s">
        <v>738</v>
      </c>
      <c r="D121" s="14"/>
      <c r="E121" s="14"/>
      <c r="F121" s="14"/>
      <c r="G121" s="14"/>
      <c r="H121" s="14"/>
      <c r="K121" s="14"/>
      <c r="L121" s="28"/>
      <c r="M121" s="47"/>
      <c r="N121" s="14"/>
      <c r="O121" s="14"/>
      <c r="P121" s="14"/>
      <c r="Q121" s="14"/>
      <c r="R121" s="14"/>
      <c r="S121" s="14"/>
      <c r="T121" s="14"/>
      <c r="U121" s="14"/>
      <c r="V121" s="197"/>
    </row>
    <row r="122" spans="1:22" s="14" customFormat="1" ht="18" hidden="1" customHeight="1">
      <c r="A122" s="196"/>
      <c r="B122" s="14" t="s">
        <v>739</v>
      </c>
      <c r="C122" s="7"/>
      <c r="F122" s="280"/>
      <c r="G122" s="30"/>
      <c r="H122" s="30"/>
      <c r="I122" s="30"/>
      <c r="J122" s="30"/>
      <c r="K122" s="28"/>
      <c r="L122" s="28"/>
      <c r="M122" s="293"/>
      <c r="N122" s="28"/>
      <c r="O122" s="47"/>
      <c r="V122" s="197"/>
    </row>
    <row r="123" spans="1:22" ht="18" hidden="1" customHeight="1">
      <c r="A123" s="196"/>
      <c r="B123" s="14"/>
      <c r="C123" s="14" t="s">
        <v>740</v>
      </c>
      <c r="D123" s="47"/>
      <c r="E123" s="14"/>
      <c r="F123" s="280"/>
      <c r="K123" s="28"/>
      <c r="L123" s="28"/>
      <c r="M123" s="14"/>
      <c r="N123" s="14"/>
      <c r="O123" s="14"/>
      <c r="P123" s="14"/>
      <c r="Q123" s="14"/>
      <c r="R123" s="14"/>
      <c r="S123" s="14"/>
      <c r="T123" s="14"/>
      <c r="U123" s="14"/>
      <c r="V123" s="197"/>
    </row>
    <row r="124" spans="1:22" ht="18" hidden="1" customHeight="1">
      <c r="A124" s="196"/>
      <c r="B124" s="14"/>
      <c r="C124" s="7" t="s">
        <v>741</v>
      </c>
      <c r="D124" s="14"/>
      <c r="E124" s="14"/>
      <c r="F124" s="14"/>
      <c r="G124" s="14"/>
      <c r="H124" s="14"/>
      <c r="K124" s="28"/>
      <c r="L124" s="28"/>
      <c r="M124" s="47"/>
      <c r="N124" s="14"/>
      <c r="O124" s="14"/>
      <c r="P124" s="14"/>
      <c r="Q124" s="14"/>
      <c r="R124" s="14"/>
      <c r="S124" s="14"/>
      <c r="T124" s="14"/>
      <c r="U124" s="14"/>
      <c r="V124" s="197"/>
    </row>
    <row r="125" spans="1:22" ht="18" hidden="1" customHeight="1">
      <c r="A125" s="196"/>
      <c r="B125" s="14"/>
      <c r="C125" s="7" t="s">
        <v>742</v>
      </c>
      <c r="K125" s="28"/>
      <c r="L125" s="28"/>
      <c r="M125" s="28"/>
      <c r="O125" s="14"/>
      <c r="P125" s="28"/>
      <c r="Q125" s="290"/>
      <c r="R125" s="28"/>
      <c r="S125" s="14"/>
      <c r="T125" s="14"/>
      <c r="U125" s="14"/>
      <c r="V125" s="197"/>
    </row>
    <row r="126" spans="1:22" ht="18" hidden="1" customHeight="1">
      <c r="A126" s="465"/>
      <c r="B126" s="219"/>
      <c r="C126" s="219"/>
      <c r="D126" s="219"/>
      <c r="E126" s="219"/>
      <c r="F126" s="219"/>
      <c r="G126" s="219"/>
      <c r="H126" s="219"/>
      <c r="I126" s="219"/>
      <c r="J126" s="219"/>
      <c r="K126" s="271" t="s">
        <v>140</v>
      </c>
      <c r="L126" s="271" t="s">
        <v>743</v>
      </c>
      <c r="M126" s="202"/>
      <c r="N126" s="271"/>
      <c r="O126" s="271"/>
      <c r="P126" s="241"/>
      <c r="Q126" s="486"/>
      <c r="R126" s="241"/>
      <c r="S126" s="271"/>
      <c r="T126" s="271"/>
      <c r="U126" s="271"/>
      <c r="V126" s="466"/>
    </row>
    <row r="127" spans="1:22" ht="18" hidden="1" customHeight="1">
      <c r="A127" s="206"/>
      <c r="B127" s="207"/>
      <c r="C127" s="207"/>
      <c r="D127" s="207"/>
      <c r="E127" s="207"/>
      <c r="F127" s="207"/>
      <c r="G127" s="207"/>
      <c r="H127" s="207"/>
      <c r="I127" s="207"/>
      <c r="J127" s="207"/>
      <c r="K127" s="207"/>
      <c r="L127" s="207"/>
      <c r="M127" s="207"/>
      <c r="N127" s="207"/>
      <c r="O127" s="207"/>
      <c r="P127" s="207"/>
      <c r="Q127" s="236"/>
      <c r="R127" s="194"/>
      <c r="S127" s="237"/>
      <c r="T127" s="207"/>
      <c r="U127" s="207"/>
      <c r="V127" s="140"/>
    </row>
    <row r="128" spans="1:22" ht="18" hidden="1" customHeight="1">
      <c r="A128" s="238"/>
      <c r="B128" s="285"/>
      <c r="C128" s="285"/>
      <c r="D128" s="239"/>
      <c r="E128" s="239"/>
      <c r="F128" s="239"/>
      <c r="G128" s="239"/>
      <c r="H128" s="239"/>
      <c r="I128" s="239"/>
      <c r="J128" s="239"/>
      <c r="K128" s="323"/>
      <c r="L128" s="323"/>
      <c r="M128" s="239"/>
      <c r="N128" s="239"/>
      <c r="O128" s="323"/>
      <c r="P128" s="323"/>
      <c r="Q128" s="145"/>
      <c r="R128" s="239"/>
      <c r="S128" s="239"/>
      <c r="T128" s="285"/>
      <c r="U128" s="285"/>
      <c r="V128" s="240"/>
    </row>
    <row r="129" spans="1:22" ht="18" hidden="1" customHeight="1">
      <c r="A129" s="96"/>
      <c r="B129" s="7" t="s">
        <v>744</v>
      </c>
      <c r="C129" s="7"/>
      <c r="D129" s="14"/>
      <c r="E129" s="7"/>
      <c r="F129" s="7"/>
      <c r="L129" s="27"/>
      <c r="O129" s="27"/>
      <c r="P129" s="27"/>
      <c r="Q129" s="28"/>
      <c r="T129" s="14"/>
      <c r="U129" s="14"/>
      <c r="V129" s="197"/>
    </row>
    <row r="130" spans="1:22" ht="18" hidden="1" customHeight="1">
      <c r="A130" s="96"/>
      <c r="B130" s="14"/>
      <c r="C130" s="7"/>
      <c r="D130" s="7"/>
      <c r="E130" s="14"/>
      <c r="F130" s="7"/>
      <c r="L130" s="27"/>
      <c r="M130" s="14"/>
      <c r="O130" s="14"/>
      <c r="P130" s="14"/>
      <c r="Q130" s="14"/>
      <c r="R130" s="14"/>
      <c r="S130" s="14"/>
      <c r="T130" s="14"/>
      <c r="U130" s="14"/>
      <c r="V130" s="197"/>
    </row>
    <row r="131" spans="1:22" ht="18" hidden="1" customHeight="1">
      <c r="A131" s="96"/>
      <c r="B131" s="14"/>
      <c r="C131" s="120" t="s">
        <v>745</v>
      </c>
      <c r="D131" s="28" t="s">
        <v>138</v>
      </c>
      <c r="E131" s="861">
        <f>S106</f>
        <v>31500</v>
      </c>
      <c r="F131" s="861"/>
      <c r="G131" s="14"/>
      <c r="H131" s="14"/>
      <c r="I131" s="102"/>
      <c r="J131" s="47"/>
      <c r="K131" s="47"/>
      <c r="L131" s="14"/>
      <c r="M131" s="14"/>
      <c r="N131" s="14"/>
      <c r="O131" s="14"/>
      <c r="P131" s="14"/>
      <c r="Q131" s="14"/>
      <c r="R131" s="14"/>
      <c r="S131" s="14"/>
      <c r="T131" s="14"/>
      <c r="U131" s="14"/>
      <c r="V131" s="197"/>
    </row>
    <row r="132" spans="1:22" ht="18" hidden="1" customHeight="1">
      <c r="A132" s="96"/>
      <c r="B132" s="14"/>
      <c r="C132" s="120"/>
      <c r="D132" s="28"/>
      <c r="E132" s="860" t="str">
        <f>"5 x "&amp;S107&amp;""</f>
        <v>5 x 0</v>
      </c>
      <c r="F132" s="860"/>
      <c r="G132" s="28"/>
      <c r="H132" s="269"/>
      <c r="K132" s="28"/>
      <c r="L132" s="230"/>
      <c r="M132" s="269"/>
      <c r="O132" s="14"/>
      <c r="P132" s="14"/>
      <c r="Q132" s="14"/>
      <c r="R132" s="14"/>
      <c r="S132" s="14"/>
      <c r="T132" s="14"/>
      <c r="U132" s="14"/>
      <c r="V132" s="197"/>
    </row>
    <row r="133" spans="1:22" ht="18" hidden="1" customHeight="1">
      <c r="A133" s="96"/>
      <c r="J133" s="14"/>
      <c r="K133" s="269"/>
      <c r="M133" s="14"/>
      <c r="N133" s="14"/>
      <c r="O133" s="14"/>
      <c r="P133" s="14"/>
      <c r="Q133" s="14"/>
      <c r="R133" s="14"/>
      <c r="S133" s="14"/>
      <c r="T133" s="14"/>
      <c r="U133" s="14"/>
      <c r="V133" s="197"/>
    </row>
    <row r="134" spans="1:22" ht="18" hidden="1" customHeight="1">
      <c r="A134" s="96"/>
      <c r="C134" s="471" t="s">
        <v>745</v>
      </c>
      <c r="D134" s="194" t="s">
        <v>138</v>
      </c>
      <c r="E134" s="990" t="e">
        <f>S106/5/S107</f>
        <v>#DIV/0!</v>
      </c>
      <c r="F134" s="648"/>
      <c r="G134" s="27"/>
      <c r="H134" s="27"/>
      <c r="I134" s="27"/>
      <c r="J134" s="120"/>
      <c r="K134" s="28"/>
      <c r="L134" s="120"/>
      <c r="M134" s="28"/>
      <c r="N134" s="120"/>
      <c r="O134" s="28"/>
      <c r="P134" s="120"/>
      <c r="Q134" s="308"/>
      <c r="V134" s="197"/>
    </row>
    <row r="135" spans="1:22" ht="18" hidden="1" customHeight="1">
      <c r="A135" s="96"/>
      <c r="C135" s="120"/>
      <c r="D135" s="28"/>
      <c r="E135" s="230"/>
      <c r="F135" s="230"/>
      <c r="G135" s="27"/>
      <c r="H135" s="27"/>
      <c r="I135" s="27"/>
      <c r="J135" s="120"/>
      <c r="K135" s="28"/>
      <c r="L135" s="120"/>
      <c r="M135" s="28"/>
      <c r="N135" s="120"/>
      <c r="O135" s="28"/>
      <c r="P135" s="120"/>
      <c r="Q135" s="308"/>
      <c r="V135" s="197"/>
    </row>
    <row r="136" spans="1:22" ht="18" hidden="1" customHeight="1">
      <c r="A136" s="96"/>
      <c r="B136" s="14" t="s">
        <v>746</v>
      </c>
      <c r="C136" s="14"/>
      <c r="D136" s="14"/>
      <c r="E136" s="7"/>
      <c r="F136" s="102"/>
      <c r="G136" s="7"/>
      <c r="H136" s="7"/>
      <c r="I136" s="251"/>
      <c r="J136" s="120"/>
      <c r="K136" s="28"/>
      <c r="L136" s="120"/>
      <c r="M136" s="28"/>
      <c r="N136" s="120"/>
      <c r="O136" s="28"/>
      <c r="P136" s="120"/>
      <c r="Q136" s="308"/>
      <c r="V136" s="197"/>
    </row>
    <row r="137" spans="1:22" ht="18" hidden="1" customHeight="1">
      <c r="A137" s="96"/>
      <c r="C137" s="14"/>
      <c r="D137" s="14"/>
      <c r="E137" s="638" t="s">
        <v>747</v>
      </c>
      <c r="F137" s="638">
        <v>1</v>
      </c>
      <c r="G137" s="638"/>
      <c r="H137" s="638" t="s">
        <v>323</v>
      </c>
      <c r="I137" s="472" t="s">
        <v>323</v>
      </c>
      <c r="J137" s="120"/>
      <c r="K137" s="28"/>
      <c r="L137" s="120"/>
      <c r="M137" s="28"/>
      <c r="N137" s="120"/>
      <c r="O137" s="28"/>
      <c r="P137" s="120"/>
      <c r="Q137" s="308"/>
      <c r="V137" s="197"/>
    </row>
    <row r="138" spans="1:22" ht="18" hidden="1" customHeight="1">
      <c r="A138" s="96"/>
      <c r="C138" s="14"/>
      <c r="D138" s="14"/>
      <c r="E138" s="985"/>
      <c r="F138" s="285"/>
      <c r="G138" s="286" t="s">
        <v>748</v>
      </c>
      <c r="H138" s="638"/>
      <c r="I138" s="14" t="s">
        <v>152</v>
      </c>
      <c r="J138" s="120"/>
      <c r="K138" s="28"/>
      <c r="L138" s="120"/>
      <c r="M138" s="28"/>
      <c r="N138" s="120"/>
      <c r="O138" s="28"/>
      <c r="P138" s="120"/>
      <c r="Q138" s="308"/>
      <c r="V138" s="197"/>
    </row>
    <row r="139" spans="1:22" ht="18" hidden="1" customHeight="1">
      <c r="A139" s="96"/>
      <c r="C139" s="120"/>
      <c r="D139" s="28"/>
      <c r="E139" s="230"/>
      <c r="F139" s="230"/>
      <c r="G139" s="27"/>
      <c r="H139" s="27"/>
      <c r="I139" s="27"/>
      <c r="J139" s="120"/>
      <c r="K139" s="28"/>
      <c r="L139" s="120"/>
      <c r="M139" s="28"/>
      <c r="N139" s="120"/>
      <c r="O139" s="28"/>
      <c r="P139" s="120"/>
      <c r="Q139" s="308"/>
      <c r="V139" s="197"/>
    </row>
    <row r="140" spans="1:22" ht="18" hidden="1" customHeight="1">
      <c r="A140" s="96"/>
      <c r="B140" s="14" t="s">
        <v>764</v>
      </c>
      <c r="J140" s="120"/>
      <c r="K140" s="28"/>
      <c r="L140" s="120"/>
      <c r="M140" s="28"/>
      <c r="N140" s="121" t="s">
        <v>138</v>
      </c>
      <c r="O140" s="47" t="e">
        <f>#REF!</f>
        <v>#REF!</v>
      </c>
      <c r="P140" s="120"/>
      <c r="Q140" s="308"/>
      <c r="V140" s="197"/>
    </row>
    <row r="141" spans="1:22" ht="18" hidden="1" customHeight="1">
      <c r="A141" s="196"/>
      <c r="C141" s="120"/>
      <c r="D141" s="28"/>
      <c r="E141" s="230"/>
      <c r="F141" s="230"/>
      <c r="G141" s="27"/>
      <c r="H141" s="27"/>
      <c r="I141" s="27"/>
      <c r="J141" s="120"/>
      <c r="K141" s="28"/>
      <c r="L141" s="120"/>
      <c r="M141" s="28"/>
      <c r="N141" s="120"/>
      <c r="O141" s="28"/>
      <c r="P141" s="120"/>
      <c r="Q141" s="308"/>
      <c r="V141" s="197"/>
    </row>
    <row r="142" spans="1:22" ht="18" hidden="1" customHeight="1">
      <c r="A142" s="96"/>
      <c r="C142" s="120"/>
      <c r="F142" s="661">
        <v>1</v>
      </c>
      <c r="G142" s="661"/>
      <c r="H142" s="661"/>
      <c r="I142" s="27"/>
      <c r="J142" s="638" t="s">
        <v>326</v>
      </c>
      <c r="K142" s="987" t="e">
        <f>O140</f>
        <v>#REF!</v>
      </c>
      <c r="L142" s="120"/>
      <c r="M142" s="28"/>
      <c r="N142" s="120"/>
      <c r="O142" s="28"/>
      <c r="P142" s="120"/>
      <c r="Q142" s="308"/>
      <c r="V142" s="197"/>
    </row>
    <row r="143" spans="1:22" ht="18" hidden="1" customHeight="1">
      <c r="A143" s="196"/>
      <c r="C143" s="120"/>
      <c r="D143" s="120" t="s">
        <v>749</v>
      </c>
      <c r="E143" s="102" t="s">
        <v>138</v>
      </c>
      <c r="F143" s="14" t="s">
        <v>750</v>
      </c>
      <c r="I143" s="27"/>
      <c r="J143" s="639"/>
      <c r="K143" s="986"/>
      <c r="L143" s="120"/>
      <c r="M143" s="28"/>
      <c r="N143" s="120"/>
      <c r="O143" s="28"/>
      <c r="P143" s="120"/>
      <c r="Q143" s="308"/>
      <c r="V143" s="197"/>
    </row>
    <row r="144" spans="1:22" ht="18" hidden="1" customHeight="1">
      <c r="A144" s="196"/>
      <c r="C144" s="120"/>
      <c r="D144" s="28"/>
      <c r="E144" s="230" t="s">
        <v>138</v>
      </c>
      <c r="F144" s="988" t="e">
        <f>1*O140/(2*3.14*50)</f>
        <v>#REF!</v>
      </c>
      <c r="G144" s="988"/>
      <c r="H144" s="28" t="s">
        <v>751</v>
      </c>
      <c r="I144" s="27"/>
      <c r="J144" s="120"/>
      <c r="K144" s="28"/>
      <c r="L144" s="120"/>
      <c r="M144" s="28"/>
      <c r="N144" s="120"/>
      <c r="O144" s="28"/>
      <c r="P144" s="120"/>
      <c r="Q144" s="308"/>
      <c r="V144" s="197"/>
    </row>
    <row r="145" spans="1:22" ht="18" hidden="1" customHeight="1">
      <c r="A145" s="196"/>
      <c r="C145" s="120"/>
      <c r="D145" s="120" t="s">
        <v>749</v>
      </c>
      <c r="E145" s="230" t="s">
        <v>138</v>
      </c>
      <c r="F145" s="989" t="e">
        <f>F144*1000</f>
        <v>#REF!</v>
      </c>
      <c r="G145" s="989"/>
      <c r="H145" s="28" t="s">
        <v>354</v>
      </c>
      <c r="I145" s="27"/>
      <c r="J145" s="120"/>
      <c r="K145" s="28"/>
      <c r="L145" s="120"/>
      <c r="M145" s="28"/>
      <c r="N145" s="120"/>
      <c r="O145" s="28"/>
      <c r="P145" s="120"/>
      <c r="Q145" s="308"/>
      <c r="V145" s="197"/>
    </row>
    <row r="146" spans="1:22" ht="18" hidden="1" customHeight="1">
      <c r="A146" s="196"/>
      <c r="B146" s="14" t="s">
        <v>752</v>
      </c>
      <c r="E146" s="28" t="s">
        <v>138</v>
      </c>
      <c r="F146" s="27">
        <v>10</v>
      </c>
      <c r="G146" s="27"/>
      <c r="H146" s="257"/>
      <c r="I146" s="257"/>
      <c r="J146" s="473"/>
      <c r="K146" s="257"/>
      <c r="L146" s="473"/>
      <c r="M146" s="257"/>
      <c r="N146" s="473"/>
      <c r="O146" s="257"/>
      <c r="P146" s="473"/>
      <c r="Q146" s="474"/>
      <c r="V146" s="197"/>
    </row>
    <row r="147" spans="1:22" ht="18" hidden="1" customHeight="1">
      <c r="A147" s="196"/>
      <c r="G147" s="27"/>
      <c r="H147" s="257"/>
      <c r="I147" s="257"/>
      <c r="J147" s="473"/>
      <c r="K147" s="257"/>
      <c r="L147" s="473"/>
      <c r="M147" s="257"/>
      <c r="N147" s="473"/>
      <c r="O147" s="257"/>
      <c r="P147" s="473"/>
      <c r="Q147" s="474"/>
      <c r="V147" s="197"/>
    </row>
    <row r="148" spans="1:22" ht="18" hidden="1" customHeight="1">
      <c r="A148" s="196"/>
      <c r="B148" s="7" t="s">
        <v>753</v>
      </c>
      <c r="F148" s="7"/>
      <c r="G148" s="7"/>
      <c r="H148" s="216"/>
      <c r="I148" s="216"/>
      <c r="V148" s="197"/>
    </row>
    <row r="149" spans="1:22" ht="18" hidden="1" customHeight="1">
      <c r="A149" s="196"/>
      <c r="B149" s="7"/>
      <c r="E149" s="14" t="s">
        <v>765</v>
      </c>
      <c r="F149" s="7"/>
      <c r="G149" s="7"/>
      <c r="V149" s="197"/>
    </row>
    <row r="150" spans="1:22" ht="18" hidden="1" customHeight="1">
      <c r="A150" s="196"/>
      <c r="B150" s="14" t="s">
        <v>755</v>
      </c>
      <c r="C150" s="14"/>
      <c r="D150" s="14"/>
      <c r="E150" s="14"/>
      <c r="F150" s="14"/>
      <c r="G150" s="120"/>
      <c r="H150" s="120"/>
      <c r="V150" s="197"/>
    </row>
    <row r="151" spans="1:22" ht="18" hidden="1" customHeight="1">
      <c r="A151" s="196"/>
      <c r="B151" s="14"/>
      <c r="C151" s="120" t="s">
        <v>756</v>
      </c>
      <c r="D151" s="28" t="s">
        <v>138</v>
      </c>
      <c r="E151" s="989" t="e">
        <f>MAX(E134,F146)</f>
        <v>#DIV/0!</v>
      </c>
      <c r="F151" s="989"/>
      <c r="G151" s="47" t="s">
        <v>757</v>
      </c>
      <c r="H151" s="120"/>
      <c r="V151" s="197"/>
    </row>
    <row r="152" spans="1:22" ht="18" hidden="1" customHeight="1">
      <c r="A152" s="196"/>
      <c r="B152" s="7"/>
      <c r="E152" s="14"/>
      <c r="F152" s="7"/>
      <c r="G152" s="7"/>
      <c r="V152" s="197"/>
    </row>
    <row r="153" spans="1:22" ht="18" hidden="1" customHeight="1">
      <c r="A153" s="196"/>
      <c r="B153" s="47" t="s">
        <v>758</v>
      </c>
      <c r="E153" s="14"/>
      <c r="F153" s="7"/>
      <c r="G153" s="7"/>
      <c r="V153" s="197"/>
    </row>
    <row r="154" spans="1:22" ht="18" hidden="1" customHeight="1">
      <c r="A154" s="196"/>
      <c r="B154" s="47" t="s">
        <v>759</v>
      </c>
      <c r="E154" s="14"/>
      <c r="F154" s="7"/>
      <c r="G154" s="7"/>
      <c r="V154" s="197"/>
    </row>
    <row r="155" spans="1:22" ht="18" hidden="1" customHeight="1" thickBot="1">
      <c r="A155" s="196"/>
      <c r="B155" s="102" t="s">
        <v>138</v>
      </c>
      <c r="C155" s="120" t="e">
        <f>E151</f>
        <v>#DIV/0!</v>
      </c>
      <c r="D155" s="28" t="s">
        <v>326</v>
      </c>
      <c r="E155" s="28" t="s">
        <v>430</v>
      </c>
      <c r="F155" s="641">
        <f>S110</f>
        <v>9.3000000000000007</v>
      </c>
      <c r="G155" s="641"/>
      <c r="H155" s="102" t="s">
        <v>358</v>
      </c>
      <c r="I155" s="230">
        <f>S111</f>
        <v>1.5518674400000001</v>
      </c>
      <c r="J155" s="252" t="s">
        <v>358</v>
      </c>
      <c r="K155" s="293">
        <f>J99</f>
        <v>0.01</v>
      </c>
      <c r="L155" s="14" t="s">
        <v>361</v>
      </c>
      <c r="M155" s="14" t="s">
        <v>326</v>
      </c>
      <c r="N155" s="28">
        <v>1</v>
      </c>
      <c r="V155" s="197"/>
    </row>
    <row r="156" spans="1:22" ht="18" hidden="1" customHeight="1" thickBot="1">
      <c r="A156" s="196"/>
      <c r="B156" s="475" t="s">
        <v>539</v>
      </c>
      <c r="C156" s="476" t="s">
        <v>138</v>
      </c>
      <c r="D156" s="477" t="e">
        <f>C155*(F155+I155+K155)*N155</f>
        <v>#DIV/0!</v>
      </c>
      <c r="E156" s="14" t="s">
        <v>316</v>
      </c>
      <c r="F156" s="7"/>
      <c r="G156" s="7"/>
      <c r="V156" s="197"/>
    </row>
    <row r="157" spans="1:22" ht="18" hidden="1" customHeight="1">
      <c r="A157" s="196"/>
      <c r="B157" s="7"/>
      <c r="E157" s="14"/>
      <c r="F157" s="7"/>
      <c r="G157" s="7"/>
      <c r="V157" s="197"/>
    </row>
    <row r="158" spans="1:22" ht="18" hidden="1" customHeight="1">
      <c r="A158" s="196"/>
      <c r="B158" s="47" t="s">
        <v>760</v>
      </c>
      <c r="E158" s="14"/>
      <c r="F158" s="7"/>
      <c r="G158" s="7"/>
      <c r="J158" s="14" t="s">
        <v>761</v>
      </c>
      <c r="L158" s="28" t="s">
        <v>487</v>
      </c>
      <c r="N158" s="14" t="s">
        <v>762</v>
      </c>
      <c r="V158" s="197"/>
    </row>
    <row r="159" spans="1:22" ht="18" hidden="1" customHeight="1">
      <c r="A159" s="196"/>
      <c r="B159" s="7"/>
      <c r="E159" s="14"/>
      <c r="F159" s="7"/>
      <c r="G159" s="7"/>
      <c r="L159" s="28" t="s">
        <v>138</v>
      </c>
      <c r="N159" s="986" t="e">
        <f>0.8*D156</f>
        <v>#DIV/0!</v>
      </c>
      <c r="O159" s="986"/>
      <c r="V159" s="197"/>
    </row>
    <row r="160" spans="1:22" ht="18" hidden="1" customHeight="1">
      <c r="A160" s="196"/>
      <c r="B160" s="7"/>
      <c r="E160" s="14"/>
      <c r="F160" s="14" t="s">
        <v>763</v>
      </c>
      <c r="G160" s="7"/>
      <c r="L160" s="28" t="s">
        <v>138</v>
      </c>
      <c r="N160" s="960" t="e">
        <f>N159*1.2</f>
        <v>#DIV/0!</v>
      </c>
      <c r="O160" s="960"/>
      <c r="V160" s="197"/>
    </row>
    <row r="161" spans="1:23" ht="18" hidden="1" customHeight="1">
      <c r="A161" s="196"/>
      <c r="B161" s="7"/>
      <c r="E161" s="14"/>
      <c r="F161" s="7"/>
      <c r="G161" s="7"/>
      <c r="K161" s="211" t="s">
        <v>486</v>
      </c>
      <c r="L161" s="28" t="e">
        <f>IF(J162&gt;M162,"&gt;","&lt;")</f>
        <v>#DIV/0!</v>
      </c>
      <c r="M161" s="269" t="s">
        <v>488</v>
      </c>
      <c r="O161" s="18"/>
      <c r="P161" s="280"/>
      <c r="V161" s="197"/>
    </row>
    <row r="162" spans="1:23" ht="18" hidden="1" customHeight="1">
      <c r="A162" s="196"/>
      <c r="D162" s="223"/>
      <c r="E162" s="223"/>
      <c r="F162" s="27"/>
      <c r="G162" s="223"/>
      <c r="J162" s="637">
        <f>S109</f>
        <v>500</v>
      </c>
      <c r="K162" s="637"/>
      <c r="L162" s="27" t="e">
        <f>IF(J162&gt;=M162,"&gt;","&lt;")</f>
        <v>#DIV/0!</v>
      </c>
      <c r="M162" s="637" t="e">
        <f>N160</f>
        <v>#DIV/0!</v>
      </c>
      <c r="N162" s="637"/>
      <c r="P162" s="280"/>
      <c r="V162" s="197"/>
    </row>
    <row r="163" spans="1:23" s="14" customFormat="1" ht="18" hidden="1" customHeight="1">
      <c r="A163" s="196"/>
      <c r="B163" s="30"/>
      <c r="C163" s="30"/>
      <c r="D163" s="30"/>
      <c r="E163" s="30"/>
      <c r="F163" s="30"/>
      <c r="G163" s="30"/>
      <c r="H163" s="30"/>
      <c r="I163" s="30"/>
      <c r="J163" s="30"/>
      <c r="K163" s="256" t="s">
        <v>489</v>
      </c>
      <c r="L163" s="30"/>
      <c r="M163" s="18" t="e">
        <f>IF(J162&gt;M162,"Suitable Dimensions","Under Dimensioned")</f>
        <v>#DIV/0!</v>
      </c>
      <c r="N163" s="30"/>
      <c r="O163" s="30"/>
      <c r="P163" s="30"/>
      <c r="Q163" s="30"/>
      <c r="R163" s="30"/>
      <c r="S163" s="30"/>
      <c r="T163" s="30"/>
      <c r="U163" s="30"/>
      <c r="V163" s="197"/>
    </row>
    <row r="164" spans="1:23" ht="18" hidden="1" customHeight="1">
      <c r="A164" s="196"/>
      <c r="V164" s="197"/>
    </row>
    <row r="165" spans="1:23" ht="18" hidden="1" customHeight="1">
      <c r="A165" s="196"/>
      <c r="V165" s="197"/>
    </row>
    <row r="166" spans="1:23" ht="18" hidden="1" customHeight="1">
      <c r="A166" s="196"/>
      <c r="V166" s="197"/>
    </row>
    <row r="167" spans="1:23" ht="18" hidden="1" customHeight="1">
      <c r="A167" s="465"/>
      <c r="B167" s="219"/>
      <c r="C167" s="219"/>
      <c r="D167" s="219"/>
      <c r="E167" s="219"/>
      <c r="F167" s="219"/>
      <c r="G167" s="219"/>
      <c r="H167" s="219"/>
      <c r="I167" s="219"/>
      <c r="J167" s="219"/>
      <c r="K167" s="219"/>
      <c r="L167" s="219"/>
      <c r="M167" s="219"/>
      <c r="N167" s="219"/>
      <c r="O167" s="219"/>
      <c r="P167" s="219"/>
      <c r="Q167" s="219"/>
      <c r="R167" s="219"/>
      <c r="S167" s="219"/>
      <c r="T167" s="219"/>
      <c r="U167" s="219"/>
      <c r="V167" s="466"/>
    </row>
    <row r="168" spans="1:23" ht="18" hidden="1" customHeight="1">
      <c r="A168" s="206"/>
      <c r="B168" s="207"/>
      <c r="C168" s="207"/>
      <c r="D168" s="207"/>
      <c r="E168" s="207"/>
      <c r="F168" s="207"/>
      <c r="G168" s="207"/>
      <c r="H168" s="207"/>
      <c r="I168" s="207"/>
      <c r="J168" s="207"/>
      <c r="K168" s="207"/>
      <c r="L168" s="207"/>
      <c r="M168" s="207"/>
      <c r="N168" s="207"/>
      <c r="O168" s="207"/>
      <c r="P168" s="207"/>
      <c r="Q168" s="236"/>
      <c r="R168" s="194"/>
      <c r="S168" s="237"/>
      <c r="T168" s="207"/>
      <c r="U168" s="207"/>
      <c r="V168" s="140"/>
    </row>
    <row r="169" spans="1:23" ht="18" hidden="1" customHeight="1">
      <c r="A169" s="238"/>
      <c r="B169" s="239"/>
      <c r="C169" s="239"/>
      <c r="D169" s="239"/>
      <c r="E169" s="239"/>
      <c r="F169" s="239"/>
      <c r="G169" s="239"/>
      <c r="H169" s="239"/>
      <c r="I169" s="239"/>
      <c r="J169" s="239"/>
      <c r="K169" s="239"/>
      <c r="L169" s="239"/>
      <c r="M169" s="239"/>
      <c r="N169" s="239"/>
      <c r="O169" s="239"/>
      <c r="P169" s="239"/>
      <c r="Q169" s="239"/>
      <c r="R169" s="239"/>
      <c r="S169" s="239"/>
      <c r="T169" s="239"/>
      <c r="U169" s="239"/>
      <c r="V169" s="240"/>
    </row>
    <row r="170" spans="1:23" ht="18" hidden="1" customHeight="1">
      <c r="A170" s="196"/>
      <c r="B170" s="650" t="str">
        <f>B88</f>
        <v>T1</v>
      </c>
      <c r="C170" s="651"/>
      <c r="D170" s="650" t="str">
        <f>D88</f>
        <v>Core5</v>
      </c>
      <c r="E170" s="651"/>
      <c r="F170" s="468"/>
      <c r="H170" s="639">
        <f>H88</f>
        <v>0</v>
      </c>
      <c r="I170" s="639"/>
      <c r="J170" s="639"/>
      <c r="K170" s="639"/>
      <c r="L170" s="639"/>
      <c r="M170" s="639"/>
      <c r="P170" s="198"/>
      <c r="S170" s="199" t="s">
        <v>398</v>
      </c>
      <c r="T170" s="650" t="str">
        <f>T88</f>
        <v>REB500</v>
      </c>
      <c r="U170" s="651"/>
      <c r="V170" s="197"/>
    </row>
    <row r="171" spans="1:23" ht="18" hidden="1" customHeight="1">
      <c r="A171" s="469"/>
      <c r="F171" s="468"/>
      <c r="T171" s="650" t="str">
        <f>T89</f>
        <v>P743</v>
      </c>
      <c r="U171" s="651"/>
      <c r="V171" s="197"/>
      <c r="W171" s="30" t="e">
        <f>G236</f>
        <v>#VALUE!</v>
      </c>
    </row>
    <row r="172" spans="1:23" ht="18" hidden="1" customHeight="1">
      <c r="A172" s="196"/>
      <c r="H172" s="661" t="s">
        <v>401</v>
      </c>
      <c r="I172" s="661"/>
      <c r="J172" s="661" t="s">
        <v>402</v>
      </c>
      <c r="K172" s="661"/>
      <c r="L172" s="662" t="s">
        <v>403</v>
      </c>
      <c r="M172" s="662"/>
      <c r="T172" s="650">
        <f>T90</f>
        <v>0</v>
      </c>
      <c r="U172" s="651"/>
      <c r="V172" s="197"/>
    </row>
    <row r="173" spans="1:23" ht="18" hidden="1" customHeight="1">
      <c r="A173" s="196"/>
      <c r="B173" s="47" t="s">
        <v>404</v>
      </c>
      <c r="H173" s="650">
        <f>H91</f>
        <v>2500</v>
      </c>
      <c r="I173" s="651"/>
      <c r="J173" s="650">
        <f>J91</f>
        <v>0</v>
      </c>
      <c r="K173" s="651"/>
      <c r="L173" s="652" t="str">
        <f>L91</f>
        <v>-</v>
      </c>
      <c r="M173" s="653"/>
      <c r="N173" s="203" t="s">
        <v>353</v>
      </c>
      <c r="O173" s="268">
        <f>O91</f>
        <v>1</v>
      </c>
      <c r="P173" s="27" t="s">
        <v>9</v>
      </c>
      <c r="R173" s="267"/>
      <c r="S173" s="267"/>
      <c r="V173" s="197"/>
    </row>
    <row r="174" spans="1:23" ht="18" hidden="1" customHeight="1">
      <c r="A174" s="196"/>
      <c r="B174" s="47" t="s">
        <v>405</v>
      </c>
      <c r="H174" s="14"/>
      <c r="K174" s="14"/>
      <c r="L174" s="650" t="str">
        <f>J92</f>
        <v>PX-B</v>
      </c>
      <c r="M174" s="651"/>
      <c r="N174" s="14"/>
      <c r="V174" s="197"/>
    </row>
    <row r="175" spans="1:23" ht="18" hidden="1" customHeight="1">
      <c r="A175" s="196"/>
      <c r="B175" s="47" t="s">
        <v>407</v>
      </c>
      <c r="K175" s="120" t="s">
        <v>508</v>
      </c>
      <c r="L175" s="656" t="s">
        <v>7</v>
      </c>
      <c r="M175" s="657"/>
      <c r="N175" s="204" t="s">
        <v>344</v>
      </c>
      <c r="V175" s="197"/>
    </row>
    <row r="176" spans="1:23" ht="18" hidden="1" customHeight="1">
      <c r="A176" s="196"/>
      <c r="B176" s="47" t="s">
        <v>409</v>
      </c>
      <c r="K176" s="120" t="s">
        <v>509</v>
      </c>
      <c r="L176" s="656" t="s">
        <v>7</v>
      </c>
      <c r="M176" s="657"/>
      <c r="N176" s="14" t="s">
        <v>316</v>
      </c>
      <c r="V176" s="197"/>
    </row>
    <row r="177" spans="1:25" ht="18" hidden="1" customHeight="1">
      <c r="A177" s="196"/>
      <c r="B177" s="14" t="s">
        <v>412</v>
      </c>
      <c r="K177" s="120" t="s">
        <v>413</v>
      </c>
      <c r="L177" s="656" t="s">
        <v>7</v>
      </c>
      <c r="M177" s="657"/>
      <c r="N177" s="14" t="s">
        <v>414</v>
      </c>
      <c r="V177" s="197"/>
    </row>
    <row r="178" spans="1:25" ht="18" hidden="1" customHeight="1">
      <c r="A178" s="196"/>
      <c r="V178" s="197"/>
    </row>
    <row r="179" spans="1:25" ht="18" hidden="1" customHeight="1">
      <c r="A179" s="205" t="s">
        <v>415</v>
      </c>
      <c r="V179" s="197"/>
    </row>
    <row r="180" spans="1:25" ht="18" hidden="1" customHeight="1">
      <c r="A180" s="196"/>
      <c r="V180" s="197"/>
    </row>
    <row r="181" spans="1:25" ht="18" hidden="1" customHeight="1">
      <c r="A181" s="196"/>
      <c r="B181" s="141" t="s">
        <v>416</v>
      </c>
      <c r="C181" s="285"/>
      <c r="D181" s="146" t="str">
        <f>T170</f>
        <v>REB500</v>
      </c>
      <c r="E181" s="239"/>
      <c r="F181" s="239"/>
      <c r="G181" s="239"/>
      <c r="H181" s="145"/>
      <c r="I181" s="272" t="s">
        <v>138</v>
      </c>
      <c r="J181" s="648">
        <f>J99</f>
        <v>0.01</v>
      </c>
      <c r="K181" s="649"/>
      <c r="L181" s="3" t="s">
        <v>168</v>
      </c>
      <c r="N181" s="209" t="s">
        <v>521</v>
      </c>
      <c r="V181" s="197"/>
    </row>
    <row r="182" spans="1:25" ht="18" hidden="1" customHeight="1">
      <c r="A182" s="196"/>
      <c r="B182" s="96" t="s">
        <v>416</v>
      </c>
      <c r="C182" s="14"/>
      <c r="D182" s="47" t="str">
        <f>T171</f>
        <v>P743</v>
      </c>
      <c r="H182" s="28"/>
      <c r="I182" s="101" t="s">
        <v>138</v>
      </c>
      <c r="J182" s="648">
        <f>J100</f>
        <v>0.1</v>
      </c>
      <c r="K182" s="649"/>
      <c r="L182" s="3" t="s">
        <v>168</v>
      </c>
      <c r="N182" s="120" t="s">
        <v>502</v>
      </c>
      <c r="O182" s="27" t="s">
        <v>138</v>
      </c>
      <c r="P182" s="27" t="s">
        <v>522</v>
      </c>
      <c r="Q182" s="27" t="s">
        <v>326</v>
      </c>
      <c r="R182" s="27" t="s">
        <v>522</v>
      </c>
      <c r="S182" s="27" t="s">
        <v>326</v>
      </c>
      <c r="T182" s="27" t="s">
        <v>431</v>
      </c>
      <c r="V182" s="197"/>
    </row>
    <row r="183" spans="1:25" ht="18" hidden="1" customHeight="1">
      <c r="A183" s="196"/>
      <c r="B183" s="96" t="s">
        <v>416</v>
      </c>
      <c r="C183" s="14"/>
      <c r="D183" s="47">
        <f>T172</f>
        <v>0</v>
      </c>
      <c r="H183" s="28"/>
      <c r="I183" s="101" t="s">
        <v>138</v>
      </c>
      <c r="J183" s="648">
        <f>J101</f>
        <v>0</v>
      </c>
      <c r="K183" s="649"/>
      <c r="L183" s="3" t="s">
        <v>168</v>
      </c>
      <c r="N183" s="27"/>
      <c r="O183" s="27" t="s">
        <v>138</v>
      </c>
      <c r="P183" s="27">
        <f>O173</f>
        <v>1</v>
      </c>
      <c r="Q183" s="27" t="s">
        <v>326</v>
      </c>
      <c r="R183" s="27">
        <f>O173</f>
        <v>1</v>
      </c>
      <c r="S183" s="27" t="s">
        <v>326</v>
      </c>
      <c r="T183" s="27" t="str">
        <f>L175</f>
        <v>-</v>
      </c>
      <c r="V183" s="197"/>
    </row>
    <row r="184" spans="1:25" ht="18" hidden="1" customHeight="1">
      <c r="A184" s="196"/>
      <c r="B184" s="465" t="s">
        <v>423</v>
      </c>
      <c r="C184" s="271"/>
      <c r="D184" s="271"/>
      <c r="E184" s="271"/>
      <c r="F184" s="219"/>
      <c r="G184" s="219"/>
      <c r="H184" s="202"/>
      <c r="I184" s="220" t="s">
        <v>138</v>
      </c>
      <c r="J184" s="646">
        <f>J102</f>
        <v>1.44186744</v>
      </c>
      <c r="K184" s="647"/>
      <c r="L184" s="309" t="s">
        <v>168</v>
      </c>
      <c r="O184" s="27" t="s">
        <v>138</v>
      </c>
      <c r="P184" s="637" t="e">
        <f>P183*R183*T183</f>
        <v>#VALUE!</v>
      </c>
      <c r="Q184" s="639"/>
      <c r="R184" s="27" t="s">
        <v>168</v>
      </c>
      <c r="V184" s="197"/>
    </row>
    <row r="185" spans="1:25" ht="18" hidden="1" customHeight="1">
      <c r="A185" s="196"/>
      <c r="B185" s="1" t="s">
        <v>424</v>
      </c>
      <c r="C185" s="2"/>
      <c r="D185" s="2"/>
      <c r="E185" s="2"/>
      <c r="F185" s="208"/>
      <c r="G185" s="208"/>
      <c r="H185" s="236" t="s">
        <v>523</v>
      </c>
      <c r="I185" s="195" t="s">
        <v>138</v>
      </c>
      <c r="J185" s="648">
        <f>SUM(J181:J184)</f>
        <v>1.5518674400000001</v>
      </c>
      <c r="K185" s="649"/>
      <c r="L185" s="3" t="s">
        <v>168</v>
      </c>
      <c r="V185" s="197"/>
    </row>
    <row r="186" spans="1:25" ht="18" hidden="1" customHeight="1">
      <c r="A186" s="196"/>
      <c r="B186" s="47"/>
      <c r="C186" s="47"/>
      <c r="D186" s="47"/>
      <c r="E186" s="47"/>
      <c r="H186" s="27"/>
      <c r="I186" s="28"/>
      <c r="J186" s="211"/>
      <c r="L186" s="47"/>
      <c r="S186" s="27"/>
      <c r="V186" s="197"/>
    </row>
    <row r="187" spans="1:25" ht="18" hidden="1" customHeight="1">
      <c r="A187" s="964" t="s">
        <v>547</v>
      </c>
      <c r="B187" s="965"/>
      <c r="C187" s="965"/>
      <c r="D187" s="965"/>
      <c r="E187" s="965"/>
      <c r="F187" s="965"/>
      <c r="G187" s="965"/>
      <c r="H187" s="965"/>
      <c r="I187" s="965"/>
      <c r="J187" s="965"/>
      <c r="K187" s="965"/>
      <c r="L187" s="965"/>
      <c r="M187" s="965"/>
      <c r="N187" s="965"/>
      <c r="O187" s="965"/>
      <c r="P187" s="965"/>
      <c r="Q187" s="965"/>
      <c r="R187" s="965"/>
      <c r="S187" s="965"/>
      <c r="T187" s="965"/>
      <c r="U187" s="965"/>
      <c r="V187" s="966"/>
    </row>
    <row r="188" spans="1:25" ht="18" hidden="1" customHeight="1">
      <c r="A188" s="967"/>
      <c r="B188" s="965"/>
      <c r="C188" s="965"/>
      <c r="D188" s="965"/>
      <c r="E188" s="965"/>
      <c r="F188" s="965"/>
      <c r="G188" s="965"/>
      <c r="H188" s="965"/>
      <c r="I188" s="965"/>
      <c r="J188" s="965"/>
      <c r="K188" s="965"/>
      <c r="L188" s="965"/>
      <c r="M188" s="965"/>
      <c r="N188" s="965"/>
      <c r="O188" s="965"/>
      <c r="P188" s="965"/>
      <c r="Q188" s="965"/>
      <c r="R188" s="965"/>
      <c r="S188" s="965"/>
      <c r="T188" s="965"/>
      <c r="U188" s="965"/>
      <c r="V188" s="966"/>
    </row>
    <row r="189" spans="1:25" ht="18" hidden="1" customHeight="1">
      <c r="A189" s="196"/>
      <c r="Q189" s="223"/>
      <c r="R189" s="204"/>
      <c r="V189" s="197"/>
    </row>
    <row r="190" spans="1:25" ht="18" hidden="1" customHeight="1">
      <c r="A190" s="196"/>
      <c r="C190" s="28" t="s">
        <v>484</v>
      </c>
      <c r="D190" s="28" t="s">
        <v>138</v>
      </c>
      <c r="E190" s="28" t="s">
        <v>548</v>
      </c>
      <c r="F190" s="28" t="s">
        <v>504</v>
      </c>
      <c r="G190" s="28" t="s">
        <v>358</v>
      </c>
      <c r="H190" s="28" t="s">
        <v>502</v>
      </c>
      <c r="I190" s="28" t="s">
        <v>549</v>
      </c>
      <c r="J190" s="28" t="s">
        <v>506</v>
      </c>
      <c r="K190" s="28" t="s">
        <v>550</v>
      </c>
      <c r="L190" s="28" t="s">
        <v>522</v>
      </c>
      <c r="M190" s="28" t="s">
        <v>326</v>
      </c>
      <c r="N190" s="28">
        <v>1.3</v>
      </c>
      <c r="O190" s="47" t="s">
        <v>361</v>
      </c>
      <c r="V190" s="197"/>
    </row>
    <row r="191" spans="1:25" ht="18" hidden="1" customHeight="1">
      <c r="A191" s="196" t="s">
        <v>551</v>
      </c>
      <c r="C191" s="14"/>
      <c r="D191" s="28"/>
      <c r="E191" s="14"/>
      <c r="F191" s="14"/>
      <c r="G191" s="14"/>
      <c r="H191" s="14"/>
      <c r="I191" s="14"/>
      <c r="J191" s="14"/>
      <c r="K191" s="14"/>
      <c r="L191" s="14"/>
      <c r="M191" s="14"/>
      <c r="N191" s="14"/>
      <c r="O191" s="14"/>
      <c r="V191" s="197"/>
    </row>
    <row r="192" spans="1:25" ht="18" hidden="1" customHeight="1">
      <c r="A192" s="196"/>
      <c r="C192" s="28" t="s">
        <v>504</v>
      </c>
      <c r="D192" s="28" t="s">
        <v>138</v>
      </c>
      <c r="E192" s="28" t="s">
        <v>548</v>
      </c>
      <c r="F192" s="28">
        <v>1.3</v>
      </c>
      <c r="G192" s="28" t="s">
        <v>326</v>
      </c>
      <c r="H192" s="638" t="s">
        <v>484</v>
      </c>
      <c r="I192" s="920"/>
      <c r="J192" s="28" t="s">
        <v>326</v>
      </c>
      <c r="K192" s="28" t="s">
        <v>522</v>
      </c>
      <c r="L192" s="28" t="s">
        <v>552</v>
      </c>
      <c r="M192" s="28" t="s">
        <v>506</v>
      </c>
      <c r="N192" s="47" t="s">
        <v>553</v>
      </c>
      <c r="O192" s="28" t="s">
        <v>502</v>
      </c>
      <c r="V192" s="197"/>
      <c r="W192" s="291"/>
      <c r="X192" s="291"/>
      <c r="Y192" s="291"/>
    </row>
    <row r="193" spans="1:25" ht="18" hidden="1" customHeight="1">
      <c r="A193" s="196"/>
      <c r="V193" s="197"/>
      <c r="X193" s="291"/>
      <c r="Y193" s="291"/>
    </row>
    <row r="194" spans="1:25" ht="18" hidden="1" customHeight="1">
      <c r="A194" s="180"/>
      <c r="B194" s="5"/>
      <c r="C194" s="47" t="s">
        <v>554</v>
      </c>
      <c r="D194" s="14"/>
      <c r="E194" s="14"/>
      <c r="F194" s="14"/>
      <c r="G194" s="14"/>
      <c r="H194" s="291"/>
      <c r="I194" s="120"/>
      <c r="J194" s="291"/>
      <c r="K194" s="291"/>
      <c r="L194" s="14"/>
      <c r="M194" s="14"/>
      <c r="N194" s="14"/>
      <c r="O194" s="14"/>
      <c r="P194" s="14"/>
      <c r="Q194" s="120" t="s">
        <v>555</v>
      </c>
      <c r="R194" s="102" t="s">
        <v>138</v>
      </c>
      <c r="S194" s="638">
        <f>S112</f>
        <v>1</v>
      </c>
      <c r="T194" s="638"/>
      <c r="U194" s="47" t="s">
        <v>9</v>
      </c>
      <c r="V194" s="197"/>
      <c r="X194" s="291"/>
      <c r="Y194" s="291"/>
    </row>
    <row r="195" spans="1:25" ht="18" hidden="1" customHeight="1">
      <c r="A195" s="180"/>
      <c r="B195" s="5"/>
      <c r="C195" s="47" t="s">
        <v>556</v>
      </c>
      <c r="D195" s="14"/>
      <c r="E195" s="14"/>
      <c r="F195" s="18"/>
      <c r="G195" s="18"/>
      <c r="H195" s="291"/>
      <c r="I195" s="120"/>
      <c r="J195" s="291"/>
      <c r="K195" s="291"/>
      <c r="L195" s="14"/>
      <c r="M195" s="14"/>
      <c r="N195" s="14"/>
      <c r="O195" s="14"/>
      <c r="P195" s="14"/>
      <c r="Q195" s="120" t="s">
        <v>434</v>
      </c>
      <c r="R195" s="102" t="s">
        <v>138</v>
      </c>
      <c r="S195" s="638" t="str">
        <f>L173</f>
        <v>-</v>
      </c>
      <c r="T195" s="638"/>
      <c r="U195" s="14" t="s">
        <v>9</v>
      </c>
      <c r="V195" s="197"/>
    </row>
    <row r="196" spans="1:25" ht="18" hidden="1" customHeight="1">
      <c r="A196" s="180"/>
      <c r="B196" s="5"/>
      <c r="C196" s="47" t="s">
        <v>557</v>
      </c>
      <c r="D196" s="14"/>
      <c r="E196" s="14"/>
      <c r="F196" s="18"/>
      <c r="G196" s="18"/>
      <c r="H196" s="291"/>
      <c r="I196" s="120"/>
      <c r="J196" s="291"/>
      <c r="K196" s="291"/>
      <c r="L196" s="14"/>
      <c r="M196" s="14"/>
      <c r="N196" s="14"/>
      <c r="O196" s="14"/>
      <c r="P196" s="14"/>
      <c r="Q196" s="120" t="s">
        <v>484</v>
      </c>
      <c r="R196" s="102" t="s">
        <v>138</v>
      </c>
      <c r="S196" s="638" t="str">
        <f>L176</f>
        <v>-</v>
      </c>
      <c r="T196" s="638"/>
      <c r="U196" s="14" t="s">
        <v>316</v>
      </c>
      <c r="V196" s="197"/>
      <c r="W196" s="291"/>
      <c r="X196" s="291"/>
      <c r="Y196" s="291"/>
    </row>
    <row r="197" spans="1:25" ht="18" hidden="1" customHeight="1">
      <c r="A197" s="180"/>
      <c r="B197" s="5"/>
      <c r="C197" s="47" t="s">
        <v>558</v>
      </c>
      <c r="D197" s="14"/>
      <c r="E197" s="14"/>
      <c r="F197" s="18"/>
      <c r="G197" s="18"/>
      <c r="H197" s="291"/>
      <c r="I197" s="120"/>
      <c r="J197" s="291"/>
      <c r="K197" s="291"/>
      <c r="L197" s="14"/>
      <c r="M197" s="14"/>
      <c r="N197" s="14"/>
      <c r="O197" s="14"/>
      <c r="P197" s="14"/>
      <c r="Q197" s="120" t="s">
        <v>502</v>
      </c>
      <c r="R197" s="102" t="s">
        <v>138</v>
      </c>
      <c r="S197" s="641" t="e">
        <f>P184</f>
        <v>#VALUE!</v>
      </c>
      <c r="T197" s="638"/>
      <c r="U197" s="14" t="s">
        <v>168</v>
      </c>
      <c r="V197" s="197"/>
    </row>
    <row r="198" spans="1:25" ht="18" hidden="1" customHeight="1">
      <c r="A198" s="180"/>
      <c r="B198" s="5"/>
      <c r="C198" s="47" t="s">
        <v>559</v>
      </c>
      <c r="D198" s="14"/>
      <c r="E198" s="14"/>
      <c r="F198" s="18"/>
      <c r="G198" s="18"/>
      <c r="H198" s="291"/>
      <c r="I198" s="120"/>
      <c r="J198" s="291"/>
      <c r="K198" s="291"/>
      <c r="L198" s="14"/>
      <c r="M198" s="14"/>
      <c r="N198" s="14"/>
      <c r="O198" s="14"/>
      <c r="P198" s="14"/>
      <c r="Q198" s="120" t="s">
        <v>523</v>
      </c>
      <c r="R198" s="102" t="s">
        <v>138</v>
      </c>
      <c r="S198" s="641">
        <f>J185</f>
        <v>1.5518674400000001</v>
      </c>
      <c r="T198" s="638"/>
      <c r="U198" s="14" t="s">
        <v>168</v>
      </c>
      <c r="V198" s="197"/>
    </row>
    <row r="199" spans="1:25" ht="18" hidden="1" customHeight="1">
      <c r="A199" s="180"/>
      <c r="B199" s="5"/>
      <c r="C199" s="47" t="s">
        <v>560</v>
      </c>
      <c r="D199" s="14"/>
      <c r="E199" s="14"/>
      <c r="F199" s="14"/>
      <c r="G199" s="14"/>
      <c r="H199" s="291"/>
      <c r="I199" s="120"/>
      <c r="J199" s="291"/>
      <c r="K199" s="291"/>
      <c r="L199" s="14"/>
      <c r="M199" s="14"/>
      <c r="N199" s="14"/>
      <c r="O199" s="14"/>
      <c r="P199" s="14"/>
      <c r="Q199" s="120" t="s">
        <v>522</v>
      </c>
      <c r="R199" s="102" t="s">
        <v>138</v>
      </c>
      <c r="S199" s="638">
        <f>O173</f>
        <v>1</v>
      </c>
      <c r="T199" s="638"/>
      <c r="U199" s="14" t="s">
        <v>9</v>
      </c>
      <c r="V199" s="197"/>
    </row>
    <row r="200" spans="1:25" ht="18" hidden="1" customHeight="1">
      <c r="A200" s="180"/>
      <c r="B200" s="5"/>
      <c r="C200" s="47" t="s">
        <v>561</v>
      </c>
      <c r="D200" s="14"/>
      <c r="E200" s="14"/>
      <c r="F200" s="14"/>
      <c r="G200" s="14"/>
      <c r="H200" s="291"/>
      <c r="I200" s="120"/>
      <c r="J200" s="291"/>
      <c r="K200" s="291"/>
      <c r="L200" s="14"/>
      <c r="M200" s="14"/>
      <c r="N200" s="14"/>
      <c r="O200" s="14"/>
      <c r="P200" s="14"/>
      <c r="Q200" s="120" t="s">
        <v>506</v>
      </c>
      <c r="R200" s="102" t="s">
        <v>138</v>
      </c>
      <c r="S200" s="638">
        <v>20</v>
      </c>
      <c r="T200" s="638"/>
      <c r="U200" s="47"/>
      <c r="V200" s="197"/>
    </row>
    <row r="201" spans="1:25" ht="18" hidden="1" customHeight="1">
      <c r="A201" s="311"/>
      <c r="B201" s="291"/>
      <c r="C201" s="47" t="s">
        <v>562</v>
      </c>
      <c r="D201" s="14"/>
      <c r="E201" s="14"/>
      <c r="F201" s="14"/>
      <c r="G201" s="14"/>
      <c r="H201" s="291"/>
      <c r="I201" s="120"/>
      <c r="J201" s="291"/>
      <c r="K201" s="291"/>
      <c r="L201" s="14"/>
      <c r="M201" s="14"/>
      <c r="N201" s="291"/>
      <c r="O201" s="291"/>
      <c r="P201" s="14"/>
      <c r="Q201" s="120" t="s">
        <v>504</v>
      </c>
      <c r="R201" s="14"/>
      <c r="S201" s="291"/>
      <c r="T201" s="291"/>
      <c r="U201" s="291"/>
      <c r="V201" s="312"/>
    </row>
    <row r="202" spans="1:25" ht="18" hidden="1" customHeight="1">
      <c r="A202" s="196"/>
      <c r="C202" s="14"/>
      <c r="D202" s="14"/>
      <c r="E202" s="14"/>
      <c r="F202" s="14"/>
      <c r="G202" s="14"/>
      <c r="H202" s="14"/>
      <c r="I202" s="14"/>
      <c r="J202" s="14"/>
      <c r="K202" s="14"/>
      <c r="L202" s="14"/>
      <c r="M202" s="14"/>
      <c r="N202" s="14"/>
      <c r="O202" s="14"/>
      <c r="P202" s="14"/>
      <c r="Q202" s="14"/>
      <c r="R202" s="14"/>
      <c r="S202" s="14"/>
      <c r="T202" s="14"/>
      <c r="U202" s="14"/>
      <c r="V202" s="197"/>
    </row>
    <row r="203" spans="1:25" ht="18" hidden="1" customHeight="1">
      <c r="A203" s="196"/>
      <c r="C203" s="28" t="s">
        <v>504</v>
      </c>
      <c r="D203" s="28" t="s">
        <v>138</v>
      </c>
      <c r="E203" s="28" t="s">
        <v>548</v>
      </c>
      <c r="F203" s="28">
        <v>1.3</v>
      </c>
      <c r="G203" s="28" t="s">
        <v>326</v>
      </c>
      <c r="H203" s="638" t="s">
        <v>484</v>
      </c>
      <c r="I203" s="920"/>
      <c r="J203" s="28" t="s">
        <v>326</v>
      </c>
      <c r="K203" s="28" t="s">
        <v>522</v>
      </c>
      <c r="L203" s="28" t="s">
        <v>552</v>
      </c>
      <c r="M203" s="28" t="s">
        <v>506</v>
      </c>
      <c r="N203" s="47" t="s">
        <v>553</v>
      </c>
      <c r="O203" s="28" t="s">
        <v>502</v>
      </c>
      <c r="V203" s="197"/>
    </row>
    <row r="204" spans="1:25" ht="18" hidden="1" customHeight="1">
      <c r="A204" s="196"/>
      <c r="D204" s="27" t="s">
        <v>138</v>
      </c>
      <c r="E204" s="27" t="s">
        <v>548</v>
      </c>
      <c r="F204" s="27">
        <v>1.3</v>
      </c>
      <c r="G204" s="27" t="s">
        <v>326</v>
      </c>
      <c r="H204" s="639" t="str">
        <f>S196</f>
        <v>-</v>
      </c>
      <c r="I204" s="985"/>
      <c r="J204" s="27" t="s">
        <v>326</v>
      </c>
      <c r="K204" s="27">
        <f>S199</f>
        <v>1</v>
      </c>
      <c r="L204" s="27" t="s">
        <v>552</v>
      </c>
      <c r="M204" s="27">
        <f>S200</f>
        <v>20</v>
      </c>
      <c r="N204" s="308" t="s">
        <v>553</v>
      </c>
      <c r="O204" s="234" t="e">
        <f>S197</f>
        <v>#VALUE!</v>
      </c>
      <c r="V204" s="197"/>
    </row>
    <row r="205" spans="1:25" ht="18" hidden="1" customHeight="1">
      <c r="A205" s="196"/>
      <c r="D205" s="27" t="s">
        <v>138</v>
      </c>
      <c r="E205" s="639" t="e">
        <f>((F204*H204*K204)/M204)-O204</f>
        <v>#VALUE!</v>
      </c>
      <c r="F205" s="639"/>
      <c r="G205" s="27" t="s">
        <v>168</v>
      </c>
      <c r="V205" s="197"/>
    </row>
    <row r="206" spans="1:25" ht="18" hidden="1" customHeight="1">
      <c r="A206" s="196"/>
      <c r="D206" s="27"/>
      <c r="E206" s="27"/>
      <c r="F206" s="27"/>
      <c r="G206" s="27"/>
      <c r="V206" s="197"/>
    </row>
    <row r="207" spans="1:25" s="14" customFormat="1" ht="18" hidden="1" customHeight="1">
      <c r="A207" s="196"/>
      <c r="B207" s="30"/>
      <c r="C207" s="30"/>
      <c r="D207" s="27"/>
      <c r="E207" s="27"/>
      <c r="F207" s="27"/>
      <c r="G207" s="27"/>
      <c r="H207" s="30"/>
      <c r="I207" s="30"/>
      <c r="J207" s="30"/>
      <c r="K207" s="30"/>
      <c r="L207" s="30"/>
      <c r="M207" s="30"/>
      <c r="N207" s="30"/>
      <c r="O207" s="30"/>
      <c r="P207" s="30"/>
      <c r="Q207" s="30"/>
      <c r="R207" s="30"/>
      <c r="S207" s="30"/>
      <c r="T207" s="30"/>
      <c r="U207" s="30"/>
      <c r="V207" s="197"/>
    </row>
    <row r="208" spans="1:25" ht="18" hidden="1" customHeight="1">
      <c r="A208" s="196"/>
      <c r="D208" s="27"/>
      <c r="E208" s="27"/>
      <c r="F208" s="27"/>
      <c r="G208" s="27"/>
      <c r="V208" s="197"/>
    </row>
    <row r="209" spans="1:22" ht="18" hidden="1" customHeight="1">
      <c r="A209" s="196"/>
      <c r="D209" s="27"/>
      <c r="E209" s="27"/>
      <c r="F209" s="27"/>
      <c r="G209" s="27"/>
      <c r="V209" s="197"/>
    </row>
    <row r="210" spans="1:22" ht="18" hidden="1" customHeight="1">
      <c r="A210" s="196"/>
      <c r="D210" s="27"/>
      <c r="E210" s="27"/>
      <c r="F210" s="27"/>
      <c r="G210" s="27"/>
      <c r="V210" s="197"/>
    </row>
    <row r="211" spans="1:22" ht="18" hidden="1" customHeight="1">
      <c r="A211" s="196"/>
      <c r="V211" s="197"/>
    </row>
    <row r="212" spans="1:22" ht="18" hidden="1" customHeight="1">
      <c r="A212" s="206"/>
      <c r="B212" s="207"/>
      <c r="C212" s="207"/>
      <c r="D212" s="207"/>
      <c r="E212" s="207"/>
      <c r="F212" s="207"/>
      <c r="G212" s="207"/>
      <c r="H212" s="207"/>
      <c r="I212" s="207"/>
      <c r="J212" s="207"/>
      <c r="K212" s="207"/>
      <c r="L212" s="207"/>
      <c r="M212" s="207"/>
      <c r="N212" s="207"/>
      <c r="O212" s="207"/>
      <c r="P212" s="207"/>
      <c r="Q212" s="236"/>
      <c r="R212" s="194"/>
      <c r="S212" s="237"/>
      <c r="T212" s="207"/>
      <c r="U212" s="207"/>
      <c r="V212" s="140"/>
    </row>
    <row r="213" spans="1:22" ht="18" hidden="1" customHeight="1">
      <c r="A213" s="238"/>
      <c r="B213" s="239"/>
      <c r="C213" s="239"/>
      <c r="D213" s="239"/>
      <c r="E213" s="239"/>
      <c r="F213" s="239"/>
      <c r="G213" s="239"/>
      <c r="H213" s="239"/>
      <c r="I213" s="239"/>
      <c r="J213" s="239"/>
      <c r="K213" s="239"/>
      <c r="L213" s="239"/>
      <c r="M213" s="239"/>
      <c r="N213" s="239"/>
      <c r="O213" s="239"/>
      <c r="P213" s="239"/>
      <c r="Q213" s="239"/>
      <c r="R213" s="239"/>
      <c r="S213" s="239"/>
      <c r="T213" s="239"/>
      <c r="U213" s="239"/>
      <c r="V213" s="240"/>
    </row>
    <row r="214" spans="1:22" ht="18" hidden="1" customHeight="1">
      <c r="A214" s="96" t="s">
        <v>766</v>
      </c>
      <c r="B214" s="14"/>
      <c r="C214" s="14"/>
      <c r="D214" s="14"/>
      <c r="E214" s="14"/>
      <c r="F214" s="14"/>
      <c r="G214" s="14"/>
      <c r="H214" s="14"/>
      <c r="I214" s="14"/>
      <c r="J214" s="14"/>
      <c r="K214" s="14"/>
      <c r="L214" s="14"/>
      <c r="M214" s="14"/>
      <c r="N214" s="14"/>
      <c r="O214" s="14"/>
      <c r="P214" s="28"/>
      <c r="Q214" s="120"/>
      <c r="R214" s="14"/>
      <c r="S214" s="14"/>
      <c r="T214" s="14"/>
      <c r="U214" s="14"/>
      <c r="V214" s="197"/>
    </row>
    <row r="215" spans="1:22" ht="18" hidden="1" customHeight="1">
      <c r="A215" s="96"/>
      <c r="B215" s="14"/>
      <c r="C215" s="14"/>
      <c r="D215" s="14"/>
      <c r="E215" s="14"/>
      <c r="F215" s="14"/>
      <c r="G215" s="14"/>
      <c r="H215" s="14"/>
      <c r="K215" s="14" t="s">
        <v>767</v>
      </c>
      <c r="L215" s="28"/>
      <c r="M215" s="47"/>
      <c r="N215" s="14"/>
      <c r="O215" s="14"/>
      <c r="P215" s="14"/>
      <c r="Q215" s="14"/>
      <c r="R215" s="14"/>
      <c r="S215" s="14"/>
      <c r="T215" s="14"/>
      <c r="U215" s="14"/>
      <c r="V215" s="197"/>
    </row>
    <row r="216" spans="1:22" ht="18" hidden="1" customHeight="1">
      <c r="A216" s="96"/>
      <c r="B216" s="28" t="s">
        <v>756</v>
      </c>
      <c r="C216" s="290" t="s">
        <v>663</v>
      </c>
      <c r="D216" s="14" t="s">
        <v>768</v>
      </c>
      <c r="E216" s="14"/>
      <c r="F216" s="280" t="s">
        <v>769</v>
      </c>
      <c r="K216" s="28" t="s">
        <v>756</v>
      </c>
      <c r="L216" s="28" t="s">
        <v>138</v>
      </c>
      <c r="M216" s="293" t="s">
        <v>770</v>
      </c>
      <c r="N216" s="28"/>
      <c r="O216" s="47"/>
      <c r="P216" s="14"/>
      <c r="Q216" s="14"/>
      <c r="R216" s="14"/>
      <c r="S216" s="14"/>
      <c r="T216" s="14"/>
      <c r="U216" s="14"/>
      <c r="V216" s="197"/>
    </row>
    <row r="217" spans="1:22" ht="18" hidden="1" customHeight="1">
      <c r="A217" s="96"/>
      <c r="B217" s="28" t="s">
        <v>756</v>
      </c>
      <c r="C217" s="290" t="s">
        <v>663</v>
      </c>
      <c r="D217" s="47" t="s">
        <v>771</v>
      </c>
      <c r="E217" s="14"/>
      <c r="F217" s="280" t="s">
        <v>772</v>
      </c>
      <c r="K217" s="28"/>
      <c r="L217" s="28" t="s">
        <v>138</v>
      </c>
      <c r="M217" s="14" t="s">
        <v>773</v>
      </c>
      <c r="N217" s="14"/>
      <c r="O217" s="14"/>
      <c r="P217" s="14"/>
      <c r="Q217" s="14"/>
      <c r="R217" s="14"/>
      <c r="S217" s="14"/>
      <c r="T217" s="14"/>
      <c r="U217" s="14"/>
      <c r="V217" s="197"/>
    </row>
    <row r="218" spans="1:22" ht="18" hidden="1" customHeight="1">
      <c r="A218" s="96"/>
      <c r="B218" s="14"/>
      <c r="C218" s="14"/>
      <c r="D218" s="14"/>
      <c r="E218" s="14"/>
      <c r="F218" s="14"/>
      <c r="G218" s="14"/>
      <c r="H218" s="14"/>
      <c r="K218" s="28" t="s">
        <v>768</v>
      </c>
      <c r="L218" s="28" t="s">
        <v>138</v>
      </c>
      <c r="M218" s="47" t="s">
        <v>774</v>
      </c>
      <c r="N218" s="14"/>
      <c r="O218" s="14"/>
      <c r="P218" s="14"/>
      <c r="Q218" s="14"/>
      <c r="R218" s="14"/>
      <c r="S218" s="14"/>
      <c r="T218" s="14"/>
      <c r="U218" s="14"/>
      <c r="V218" s="197"/>
    </row>
    <row r="219" spans="1:22" ht="18" hidden="1" customHeight="1">
      <c r="A219" s="96"/>
      <c r="B219" s="14"/>
      <c r="C219" s="14"/>
      <c r="K219" s="28" t="s">
        <v>771</v>
      </c>
      <c r="L219" s="28" t="s">
        <v>138</v>
      </c>
      <c r="M219" s="28">
        <v>10</v>
      </c>
      <c r="O219" s="14" t="s">
        <v>775</v>
      </c>
      <c r="P219" s="28" t="s">
        <v>776</v>
      </c>
      <c r="Q219" s="290" t="s">
        <v>777</v>
      </c>
      <c r="R219" s="28">
        <v>120</v>
      </c>
      <c r="S219" s="14" t="s">
        <v>778</v>
      </c>
      <c r="T219" s="14"/>
      <c r="U219" s="14"/>
      <c r="V219" s="197"/>
    </row>
    <row r="220" spans="1:22" ht="18" hidden="1" customHeight="1">
      <c r="A220" s="96"/>
      <c r="B220" s="14"/>
      <c r="C220" s="14"/>
      <c r="L220" s="28" t="s">
        <v>138</v>
      </c>
      <c r="M220" s="27">
        <v>20</v>
      </c>
      <c r="N220" s="14"/>
      <c r="O220" s="14" t="s">
        <v>775</v>
      </c>
      <c r="P220" s="28" t="s">
        <v>776</v>
      </c>
      <c r="Q220" s="290" t="s">
        <v>777</v>
      </c>
      <c r="R220" s="28">
        <v>300</v>
      </c>
      <c r="S220" s="14" t="s">
        <v>778</v>
      </c>
      <c r="T220" s="14"/>
      <c r="U220" s="14"/>
      <c r="V220" s="197"/>
    </row>
    <row r="221" spans="1:22" ht="18" hidden="1" customHeight="1">
      <c r="A221" s="96"/>
      <c r="B221" s="14"/>
      <c r="C221" s="14"/>
      <c r="N221" s="14"/>
      <c r="O221" s="14"/>
      <c r="P221" s="28"/>
      <c r="Q221" s="120"/>
      <c r="R221" s="14"/>
      <c r="S221" s="14"/>
      <c r="T221" s="14"/>
      <c r="U221" s="14"/>
      <c r="V221" s="197"/>
    </row>
    <row r="222" spans="1:22" ht="18" hidden="1" customHeight="1">
      <c r="A222" s="96" t="s">
        <v>779</v>
      </c>
      <c r="B222" s="14"/>
      <c r="C222" s="14"/>
      <c r="K222" s="27" t="s">
        <v>768</v>
      </c>
      <c r="L222" s="27" t="s">
        <v>138</v>
      </c>
      <c r="M222" s="639" t="s">
        <v>436</v>
      </c>
      <c r="N222" s="639"/>
      <c r="O222" s="27" t="s">
        <v>780</v>
      </c>
      <c r="P222" s="27">
        <v>5</v>
      </c>
      <c r="Q222" s="28" t="s">
        <v>326</v>
      </c>
      <c r="R222" s="639" t="s">
        <v>434</v>
      </c>
      <c r="S222" s="639"/>
      <c r="T222" s="14" t="s">
        <v>361</v>
      </c>
      <c r="U222" s="14"/>
      <c r="V222" s="197"/>
    </row>
    <row r="223" spans="1:22" ht="18" hidden="1" customHeight="1">
      <c r="A223" s="96"/>
      <c r="B223" s="14"/>
      <c r="C223" s="14"/>
      <c r="L223" s="27" t="s">
        <v>138</v>
      </c>
      <c r="M223" s="639">
        <f>S194</f>
        <v>1</v>
      </c>
      <c r="N223" s="639"/>
      <c r="O223" s="27" t="s">
        <v>780</v>
      </c>
      <c r="P223" s="27">
        <v>5</v>
      </c>
      <c r="Q223" s="28" t="s">
        <v>326</v>
      </c>
      <c r="R223" s="639" t="str">
        <f>S195</f>
        <v>-</v>
      </c>
      <c r="S223" s="639"/>
      <c r="T223" s="14" t="s">
        <v>361</v>
      </c>
      <c r="U223" s="14"/>
      <c r="V223" s="197"/>
    </row>
    <row r="224" spans="1:22" ht="18" hidden="1" customHeight="1">
      <c r="A224" s="96"/>
      <c r="B224" s="14"/>
      <c r="C224" s="14"/>
      <c r="D224" s="14"/>
      <c r="E224" s="120"/>
      <c r="F224" s="28"/>
      <c r="L224" s="27" t="s">
        <v>138</v>
      </c>
      <c r="M224" s="638" t="e">
        <f>M223/(P223*R223)</f>
        <v>#VALUE!</v>
      </c>
      <c r="N224" s="639"/>
      <c r="O224" s="14"/>
      <c r="P224" s="14"/>
      <c r="Q224" s="14"/>
      <c r="R224" s="14"/>
      <c r="S224" s="14"/>
      <c r="T224" s="14"/>
      <c r="U224" s="14"/>
      <c r="V224" s="197"/>
    </row>
    <row r="225" spans="1:22" ht="18" hidden="1" customHeight="1">
      <c r="A225" s="96"/>
      <c r="B225" s="14"/>
      <c r="C225" s="14"/>
      <c r="D225" s="14"/>
      <c r="E225" s="14"/>
      <c r="F225" s="28"/>
      <c r="G225" s="14"/>
      <c r="H225" s="14"/>
      <c r="I225" s="102"/>
      <c r="J225" s="47"/>
      <c r="K225" s="47"/>
      <c r="L225" s="14"/>
      <c r="M225" s="14"/>
      <c r="N225" s="14"/>
      <c r="O225" s="14"/>
      <c r="P225" s="14"/>
      <c r="Q225" s="14"/>
      <c r="R225" s="14"/>
      <c r="S225" s="14"/>
      <c r="T225" s="14"/>
      <c r="U225" s="14"/>
      <c r="V225" s="197"/>
    </row>
    <row r="226" spans="1:22" ht="18" hidden="1" customHeight="1">
      <c r="A226" s="96" t="s">
        <v>781</v>
      </c>
      <c r="B226" s="14"/>
      <c r="C226" s="14"/>
      <c r="D226" s="14"/>
      <c r="E226" s="269" t="s">
        <v>782</v>
      </c>
      <c r="F226" s="14"/>
      <c r="G226" s="28" t="s">
        <v>138</v>
      </c>
      <c r="H226" s="641" t="e">
        <f>'[2]Parameters &amp; Fault Cal.'!Q184</f>
        <v>#REF!</v>
      </c>
      <c r="I226" s="639"/>
      <c r="J226" s="30" t="s">
        <v>542</v>
      </c>
      <c r="K226" s="28" t="s">
        <v>771</v>
      </c>
      <c r="L226" s="230" t="s">
        <v>138</v>
      </c>
      <c r="M226" s="641" t="e">
        <f>IF(H226&lt;=120,M219,M220)</f>
        <v>#REF!</v>
      </c>
      <c r="N226" s="639"/>
      <c r="O226" s="14"/>
      <c r="P226" s="14"/>
      <c r="Q226" s="14"/>
      <c r="R226" s="14"/>
      <c r="S226" s="14"/>
      <c r="T226" s="14"/>
      <c r="U226" s="14"/>
      <c r="V226" s="197"/>
    </row>
    <row r="227" spans="1:22" ht="18" hidden="1" customHeight="1">
      <c r="A227" s="196"/>
      <c r="J227" s="14"/>
      <c r="K227" s="269"/>
      <c r="M227" s="14"/>
      <c r="N227" s="14"/>
      <c r="O227" s="14"/>
      <c r="P227" s="14"/>
      <c r="Q227" s="14"/>
      <c r="R227" s="14"/>
      <c r="S227" s="14"/>
      <c r="T227" s="14"/>
      <c r="U227" s="14"/>
      <c r="V227" s="197"/>
    </row>
    <row r="228" spans="1:22" ht="18" hidden="1" customHeight="1">
      <c r="A228" s="96" t="s">
        <v>783</v>
      </c>
      <c r="E228" s="211"/>
      <c r="G228" s="27" t="s">
        <v>138</v>
      </c>
      <c r="H228" s="27" t="s">
        <v>506</v>
      </c>
      <c r="I228" s="27" t="s">
        <v>565</v>
      </c>
      <c r="J228" s="120" t="s">
        <v>502</v>
      </c>
      <c r="K228" s="28" t="s">
        <v>358</v>
      </c>
      <c r="L228" s="120" t="s">
        <v>504</v>
      </c>
      <c r="M228" s="28" t="s">
        <v>550</v>
      </c>
      <c r="N228" s="120" t="s">
        <v>502</v>
      </c>
      <c r="O228" s="28" t="s">
        <v>358</v>
      </c>
      <c r="P228" s="120" t="s">
        <v>523</v>
      </c>
      <c r="Q228" s="308" t="s">
        <v>361</v>
      </c>
      <c r="V228" s="197"/>
    </row>
    <row r="229" spans="1:22" ht="18" hidden="1" customHeight="1">
      <c r="A229" s="196"/>
      <c r="G229" s="27" t="s">
        <v>138</v>
      </c>
      <c r="H229" s="254">
        <f>S200</f>
        <v>20</v>
      </c>
      <c r="I229" s="257" t="s">
        <v>565</v>
      </c>
      <c r="J229" s="313" t="e">
        <f>S197</f>
        <v>#VALUE!</v>
      </c>
      <c r="K229" s="257" t="s">
        <v>358</v>
      </c>
      <c r="L229" s="313" t="e">
        <f>E205</f>
        <v>#VALUE!</v>
      </c>
      <c r="M229" s="257" t="s">
        <v>550</v>
      </c>
      <c r="N229" s="313" t="e">
        <f>S197</f>
        <v>#VALUE!</v>
      </c>
      <c r="O229" s="257" t="s">
        <v>358</v>
      </c>
      <c r="P229" s="313">
        <f>S198</f>
        <v>1.5518674400000001</v>
      </c>
      <c r="Q229" s="474" t="s">
        <v>361</v>
      </c>
      <c r="V229" s="197"/>
    </row>
    <row r="230" spans="1:22" ht="18" hidden="1" customHeight="1">
      <c r="A230" s="196"/>
      <c r="G230" s="27" t="s">
        <v>138</v>
      </c>
      <c r="H230" s="637" t="e">
        <f>H229*((J229+L229)/(N229+P229))</f>
        <v>#VALUE!</v>
      </c>
      <c r="I230" s="637"/>
      <c r="V230" s="197"/>
    </row>
    <row r="231" spans="1:22" ht="18" hidden="1" customHeight="1">
      <c r="A231" s="196"/>
      <c r="V231" s="197"/>
    </row>
    <row r="232" spans="1:22" ht="18" hidden="1" customHeight="1">
      <c r="A232" s="196" t="s">
        <v>784</v>
      </c>
      <c r="E232" s="256"/>
      <c r="F232" s="27"/>
      <c r="G232" s="308"/>
      <c r="V232" s="197"/>
    </row>
    <row r="233" spans="1:22" ht="18" hidden="1" customHeight="1">
      <c r="A233" s="196"/>
      <c r="D233" s="223"/>
      <c r="E233" s="223"/>
      <c r="F233" s="27"/>
      <c r="G233" s="223"/>
      <c r="H233" s="223"/>
      <c r="V233" s="197"/>
    </row>
    <row r="234" spans="1:22" ht="18" hidden="1" customHeight="1">
      <c r="A234" s="196"/>
      <c r="D234" s="637" t="e">
        <f>H230</f>
        <v>#VALUE!</v>
      </c>
      <c r="E234" s="639"/>
      <c r="F234" s="27" t="e">
        <f>IF(D234&gt;=G234,"&gt;","&lt;")</f>
        <v>#VALUE!</v>
      </c>
      <c r="G234" s="637" t="e">
        <f>M224</f>
        <v>#VALUE!</v>
      </c>
      <c r="H234" s="639"/>
      <c r="I234" s="18"/>
      <c r="J234" s="280" t="s">
        <v>769</v>
      </c>
      <c r="V234" s="197"/>
    </row>
    <row r="235" spans="1:22" ht="18" hidden="1" customHeight="1">
      <c r="A235" s="196"/>
      <c r="D235" s="637" t="e">
        <f>H230</f>
        <v>#VALUE!</v>
      </c>
      <c r="E235" s="639"/>
      <c r="F235" s="27" t="e">
        <f>IF(D235&gt;=G235,"&gt;","&lt;")</f>
        <v>#VALUE!</v>
      </c>
      <c r="G235" s="637" t="e">
        <f>M226</f>
        <v>#REF!</v>
      </c>
      <c r="H235" s="639"/>
      <c r="J235" s="280" t="s">
        <v>772</v>
      </c>
      <c r="V235" s="197"/>
    </row>
    <row r="236" spans="1:22" ht="18" hidden="1" customHeight="1">
      <c r="A236" s="196"/>
      <c r="E236" s="256" t="s">
        <v>489</v>
      </c>
      <c r="G236" s="18" t="e">
        <f>IF(AND(F234="&gt;",F235="&gt;")=TRUE,"Suitably Dimensioned","Under Dimensioned")</f>
        <v>#VALUE!</v>
      </c>
      <c r="V236" s="197"/>
    </row>
    <row r="237" spans="1:22" ht="18" hidden="1" customHeight="1">
      <c r="A237" s="196"/>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s="14" customFormat="1" ht="18" hidden="1" customHeight="1">
      <c r="A251" s="196"/>
      <c r="B251" s="30"/>
      <c r="C251" s="30"/>
      <c r="D251" s="30"/>
      <c r="E251" s="30"/>
      <c r="F251" s="30"/>
      <c r="G251" s="30"/>
      <c r="H251" s="30"/>
      <c r="I251" s="30"/>
      <c r="J251" s="30"/>
      <c r="K251" s="30"/>
      <c r="L251" s="30"/>
      <c r="M251" s="30"/>
      <c r="N251" s="30"/>
      <c r="O251" s="30"/>
      <c r="P251" s="30"/>
      <c r="Q251" s="30"/>
      <c r="R251" s="30"/>
      <c r="S251" s="30"/>
      <c r="T251" s="30"/>
      <c r="U251" s="30"/>
      <c r="V251" s="197"/>
    </row>
    <row r="252" spans="1:22" s="14" customFormat="1" ht="18" customHeight="1">
      <c r="A252" s="196"/>
      <c r="B252" s="30"/>
      <c r="C252" s="30"/>
      <c r="D252" s="30"/>
      <c r="E252" s="30"/>
      <c r="F252" s="30"/>
      <c r="G252" s="30"/>
      <c r="H252" s="30"/>
      <c r="I252" s="30"/>
      <c r="J252" s="30"/>
      <c r="K252" s="30"/>
      <c r="L252" s="30"/>
      <c r="M252" s="30"/>
      <c r="N252" s="30"/>
      <c r="O252" s="30"/>
      <c r="P252" s="30"/>
      <c r="Q252" s="30"/>
      <c r="R252" s="30"/>
      <c r="S252" s="30"/>
      <c r="T252" s="30"/>
      <c r="U252" s="30"/>
      <c r="V252" s="197"/>
    </row>
    <row r="253" spans="1:22" s="14" customFormat="1" ht="18" customHeight="1">
      <c r="A253" s="302"/>
      <c r="B253" s="208"/>
      <c r="C253" s="208"/>
      <c r="D253" s="208"/>
      <c r="E253" s="208"/>
      <c r="F253" s="208"/>
      <c r="G253" s="208"/>
      <c r="H253" s="208"/>
      <c r="I253" s="208"/>
      <c r="J253" s="208"/>
      <c r="K253" s="208"/>
      <c r="L253" s="208"/>
      <c r="M253" s="208"/>
      <c r="N253" s="208"/>
      <c r="O253" s="208"/>
      <c r="P253" s="208"/>
      <c r="Q253" s="208"/>
      <c r="R253" s="208"/>
      <c r="S253" s="208"/>
      <c r="T253" s="208"/>
      <c r="U253" s="208"/>
      <c r="V253" s="303"/>
    </row>
    <row r="254" spans="1:22" s="14" customFormat="1" ht="18" customHeight="1">
      <c r="A254" s="196"/>
      <c r="B254" s="30"/>
      <c r="C254" s="30"/>
      <c r="D254" s="30"/>
      <c r="E254" s="30"/>
      <c r="F254" s="30"/>
      <c r="G254" s="30"/>
      <c r="H254" s="30"/>
      <c r="I254" s="30"/>
      <c r="J254" s="30"/>
      <c r="K254" s="30"/>
      <c r="L254" s="30"/>
      <c r="M254" s="30"/>
      <c r="N254" s="30"/>
      <c r="O254" s="30"/>
      <c r="P254" s="30"/>
      <c r="Q254" s="30"/>
      <c r="R254" s="30"/>
      <c r="S254" s="30"/>
      <c r="T254" s="30"/>
      <c r="U254" s="30"/>
      <c r="V254" s="197"/>
    </row>
    <row r="255" spans="1:22" ht="18" customHeight="1">
      <c r="A255" s="196"/>
      <c r="B255" s="117" t="s">
        <v>919</v>
      </c>
      <c r="V255" s="197"/>
    </row>
    <row r="256" spans="1:22" ht="18" customHeight="1">
      <c r="A256" s="180"/>
      <c r="B256" s="5"/>
      <c r="C256" s="47" t="s">
        <v>556</v>
      </c>
      <c r="D256" s="14"/>
      <c r="E256" s="14"/>
      <c r="F256" s="18"/>
      <c r="G256" s="18"/>
      <c r="H256" s="291"/>
      <c r="I256" s="120"/>
      <c r="J256" s="291"/>
      <c r="K256" s="291"/>
      <c r="L256" s="14"/>
      <c r="M256" s="14"/>
      <c r="N256" s="14"/>
      <c r="O256" s="14"/>
      <c r="P256" s="14"/>
      <c r="Q256" s="120" t="s">
        <v>434</v>
      </c>
      <c r="R256" s="102" t="s">
        <v>138</v>
      </c>
      <c r="S256" s="638">
        <f>H10</f>
        <v>2500</v>
      </c>
      <c r="T256" s="638"/>
      <c r="U256" s="14" t="s">
        <v>9</v>
      </c>
      <c r="V256" s="197"/>
    </row>
    <row r="257" spans="1:25" ht="18" customHeight="1">
      <c r="A257" s="180"/>
      <c r="B257" s="5"/>
      <c r="C257" s="47" t="s">
        <v>852</v>
      </c>
      <c r="D257" s="14"/>
      <c r="E257" s="14"/>
      <c r="F257" s="14"/>
      <c r="G257" s="14"/>
      <c r="H257" s="291"/>
      <c r="I257" s="120"/>
      <c r="J257" s="291"/>
      <c r="K257" s="291"/>
      <c r="L257" s="14"/>
      <c r="M257" s="14"/>
      <c r="N257" s="14"/>
      <c r="O257" s="14"/>
      <c r="P257" s="14"/>
      <c r="Q257" s="120" t="s">
        <v>853</v>
      </c>
      <c r="R257" s="102" t="s">
        <v>138</v>
      </c>
      <c r="S257" s="983">
        <f>'Parameters &amp; Fault Cal. (4)'!Q10 *1000</f>
        <v>40000</v>
      </c>
      <c r="T257" s="984"/>
      <c r="U257" s="47" t="s">
        <v>9</v>
      </c>
      <c r="V257" s="197"/>
    </row>
    <row r="258" spans="1:25" ht="18" customHeight="1">
      <c r="A258" s="180"/>
      <c r="B258" s="5"/>
      <c r="C258" s="47" t="s">
        <v>854</v>
      </c>
      <c r="E258" s="14"/>
      <c r="F258" s="18"/>
      <c r="G258" s="18"/>
      <c r="H258" s="291"/>
      <c r="I258" s="120"/>
      <c r="J258" s="291"/>
      <c r="K258" s="291"/>
      <c r="L258" s="14"/>
      <c r="M258" s="14"/>
      <c r="N258" s="14"/>
      <c r="O258" s="14"/>
      <c r="P258" s="14"/>
      <c r="Q258" s="120" t="s">
        <v>855</v>
      </c>
      <c r="R258" s="28" t="s">
        <v>138</v>
      </c>
      <c r="S258" s="641">
        <f>S257/S26*O10</f>
        <v>16</v>
      </c>
      <c r="T258" s="641"/>
      <c r="U258" s="14" t="s">
        <v>9</v>
      </c>
      <c r="V258" s="197"/>
    </row>
    <row r="259" spans="1:25" ht="18" customHeight="1">
      <c r="A259" s="180"/>
      <c r="B259" s="5"/>
      <c r="C259" s="47" t="s">
        <v>856</v>
      </c>
      <c r="D259" s="14"/>
      <c r="E259" s="14"/>
      <c r="F259" s="18"/>
      <c r="G259" s="18"/>
      <c r="H259" s="291"/>
      <c r="I259" s="120"/>
      <c r="J259" s="291"/>
      <c r="K259" s="291"/>
      <c r="L259" s="14"/>
      <c r="M259" s="14"/>
      <c r="N259" s="14"/>
      <c r="O259" s="14"/>
      <c r="P259" s="14"/>
      <c r="Q259" s="120" t="s">
        <v>700</v>
      </c>
      <c r="R259" s="28" t="s">
        <v>138</v>
      </c>
      <c r="S259" s="641">
        <f>J22/O10*O10</f>
        <v>1.5518674400000001</v>
      </c>
      <c r="T259" s="641"/>
      <c r="U259" s="204" t="s">
        <v>344</v>
      </c>
      <c r="V259" s="197"/>
      <c r="X259" s="291"/>
      <c r="Y259" s="291"/>
    </row>
    <row r="260" spans="1:25" ht="18" customHeight="1">
      <c r="A260" s="180"/>
      <c r="B260" s="5"/>
      <c r="C260" s="47" t="s">
        <v>857</v>
      </c>
      <c r="Q260" s="120" t="s">
        <v>858</v>
      </c>
      <c r="R260" s="28" t="s">
        <v>138</v>
      </c>
      <c r="S260" s="983">
        <f>20*S26</f>
        <v>50000</v>
      </c>
      <c r="T260" s="984"/>
      <c r="U260" s="14" t="s">
        <v>9</v>
      </c>
      <c r="V260" s="197"/>
      <c r="X260" s="291"/>
      <c r="Y260" s="291"/>
    </row>
    <row r="261" spans="1:25" ht="18" customHeight="1">
      <c r="A261" s="311"/>
      <c r="B261" s="291"/>
      <c r="C261" s="47" t="s">
        <v>859</v>
      </c>
      <c r="Q261" s="256" t="s">
        <v>860</v>
      </c>
      <c r="R261" s="28" t="s">
        <v>138</v>
      </c>
      <c r="S261" s="637">
        <f>S260/S26</f>
        <v>20</v>
      </c>
      <c r="T261" s="637"/>
      <c r="U261" s="14" t="s">
        <v>9</v>
      </c>
      <c r="V261" s="312"/>
      <c r="W261" s="291"/>
      <c r="X261" s="291"/>
      <c r="Y261" s="291"/>
    </row>
    <row r="262" spans="1:25" ht="18" customHeight="1">
      <c r="A262" s="196"/>
      <c r="V262" s="197"/>
    </row>
    <row r="263" spans="1:25" ht="18" customHeight="1">
      <c r="A263" s="205" t="s">
        <v>766</v>
      </c>
      <c r="B263" s="14"/>
      <c r="C263" s="14"/>
      <c r="D263" s="14"/>
      <c r="E263" s="14"/>
      <c r="F263" s="14"/>
      <c r="G263" s="14"/>
      <c r="H263" s="14"/>
      <c r="K263" s="14"/>
      <c r="T263" s="14"/>
      <c r="U263" s="14"/>
      <c r="V263" s="197"/>
    </row>
    <row r="264" spans="1:25" ht="18" customHeight="1">
      <c r="A264" s="96"/>
      <c r="B264" s="14"/>
      <c r="C264" s="14"/>
      <c r="D264" s="14"/>
      <c r="E264" s="14"/>
      <c r="F264" s="14"/>
      <c r="G264" s="14"/>
      <c r="H264" s="14"/>
      <c r="K264" s="14"/>
      <c r="T264" s="14"/>
      <c r="U264" s="14"/>
      <c r="V264" s="197"/>
    </row>
    <row r="265" spans="1:25" ht="18" customHeight="1">
      <c r="A265" s="205" t="s">
        <v>861</v>
      </c>
      <c r="H265" s="28"/>
      <c r="I265" s="28"/>
      <c r="J265" s="28"/>
      <c r="K265" s="28"/>
      <c r="T265" s="14"/>
      <c r="U265" s="14"/>
      <c r="V265" s="197"/>
    </row>
    <row r="266" spans="1:25" ht="18" customHeight="1">
      <c r="A266" s="205"/>
      <c r="H266" s="28"/>
      <c r="I266" s="28"/>
      <c r="J266" s="28"/>
      <c r="K266" s="28"/>
      <c r="T266" s="14"/>
      <c r="U266" s="14"/>
      <c r="V266" s="197"/>
    </row>
    <row r="267" spans="1:25" ht="18" customHeight="1">
      <c r="A267" s="196"/>
      <c r="B267" s="638" t="s">
        <v>484</v>
      </c>
      <c r="C267" s="638"/>
      <c r="D267" s="28" t="s">
        <v>862</v>
      </c>
      <c r="E267" s="28">
        <v>0.5</v>
      </c>
      <c r="F267" s="28" t="s">
        <v>326</v>
      </c>
      <c r="G267" s="638" t="s">
        <v>855</v>
      </c>
      <c r="H267" s="638"/>
      <c r="I267" s="28" t="s">
        <v>683</v>
      </c>
      <c r="J267" s="638" t="s">
        <v>431</v>
      </c>
      <c r="K267" s="638"/>
      <c r="L267" s="28" t="s">
        <v>358</v>
      </c>
      <c r="M267" s="638" t="s">
        <v>700</v>
      </c>
      <c r="N267" s="638"/>
      <c r="O267" s="14" t="s">
        <v>361</v>
      </c>
      <c r="P267" s="14"/>
      <c r="Q267" s="14"/>
      <c r="R267" s="14"/>
      <c r="T267" s="14"/>
      <c r="U267" s="14"/>
      <c r="V267" s="197"/>
    </row>
    <row r="268" spans="1:25" ht="18" customHeight="1">
      <c r="A268" s="196"/>
      <c r="B268" s="14"/>
      <c r="C268" s="14"/>
      <c r="D268" s="102" t="s">
        <v>138</v>
      </c>
      <c r="E268" s="28">
        <v>0.5</v>
      </c>
      <c r="F268" s="28" t="s">
        <v>326</v>
      </c>
      <c r="G268" s="641">
        <f>S258</f>
        <v>16</v>
      </c>
      <c r="H268" s="638"/>
      <c r="I268" s="28" t="s">
        <v>683</v>
      </c>
      <c r="J268" s="641">
        <f>S29</f>
        <v>5</v>
      </c>
      <c r="K268" s="638"/>
      <c r="L268" s="28" t="s">
        <v>358</v>
      </c>
      <c r="M268" s="641">
        <f>S259</f>
        <v>1.5518674400000001</v>
      </c>
      <c r="N268" s="638"/>
      <c r="O268" s="14" t="s">
        <v>361</v>
      </c>
      <c r="S268" s="14"/>
      <c r="T268" s="14"/>
      <c r="U268" s="14"/>
      <c r="V268" s="197"/>
    </row>
    <row r="269" spans="1:25" ht="18" customHeight="1">
      <c r="A269" s="196"/>
      <c r="B269" s="14"/>
      <c r="C269" s="14"/>
      <c r="D269" s="102" t="s">
        <v>138</v>
      </c>
      <c r="E269" s="641">
        <f>E268*G268*(J268+M268)</f>
        <v>52.414939520000004</v>
      </c>
      <c r="F269" s="641"/>
      <c r="G269" s="223"/>
      <c r="H269" s="230"/>
      <c r="I269" s="14"/>
      <c r="J269" s="14"/>
      <c r="K269" s="14"/>
      <c r="L269" s="14"/>
      <c r="M269" s="14"/>
      <c r="N269" s="14"/>
      <c r="O269" s="14"/>
      <c r="P269" s="14"/>
      <c r="Q269" s="14"/>
      <c r="R269" s="14"/>
      <c r="V269" s="197"/>
    </row>
    <row r="270" spans="1:25" ht="18" customHeight="1">
      <c r="A270" s="196"/>
      <c r="B270" s="14"/>
      <c r="C270" s="14"/>
      <c r="D270" s="28"/>
      <c r="E270" s="230"/>
      <c r="F270" s="230"/>
      <c r="G270" s="223"/>
      <c r="H270" s="230"/>
      <c r="I270" s="14"/>
      <c r="J270" s="14"/>
      <c r="K270" s="14"/>
      <c r="L270" s="14"/>
      <c r="M270" s="14"/>
      <c r="N270" s="14"/>
      <c r="O270" s="14"/>
      <c r="P270" s="14"/>
      <c r="Q270" s="14"/>
      <c r="R270" s="14"/>
      <c r="V270" s="197"/>
    </row>
    <row r="271" spans="1:25" ht="18" customHeight="1">
      <c r="A271" s="205" t="s">
        <v>863</v>
      </c>
      <c r="B271" s="14"/>
      <c r="C271" s="14"/>
      <c r="D271" s="28"/>
      <c r="E271" s="230"/>
      <c r="F271" s="230"/>
      <c r="G271" s="223"/>
      <c r="H271" s="230"/>
      <c r="I271" s="14"/>
      <c r="J271" s="14"/>
      <c r="K271" s="14"/>
      <c r="L271" s="14"/>
      <c r="M271" s="14"/>
      <c r="N271" s="14"/>
      <c r="O271" s="14"/>
      <c r="P271" s="14"/>
      <c r="Q271" s="14"/>
      <c r="R271" s="14"/>
      <c r="V271" s="197"/>
    </row>
    <row r="272" spans="1:25" ht="18" customHeight="1">
      <c r="A272" s="196"/>
      <c r="B272" s="14"/>
      <c r="C272" s="14"/>
      <c r="D272" s="28"/>
      <c r="E272" s="230"/>
      <c r="F272" s="230"/>
      <c r="G272" s="223"/>
      <c r="H272" s="230"/>
      <c r="I272" s="14"/>
      <c r="J272" s="14"/>
      <c r="K272" s="14"/>
      <c r="L272" s="14"/>
      <c r="M272" s="14"/>
      <c r="N272" s="14"/>
      <c r="O272" s="14"/>
      <c r="P272" s="14"/>
      <c r="Q272" s="14"/>
      <c r="R272" s="14"/>
      <c r="V272" s="197"/>
    </row>
    <row r="273" spans="1:22" ht="18" customHeight="1">
      <c r="A273" s="196"/>
      <c r="B273" s="638" t="s">
        <v>484</v>
      </c>
      <c r="C273" s="638"/>
      <c r="D273" s="28" t="s">
        <v>862</v>
      </c>
      <c r="E273" s="638" t="s">
        <v>860</v>
      </c>
      <c r="F273" s="638"/>
      <c r="G273" s="28" t="s">
        <v>683</v>
      </c>
      <c r="H273" s="638" t="s">
        <v>431</v>
      </c>
      <c r="I273" s="638"/>
      <c r="J273" s="28" t="s">
        <v>358</v>
      </c>
      <c r="K273" s="638" t="s">
        <v>700</v>
      </c>
      <c r="L273" s="638"/>
      <c r="M273" s="14" t="s">
        <v>361</v>
      </c>
      <c r="P273" s="14"/>
      <c r="Q273" s="14"/>
      <c r="R273" s="14"/>
      <c r="V273" s="197"/>
    </row>
    <row r="274" spans="1:22" ht="18" customHeight="1">
      <c r="A274" s="196"/>
      <c r="B274" s="14"/>
      <c r="C274" s="14"/>
      <c r="D274" s="102" t="s">
        <v>138</v>
      </c>
      <c r="E274" s="641">
        <f>S261</f>
        <v>20</v>
      </c>
      <c r="F274" s="638"/>
      <c r="G274" s="28" t="s">
        <v>683</v>
      </c>
      <c r="H274" s="641">
        <f>S29</f>
        <v>5</v>
      </c>
      <c r="I274" s="638"/>
      <c r="J274" s="28" t="s">
        <v>358</v>
      </c>
      <c r="K274" s="641">
        <f>S259</f>
        <v>1.5518674400000001</v>
      </c>
      <c r="L274" s="638"/>
      <c r="M274" s="14" t="s">
        <v>361</v>
      </c>
      <c r="N274" s="14"/>
      <c r="O274" s="14"/>
      <c r="P274" s="14"/>
      <c r="Q274" s="14"/>
      <c r="R274" s="14"/>
      <c r="V274" s="197"/>
    </row>
    <row r="275" spans="1:22" ht="18" customHeight="1">
      <c r="A275" s="196"/>
      <c r="B275" s="14"/>
      <c r="C275" s="14"/>
      <c r="D275" s="102" t="s">
        <v>138</v>
      </c>
      <c r="E275" s="641">
        <f>E274*(H274+K274)</f>
        <v>131.03734880000002</v>
      </c>
      <c r="F275" s="641"/>
      <c r="G275" s="223"/>
      <c r="H275" s="230"/>
      <c r="I275" s="14"/>
      <c r="J275" s="14"/>
      <c r="K275" s="14"/>
      <c r="L275" s="14"/>
      <c r="M275" s="14"/>
      <c r="N275" s="14"/>
      <c r="O275" s="14"/>
      <c r="P275" s="14"/>
      <c r="Q275" s="14"/>
      <c r="R275" s="14"/>
      <c r="V275" s="197"/>
    </row>
    <row r="276" spans="1:22" ht="18" customHeight="1">
      <c r="A276" s="196"/>
      <c r="V276" s="197"/>
    </row>
    <row r="277" spans="1:22" ht="18" customHeight="1">
      <c r="A277" s="205" t="s">
        <v>864</v>
      </c>
      <c r="B277" s="209"/>
      <c r="C277" s="209"/>
      <c r="D277" s="209"/>
      <c r="E277" s="14"/>
      <c r="F277" s="14"/>
      <c r="G277" s="14"/>
      <c r="H277" s="14"/>
      <c r="I277" s="14"/>
      <c r="J277" s="14"/>
      <c r="K277" s="14"/>
      <c r="L277" s="14"/>
      <c r="M277" s="14"/>
      <c r="N277" s="14"/>
      <c r="O277" s="14"/>
      <c r="P277" s="27"/>
      <c r="Q277" s="28"/>
      <c r="T277" s="14"/>
      <c r="U277" s="14"/>
      <c r="V277" s="197"/>
    </row>
    <row r="278" spans="1:22" ht="18" customHeight="1">
      <c r="A278" s="205"/>
      <c r="B278" s="209"/>
      <c r="C278" s="209"/>
      <c r="D278" s="209"/>
      <c r="E278" s="14"/>
      <c r="F278" s="14"/>
      <c r="G278" s="14"/>
      <c r="H278" s="14"/>
      <c r="I278" s="14"/>
      <c r="J278" s="14"/>
      <c r="K278" s="14"/>
      <c r="L278" s="14"/>
      <c r="M278" s="14"/>
      <c r="N278" s="14"/>
      <c r="O278" s="14"/>
      <c r="P278" s="27"/>
      <c r="Q278" s="28"/>
      <c r="T278" s="14"/>
      <c r="U278" s="14"/>
      <c r="V278" s="197"/>
    </row>
    <row r="279" spans="1:22" ht="18" customHeight="1">
      <c r="A279" s="96"/>
      <c r="B279" s="209" t="s">
        <v>861</v>
      </c>
      <c r="C279" s="209"/>
      <c r="D279" s="14"/>
      <c r="E279" s="14"/>
      <c r="F279" s="14"/>
      <c r="G279" s="14"/>
      <c r="H279" s="14"/>
      <c r="I279" s="14"/>
      <c r="J279" s="14"/>
      <c r="K279" s="14"/>
      <c r="L279" s="14"/>
      <c r="M279" s="14"/>
      <c r="N279" s="14"/>
      <c r="O279" s="14"/>
      <c r="P279" s="14"/>
      <c r="Q279" s="14"/>
      <c r="R279" s="14"/>
      <c r="S279" s="14"/>
      <c r="T279" s="14"/>
      <c r="U279" s="14"/>
      <c r="V279" s="197"/>
    </row>
    <row r="280" spans="1:22" ht="18" customHeight="1">
      <c r="A280" s="96"/>
      <c r="B280" s="14"/>
      <c r="C280" s="14"/>
      <c r="D280" s="14"/>
      <c r="E280" s="14"/>
      <c r="F280" s="256" t="s">
        <v>486</v>
      </c>
      <c r="G280" s="28" t="str">
        <f>IF(E281&gt;H281, "&gt;","&lt;")</f>
        <v>&gt;</v>
      </c>
      <c r="H280" s="14" t="s">
        <v>488</v>
      </c>
      <c r="I280" s="14"/>
      <c r="J280" s="14"/>
      <c r="K280" s="14"/>
      <c r="L280" s="14" t="s">
        <v>865</v>
      </c>
      <c r="M280" s="14"/>
      <c r="N280" s="14"/>
      <c r="O280" s="14"/>
      <c r="P280" s="14"/>
      <c r="Q280" s="14"/>
      <c r="R280" s="14"/>
      <c r="S280" s="14"/>
      <c r="T280" s="14"/>
      <c r="U280" s="14"/>
      <c r="V280" s="197"/>
    </row>
    <row r="281" spans="1:22" ht="18" customHeight="1">
      <c r="A281" s="96"/>
      <c r="B281" s="14"/>
      <c r="C281" s="14"/>
      <c r="D281" s="14"/>
      <c r="E281" s="959">
        <f>H13</f>
        <v>750</v>
      </c>
      <c r="F281" s="959"/>
      <c r="G281" s="28" t="str">
        <f>G280</f>
        <v>&gt;</v>
      </c>
      <c r="H281" s="641">
        <f>E269</f>
        <v>52.414939520000004</v>
      </c>
      <c r="I281" s="641"/>
      <c r="J281" s="14"/>
      <c r="K281" s="14"/>
      <c r="L281" s="14"/>
      <c r="M281" s="14"/>
      <c r="N281" s="14"/>
      <c r="O281" s="14"/>
      <c r="P281" s="14"/>
      <c r="Q281" s="14"/>
      <c r="R281" s="14"/>
      <c r="S281" s="14"/>
      <c r="T281" s="14"/>
      <c r="U281" s="14"/>
      <c r="V281" s="197"/>
    </row>
    <row r="282" spans="1:22" ht="18" customHeight="1">
      <c r="A282" s="196"/>
      <c r="D282" s="223"/>
      <c r="E282" s="230"/>
      <c r="F282" s="211" t="s">
        <v>866</v>
      </c>
      <c r="G282" s="223"/>
      <c r="H282" s="293" t="s">
        <v>867</v>
      </c>
      <c r="J282" s="28" t="s">
        <v>868</v>
      </c>
      <c r="K282" s="18" t="str">
        <f>IF(G281="&gt;", "Satisfied", "Not Satisfied")</f>
        <v>Satisfied</v>
      </c>
      <c r="P282" s="14"/>
      <c r="Q282" s="14"/>
      <c r="R282" s="14"/>
      <c r="S282" s="14"/>
      <c r="T282" s="14"/>
      <c r="U282" s="14"/>
      <c r="V282" s="197"/>
    </row>
    <row r="283" spans="1:22" ht="18" customHeight="1">
      <c r="A283" s="96"/>
      <c r="B283" s="209" t="s">
        <v>863</v>
      </c>
      <c r="C283" s="209"/>
      <c r="D283" s="14"/>
      <c r="E283" s="14"/>
      <c r="F283" s="14"/>
      <c r="G283" s="14"/>
      <c r="H283" s="14"/>
      <c r="I283" s="14"/>
      <c r="J283" s="14"/>
      <c r="K283" s="14"/>
      <c r="L283" s="14"/>
      <c r="M283" s="14"/>
      <c r="N283" s="14"/>
      <c r="O283" s="14"/>
      <c r="P283" s="120"/>
      <c r="Q283" s="308"/>
      <c r="V283" s="197"/>
    </row>
    <row r="284" spans="1:22" ht="18" customHeight="1">
      <c r="A284" s="96"/>
      <c r="B284" s="14"/>
      <c r="C284" s="14"/>
      <c r="D284" s="14"/>
      <c r="E284" s="14"/>
      <c r="F284" s="256" t="s">
        <v>486</v>
      </c>
      <c r="G284" s="28" t="str">
        <f>IF(E285&gt;H285, "&gt;","&lt;")</f>
        <v>&gt;</v>
      </c>
      <c r="H284" s="14" t="s">
        <v>488</v>
      </c>
      <c r="I284" s="14"/>
      <c r="J284" s="14"/>
      <c r="K284" s="14"/>
      <c r="L284" s="14" t="s">
        <v>869</v>
      </c>
      <c r="M284" s="14"/>
      <c r="N284" s="14"/>
      <c r="O284" s="14"/>
      <c r="P284" s="313"/>
      <c r="Q284" s="474"/>
      <c r="V284" s="197"/>
    </row>
    <row r="285" spans="1:22" ht="18" customHeight="1">
      <c r="A285" s="96"/>
      <c r="B285" s="14"/>
      <c r="C285" s="14"/>
      <c r="D285" s="14"/>
      <c r="E285" s="959">
        <f>H13</f>
        <v>750</v>
      </c>
      <c r="F285" s="959"/>
      <c r="G285" s="28" t="str">
        <f>G284</f>
        <v>&gt;</v>
      </c>
      <c r="H285" s="641">
        <f>E275</f>
        <v>131.03734880000002</v>
      </c>
      <c r="I285" s="641"/>
      <c r="J285" s="14"/>
      <c r="K285" s="14"/>
      <c r="L285" s="14"/>
      <c r="M285" s="14"/>
      <c r="N285" s="14"/>
      <c r="O285" s="14"/>
      <c r="V285" s="197"/>
    </row>
    <row r="286" spans="1:22" ht="18" customHeight="1">
      <c r="A286" s="196"/>
      <c r="D286" s="223"/>
      <c r="E286" s="14"/>
      <c r="F286" s="211" t="s">
        <v>866</v>
      </c>
      <c r="G286" s="223"/>
      <c r="H286" s="293" t="s">
        <v>863</v>
      </c>
      <c r="J286" s="28" t="s">
        <v>868</v>
      </c>
      <c r="K286" s="18" t="str">
        <f>IF(G285="&gt;", "Satisfied", "Not Satisfied")</f>
        <v>Satisfied</v>
      </c>
      <c r="P286" s="244"/>
      <c r="Q286" s="244"/>
      <c r="R286" s="244"/>
      <c r="S286" s="244"/>
      <c r="T286" s="244"/>
      <c r="U286" s="244"/>
      <c r="V286" s="245"/>
    </row>
    <row r="287" spans="1:22" ht="18" customHeight="1">
      <c r="A287" s="196"/>
      <c r="H287" s="28"/>
      <c r="I287" s="28"/>
      <c r="J287" s="28"/>
      <c r="K287" s="28"/>
      <c r="L287" s="28"/>
      <c r="M287" s="28"/>
      <c r="N287" s="28"/>
      <c r="O287" s="28"/>
      <c r="P287" s="244"/>
      <c r="Q287" s="244"/>
      <c r="R287" s="244"/>
      <c r="S287" s="244"/>
      <c r="T287" s="244"/>
      <c r="U287" s="244"/>
      <c r="V287" s="245"/>
    </row>
    <row r="288" spans="1:22" ht="18" customHeight="1">
      <c r="A288" s="96"/>
      <c r="B288" s="14"/>
      <c r="C288" s="14"/>
      <c r="D288" s="14"/>
      <c r="E288" s="14"/>
      <c r="F288" s="256" t="s">
        <v>489</v>
      </c>
      <c r="G288" s="14"/>
      <c r="H288" s="18" t="str">
        <f>IF(AND(E281&gt;H281,E285&gt;H285),"Suitably Dimentioned","Under Dimentioned")</f>
        <v>Suitably Dimentioned</v>
      </c>
      <c r="I288" s="18"/>
      <c r="J288" s="18"/>
      <c r="K288" s="18"/>
      <c r="L288" s="18"/>
      <c r="M288" s="18"/>
      <c r="N288" s="14"/>
      <c r="O288" s="14"/>
      <c r="V288" s="197"/>
    </row>
    <row r="289" spans="1:22" ht="18" customHeight="1">
      <c r="A289" s="196"/>
      <c r="V289" s="197"/>
    </row>
    <row r="290" spans="1:22" ht="18" customHeight="1">
      <c r="A290" s="206"/>
      <c r="B290" s="207"/>
      <c r="C290" s="207"/>
      <c r="D290" s="207"/>
      <c r="E290" s="207"/>
      <c r="F290" s="207"/>
      <c r="G290" s="207"/>
      <c r="H290" s="207"/>
      <c r="I290" s="207"/>
      <c r="J290" s="207"/>
      <c r="K290" s="207"/>
      <c r="L290" s="207"/>
      <c r="M290" s="207"/>
      <c r="N290" s="207"/>
      <c r="O290" s="207"/>
      <c r="P290" s="207"/>
      <c r="Q290" s="236"/>
      <c r="R290" s="194"/>
      <c r="S290" s="237"/>
      <c r="T290" s="207"/>
      <c r="U290" s="207"/>
      <c r="V290" s="140"/>
    </row>
    <row r="291" spans="1:22" ht="18" customHeight="1">
      <c r="A291" s="238"/>
      <c r="B291" s="239"/>
      <c r="C291" s="239"/>
      <c r="D291" s="239"/>
      <c r="E291" s="239"/>
      <c r="F291" s="239"/>
      <c r="G291" s="239"/>
      <c r="H291" s="239"/>
      <c r="I291" s="239"/>
      <c r="J291" s="239"/>
      <c r="K291" s="239"/>
      <c r="L291" s="239"/>
      <c r="M291" s="239"/>
      <c r="N291" s="239"/>
      <c r="O291" s="239"/>
      <c r="P291" s="239"/>
      <c r="Q291" s="239"/>
      <c r="R291" s="239"/>
      <c r="S291" s="239"/>
      <c r="T291" s="239"/>
      <c r="U291" s="239"/>
      <c r="V291" s="240"/>
    </row>
    <row r="292" spans="1:22" ht="18" customHeight="1">
      <c r="A292" s="274" t="s">
        <v>512</v>
      </c>
      <c r="B292" s="14"/>
      <c r="C292" s="14"/>
      <c r="D292" s="120"/>
      <c r="E292" s="120"/>
      <c r="F292" s="18"/>
      <c r="G292" s="18"/>
      <c r="H292" s="14"/>
      <c r="I292" s="14"/>
      <c r="J292" s="14"/>
      <c r="K292" s="14"/>
      <c r="L292" s="14"/>
      <c r="M292" s="14"/>
      <c r="N292" s="14"/>
      <c r="O292" s="14"/>
      <c r="P292" s="28"/>
      <c r="Q292" s="120"/>
      <c r="R292" s="47"/>
      <c r="S292" s="218"/>
      <c r="T292" s="271"/>
      <c r="U292" s="14"/>
      <c r="V292" s="97"/>
    </row>
    <row r="293" spans="1:22" ht="18" customHeight="1">
      <c r="A293" s="614" t="s">
        <v>97</v>
      </c>
      <c r="B293" s="620"/>
      <c r="C293" s="615"/>
      <c r="D293" s="614" t="s">
        <v>98</v>
      </c>
      <c r="E293" s="620"/>
      <c r="F293" s="615"/>
      <c r="G293" s="614" t="s">
        <v>99</v>
      </c>
      <c r="H293" s="615"/>
      <c r="I293" s="614" t="s">
        <v>100</v>
      </c>
      <c r="J293" s="615"/>
      <c r="K293" s="614" t="s">
        <v>513</v>
      </c>
      <c r="L293" s="615"/>
      <c r="M293" s="614" t="s">
        <v>514</v>
      </c>
      <c r="N293" s="615"/>
      <c r="O293" s="614" t="s">
        <v>515</v>
      </c>
      <c r="P293" s="615"/>
      <c r="Q293" s="614" t="s">
        <v>516</v>
      </c>
      <c r="R293" s="615"/>
      <c r="S293" s="614" t="s">
        <v>105</v>
      </c>
      <c r="T293" s="620"/>
      <c r="U293" s="620"/>
      <c r="V293" s="615"/>
    </row>
    <row r="294" spans="1:22" ht="18" customHeight="1">
      <c r="A294" s="616"/>
      <c r="B294" s="621"/>
      <c r="C294" s="617"/>
      <c r="D294" s="616"/>
      <c r="E294" s="621"/>
      <c r="F294" s="617"/>
      <c r="G294" s="616"/>
      <c r="H294" s="617"/>
      <c r="I294" s="616"/>
      <c r="J294" s="617"/>
      <c r="K294" s="616"/>
      <c r="L294" s="617"/>
      <c r="M294" s="616"/>
      <c r="N294" s="617"/>
      <c r="O294" s="616"/>
      <c r="P294" s="617"/>
      <c r="Q294" s="616"/>
      <c r="R294" s="617"/>
      <c r="S294" s="616"/>
      <c r="T294" s="621"/>
      <c r="U294" s="621"/>
      <c r="V294" s="617"/>
    </row>
    <row r="295" spans="1:22" ht="18" customHeight="1">
      <c r="A295" s="616"/>
      <c r="B295" s="621"/>
      <c r="C295" s="617"/>
      <c r="D295" s="616"/>
      <c r="E295" s="621"/>
      <c r="F295" s="617"/>
      <c r="G295" s="616"/>
      <c r="H295" s="617"/>
      <c r="I295" s="616"/>
      <c r="J295" s="617"/>
      <c r="K295" s="616"/>
      <c r="L295" s="617"/>
      <c r="M295" s="616"/>
      <c r="N295" s="617"/>
      <c r="O295" s="616"/>
      <c r="P295" s="617"/>
      <c r="Q295" s="616"/>
      <c r="R295" s="617"/>
      <c r="S295" s="616"/>
      <c r="T295" s="621"/>
      <c r="U295" s="621"/>
      <c r="V295" s="617"/>
    </row>
    <row r="296" spans="1:22" ht="18" customHeight="1">
      <c r="A296" s="618"/>
      <c r="B296" s="622"/>
      <c r="C296" s="619"/>
      <c r="D296" s="618"/>
      <c r="E296" s="622"/>
      <c r="F296" s="619"/>
      <c r="G296" s="618"/>
      <c r="H296" s="619"/>
      <c r="I296" s="618"/>
      <c r="J296" s="619"/>
      <c r="K296" s="618"/>
      <c r="L296" s="619"/>
      <c r="M296" s="618"/>
      <c r="N296" s="619"/>
      <c r="O296" s="618"/>
      <c r="P296" s="619"/>
      <c r="Q296" s="618"/>
      <c r="R296" s="619"/>
      <c r="S296" s="618"/>
      <c r="T296" s="622"/>
      <c r="U296" s="622"/>
      <c r="V296" s="619"/>
    </row>
    <row r="297" spans="1:22" ht="18" customHeight="1">
      <c r="A297" s="623" t="str">
        <f>B7</f>
        <v>T1</v>
      </c>
      <c r="B297" s="623" t="str">
        <f>D7</f>
        <v>Core5</v>
      </c>
      <c r="C297" s="623"/>
      <c r="D297" s="613">
        <f>H10</f>
        <v>2500</v>
      </c>
      <c r="E297" s="613"/>
      <c r="F297" s="624">
        <f>O10</f>
        <v>1</v>
      </c>
      <c r="G297" s="613">
        <f>'CT-VT Burdens'!S19</f>
        <v>80</v>
      </c>
      <c r="H297" s="783">
        <f>'CT-VT Burdens'!S10</f>
        <v>2.5</v>
      </c>
      <c r="I297" s="783" t="str">
        <f>H11</f>
        <v>PX-B</v>
      </c>
      <c r="J297" s="783" t="e">
        <f>#REF!</f>
        <v>#REF!</v>
      </c>
      <c r="K297" s="612">
        <f>H12</f>
        <v>5</v>
      </c>
      <c r="L297" s="612"/>
      <c r="M297" s="612">
        <f>H13</f>
        <v>750</v>
      </c>
      <c r="N297" s="612"/>
      <c r="O297" s="613">
        <f>H14</f>
        <v>60</v>
      </c>
      <c r="P297" s="613"/>
      <c r="Q297" s="629" t="str">
        <f>IF(T8="",T7,IF(T9="",T7&amp;" "&amp;T8,T7&amp;" "&amp;T8&amp;" "&amp;T9))</f>
        <v>REB500 P743</v>
      </c>
      <c r="R297" s="629"/>
      <c r="S297" s="628" t="str">
        <f>M82</f>
        <v>Suitable Dimensions</v>
      </c>
      <c r="T297" s="628"/>
      <c r="U297" s="628"/>
      <c r="V297" s="628"/>
    </row>
    <row r="298" spans="1:22" ht="18" customHeight="1">
      <c r="A298" s="623"/>
      <c r="B298" s="623"/>
      <c r="C298" s="623"/>
      <c r="D298" s="613">
        <f>J10</f>
        <v>0</v>
      </c>
      <c r="E298" s="613"/>
      <c r="F298" s="625"/>
      <c r="G298" s="613"/>
      <c r="H298" s="613"/>
      <c r="I298" s="783"/>
      <c r="J298" s="783"/>
      <c r="K298" s="785" t="s">
        <v>7</v>
      </c>
      <c r="L298" s="612"/>
      <c r="M298" s="785" t="s">
        <v>7</v>
      </c>
      <c r="N298" s="612"/>
      <c r="O298" s="786" t="s">
        <v>7</v>
      </c>
      <c r="P298" s="613"/>
      <c r="Q298" s="629"/>
      <c r="R298" s="629"/>
      <c r="S298" s="961" t="str">
        <f>H288</f>
        <v>Suitably Dimentioned</v>
      </c>
      <c r="T298" s="628"/>
      <c r="U298" s="628"/>
      <c r="V298" s="628"/>
    </row>
    <row r="299" spans="1:22" ht="18" customHeight="1">
      <c r="A299" s="623"/>
      <c r="B299" s="623"/>
      <c r="C299" s="623"/>
      <c r="D299" s="613" t="str">
        <f>L10</f>
        <v>-</v>
      </c>
      <c r="E299" s="613"/>
      <c r="F299" s="626"/>
      <c r="G299" s="613"/>
      <c r="H299" s="613"/>
      <c r="I299" s="783"/>
      <c r="J299" s="783"/>
      <c r="K299" s="612" t="str">
        <f>L175</f>
        <v>-</v>
      </c>
      <c r="L299" s="612"/>
      <c r="M299" s="612" t="str">
        <f>L176</f>
        <v>-</v>
      </c>
      <c r="N299" s="612"/>
      <c r="O299" s="613" t="str">
        <f>L177</f>
        <v>-</v>
      </c>
      <c r="P299" s="613"/>
      <c r="Q299" s="629"/>
      <c r="R299" s="629"/>
      <c r="S299" s="628" t="s">
        <v>7</v>
      </c>
      <c r="T299" s="628"/>
      <c r="U299" s="628"/>
      <c r="V299" s="628"/>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196"/>
      <c r="V314" s="197"/>
    </row>
    <row r="315" spans="1:22" ht="18" customHeight="1">
      <c r="A315" s="196"/>
      <c r="V315" s="197"/>
    </row>
    <row r="316" spans="1:22" ht="18" customHeight="1">
      <c r="A316" s="196"/>
      <c r="V316" s="197"/>
    </row>
    <row r="317" spans="1:22" ht="18" customHeight="1">
      <c r="A317" s="196"/>
      <c r="V317" s="197"/>
    </row>
    <row r="318" spans="1:22" ht="18" customHeight="1">
      <c r="A318" s="196"/>
      <c r="V318" s="197"/>
    </row>
    <row r="319" spans="1:22" ht="18" customHeight="1">
      <c r="A319" s="196"/>
      <c r="V319" s="197"/>
    </row>
    <row r="320" spans="1:22" ht="18" customHeight="1">
      <c r="A320" s="196"/>
      <c r="V320" s="197"/>
    </row>
    <row r="321" spans="1:22" ht="18" customHeight="1">
      <c r="A321" s="196"/>
      <c r="V321" s="197"/>
    </row>
    <row r="322" spans="1:22" ht="18" customHeight="1">
      <c r="A322" s="196"/>
      <c r="V322" s="197"/>
    </row>
    <row r="323" spans="1:22" ht="18" customHeight="1">
      <c r="A323" s="196"/>
      <c r="V323" s="197"/>
    </row>
    <row r="324" spans="1:22" ht="18" customHeight="1">
      <c r="A324" s="196"/>
      <c r="V324" s="197"/>
    </row>
    <row r="325" spans="1:22" ht="18" customHeight="1">
      <c r="A325" s="196"/>
      <c r="V325" s="197"/>
    </row>
    <row r="326" spans="1:22" s="14" customFormat="1" ht="18" customHeight="1">
      <c r="A326" s="196"/>
      <c r="B326" s="30"/>
      <c r="C326" s="30"/>
      <c r="D326" s="30"/>
      <c r="E326" s="30"/>
      <c r="F326" s="30"/>
      <c r="G326" s="30"/>
      <c r="H326" s="30"/>
      <c r="I326" s="30"/>
      <c r="J326" s="30"/>
      <c r="K326" s="30"/>
      <c r="L326" s="30"/>
      <c r="M326" s="30"/>
      <c r="N326" s="30"/>
      <c r="O326" s="30"/>
      <c r="P326" s="30"/>
      <c r="Q326" s="30"/>
      <c r="R326" s="30"/>
      <c r="S326" s="30"/>
      <c r="T326" s="30"/>
      <c r="U326" s="30"/>
      <c r="V326" s="197"/>
    </row>
    <row r="327" spans="1:22" ht="18" customHeight="1">
      <c r="A327" s="196"/>
      <c r="V327" s="197"/>
    </row>
    <row r="328" spans="1:22" ht="18" customHeight="1">
      <c r="A328" s="196"/>
      <c r="V328" s="197"/>
    </row>
    <row r="329" spans="1:22" ht="18" customHeight="1">
      <c r="A329" s="196"/>
      <c r="V329" s="197"/>
    </row>
    <row r="330" spans="1:22" ht="18" customHeight="1">
      <c r="A330" s="196"/>
      <c r="V330" s="197"/>
    </row>
    <row r="331" spans="1:22" ht="18" customHeight="1">
      <c r="A331" s="206"/>
      <c r="B331" s="207"/>
      <c r="C331" s="207"/>
      <c r="D331" s="207"/>
      <c r="E331" s="207"/>
      <c r="F331" s="207"/>
      <c r="G331" s="207"/>
      <c r="H331" s="207"/>
      <c r="I331" s="207"/>
      <c r="J331" s="207"/>
      <c r="K331" s="207"/>
      <c r="L331" s="207"/>
      <c r="M331" s="207"/>
      <c r="N331" s="207"/>
      <c r="O331" s="207"/>
      <c r="P331" s="207"/>
      <c r="Q331" s="236"/>
      <c r="R331" s="194"/>
      <c r="S331" s="237"/>
      <c r="T331" s="207"/>
      <c r="U331" s="207"/>
      <c r="V331" s="140"/>
    </row>
  </sheetData>
  <mergeCells count="221">
    <mergeCell ref="H281:I281"/>
    <mergeCell ref="E285:F285"/>
    <mergeCell ref="H285:I285"/>
    <mergeCell ref="S256:T256"/>
    <mergeCell ref="E269:F269"/>
    <mergeCell ref="B273:C273"/>
    <mergeCell ref="E273:F273"/>
    <mergeCell ref="H273:I273"/>
    <mergeCell ref="K273:L273"/>
    <mergeCell ref="E274:F274"/>
    <mergeCell ref="H274:I274"/>
    <mergeCell ref="K274:L274"/>
    <mergeCell ref="B267:C267"/>
    <mergeCell ref="G267:H267"/>
    <mergeCell ref="J267:K267"/>
    <mergeCell ref="M267:N267"/>
    <mergeCell ref="G268:H268"/>
    <mergeCell ref="J268:K268"/>
    <mergeCell ref="M268:N268"/>
    <mergeCell ref="S257:T257"/>
    <mergeCell ref="S258:T258"/>
    <mergeCell ref="S259:T259"/>
    <mergeCell ref="S260:T260"/>
    <mergeCell ref="S261:T261"/>
    <mergeCell ref="M297:N297"/>
    <mergeCell ref="O297:P297"/>
    <mergeCell ref="Q297:R299"/>
    <mergeCell ref="S297:V297"/>
    <mergeCell ref="D298:E298"/>
    <mergeCell ref="K298:L298"/>
    <mergeCell ref="M298:N298"/>
    <mergeCell ref="O298:P298"/>
    <mergeCell ref="S298:V298"/>
    <mergeCell ref="O293:P296"/>
    <mergeCell ref="Q293:R296"/>
    <mergeCell ref="S293:V296"/>
    <mergeCell ref="K293:L296"/>
    <mergeCell ref="M293:N296"/>
    <mergeCell ref="E275:F275"/>
    <mergeCell ref="E281:F281"/>
    <mergeCell ref="A297:A299"/>
    <mergeCell ref="B297:C299"/>
    <mergeCell ref="D297:E297"/>
    <mergeCell ref="F297:F299"/>
    <mergeCell ref="G297:G299"/>
    <mergeCell ref="H297:H299"/>
    <mergeCell ref="I297:J299"/>
    <mergeCell ref="A293:C296"/>
    <mergeCell ref="D293:F296"/>
    <mergeCell ref="G293:H296"/>
    <mergeCell ref="I293:J296"/>
    <mergeCell ref="D299:E299"/>
    <mergeCell ref="K299:L299"/>
    <mergeCell ref="M299:N299"/>
    <mergeCell ref="O299:P299"/>
    <mergeCell ref="S299:V299"/>
    <mergeCell ref="K297:L297"/>
    <mergeCell ref="H226:I226"/>
    <mergeCell ref="M226:N226"/>
    <mergeCell ref="H230:I230"/>
    <mergeCell ref="D234:E234"/>
    <mergeCell ref="G234:H234"/>
    <mergeCell ref="D235:E235"/>
    <mergeCell ref="G235:H235"/>
    <mergeCell ref="E205:F205"/>
    <mergeCell ref="M222:N222"/>
    <mergeCell ref="R222:S222"/>
    <mergeCell ref="M223:N223"/>
    <mergeCell ref="R223:S223"/>
    <mergeCell ref="M224:N224"/>
    <mergeCell ref="S197:T197"/>
    <mergeCell ref="S198:T198"/>
    <mergeCell ref="S199:T199"/>
    <mergeCell ref="S200:T200"/>
    <mergeCell ref="H203:I203"/>
    <mergeCell ref="H204:I204"/>
    <mergeCell ref="J185:K185"/>
    <mergeCell ref="A187:V188"/>
    <mergeCell ref="H192:I192"/>
    <mergeCell ref="S194:T194"/>
    <mergeCell ref="S195:T195"/>
    <mergeCell ref="S196:T196"/>
    <mergeCell ref="L177:M177"/>
    <mergeCell ref="J181:K181"/>
    <mergeCell ref="J182:K182"/>
    <mergeCell ref="J183:K183"/>
    <mergeCell ref="J184:K184"/>
    <mergeCell ref="P184:Q184"/>
    <mergeCell ref="H173:I173"/>
    <mergeCell ref="J173:K173"/>
    <mergeCell ref="L173:M173"/>
    <mergeCell ref="L174:M174"/>
    <mergeCell ref="L175:M175"/>
    <mergeCell ref="L176:M176"/>
    <mergeCell ref="T170:U170"/>
    <mergeCell ref="T171:U171"/>
    <mergeCell ref="H172:I172"/>
    <mergeCell ref="J172:K172"/>
    <mergeCell ref="L172:M172"/>
    <mergeCell ref="T172:U172"/>
    <mergeCell ref="F155:G155"/>
    <mergeCell ref="N159:O159"/>
    <mergeCell ref="N160:O160"/>
    <mergeCell ref="J162:K162"/>
    <mergeCell ref="M162:N162"/>
    <mergeCell ref="B170:C170"/>
    <mergeCell ref="D170:E170"/>
    <mergeCell ref="H170:M170"/>
    <mergeCell ref="F142:H142"/>
    <mergeCell ref="J142:J143"/>
    <mergeCell ref="K142:K143"/>
    <mergeCell ref="F144:G144"/>
    <mergeCell ref="F145:G145"/>
    <mergeCell ref="E151:F151"/>
    <mergeCell ref="E131:F131"/>
    <mergeCell ref="E132:F132"/>
    <mergeCell ref="E134:F134"/>
    <mergeCell ref="E137:E138"/>
    <mergeCell ref="F137:G137"/>
    <mergeCell ref="H137:H138"/>
    <mergeCell ref="S111:T111"/>
    <mergeCell ref="S112:T112"/>
    <mergeCell ref="S113:T113"/>
    <mergeCell ref="I117:I118"/>
    <mergeCell ref="J117:J118"/>
    <mergeCell ref="K117:L117"/>
    <mergeCell ref="K118:L118"/>
    <mergeCell ref="J103:K103"/>
    <mergeCell ref="S106:T106"/>
    <mergeCell ref="S107:T107"/>
    <mergeCell ref="S108:T108"/>
    <mergeCell ref="S109:T109"/>
    <mergeCell ref="S110:T110"/>
    <mergeCell ref="J95:K95"/>
    <mergeCell ref="J99:K99"/>
    <mergeCell ref="J100:K100"/>
    <mergeCell ref="J101:K101"/>
    <mergeCell ref="J102:K102"/>
    <mergeCell ref="P102:Q102"/>
    <mergeCell ref="H91:I91"/>
    <mergeCell ref="J91:K91"/>
    <mergeCell ref="L91:M91"/>
    <mergeCell ref="J92:K92"/>
    <mergeCell ref="J93:K93"/>
    <mergeCell ref="J94:K94"/>
    <mergeCell ref="T88:U88"/>
    <mergeCell ref="T89:U89"/>
    <mergeCell ref="H90:I90"/>
    <mergeCell ref="J90:K90"/>
    <mergeCell ref="L90:M90"/>
    <mergeCell ref="T90:U90"/>
    <mergeCell ref="N78:O78"/>
    <mergeCell ref="N79:O79"/>
    <mergeCell ref="I81:J81"/>
    <mergeCell ref="M81:N81"/>
    <mergeCell ref="B88:C88"/>
    <mergeCell ref="D88:E88"/>
    <mergeCell ref="H88:M88"/>
    <mergeCell ref="F58:H58"/>
    <mergeCell ref="J58:J59"/>
    <mergeCell ref="K58:K59"/>
    <mergeCell ref="F61:G61"/>
    <mergeCell ref="F62:G62"/>
    <mergeCell ref="F74:G74"/>
    <mergeCell ref="E49:F49"/>
    <mergeCell ref="E50:F50"/>
    <mergeCell ref="E52:F52"/>
    <mergeCell ref="E55:E56"/>
    <mergeCell ref="F55:G55"/>
    <mergeCell ref="H55:H56"/>
    <mergeCell ref="S30:T30"/>
    <mergeCell ref="S31:T31"/>
    <mergeCell ref="S32:T32"/>
    <mergeCell ref="I36:I37"/>
    <mergeCell ref="J36:J37"/>
    <mergeCell ref="K36:L36"/>
    <mergeCell ref="K37:L37"/>
    <mergeCell ref="J22:K22"/>
    <mergeCell ref="S25:T25"/>
    <mergeCell ref="S26:T26"/>
    <mergeCell ref="S27:T27"/>
    <mergeCell ref="S28:T28"/>
    <mergeCell ref="S29:T29"/>
    <mergeCell ref="H14:I14"/>
    <mergeCell ref="J18:K18"/>
    <mergeCell ref="J19:K19"/>
    <mergeCell ref="J20:K20"/>
    <mergeCell ref="J21:K21"/>
    <mergeCell ref="P21:Q21"/>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H288">
    <cfRule type="cellIs" dxfId="37" priority="1" stopIfTrue="1" operator="equal">
      <formula>"Under Dimentioned"</formula>
    </cfRule>
  </conditionalFormatting>
  <conditionalFormatting sqref="I234 G236">
    <cfRule type="cellIs" dxfId="36" priority="4" stopIfTrue="1" operator="equal">
      <formula>"Under Dimentioned"</formula>
    </cfRule>
  </conditionalFormatting>
  <conditionalFormatting sqref="O80 M82:M84">
    <cfRule type="cellIs" dxfId="35" priority="2" stopIfTrue="1" operator="equal">
      <formula>"Under Dimentioned"</formula>
    </cfRule>
  </conditionalFormatting>
  <conditionalFormatting sqref="O161 M163">
    <cfRule type="cellIs" dxfId="34" priority="3" stopIfTrue="1" operator="equal">
      <formula>"Under Dimentioned"</formula>
    </cfRule>
  </conditionalFormatting>
  <dataValidations count="2">
    <dataValidation type="list" allowBlank="1" showInputMessage="1" showErrorMessage="1" sqref="D170 IZ165 SV165 ACR165 AMN165 AWJ165 BGF165 BQB165 BZX165 CJT165 CTP165 DDL165 DNH165 DXD165 EGZ165 EQV165 FAR165 FKN165 FUJ165 GEF165 GOB165 GXX165 HHT165 HRP165 IBL165 ILH165 IVD165 JEZ165 JOV165 JYR165 KIN165 KSJ165 LCF165 LMB165 LVX165 MFT165 MPP165 MZL165 NJH165 NTD165 OCZ165 OMV165 OWR165 PGN165 PQJ165 QAF165 QKB165 QTX165 RDT165 RNP165 RXL165 SHH165 SRD165 TAZ165 TKV165 TUR165 UEN165 UOJ165 UYF165 VIB165 VRX165 WBT165 WLP165 WVL165 D65740 IZ65735 SV65735 ACR65735 AMN65735 AWJ65735 BGF65735 BQB65735 BZX65735 CJT65735 CTP65735 DDL65735 DNH65735 DXD65735 EGZ65735 EQV65735 FAR65735 FKN65735 FUJ65735 GEF65735 GOB65735 GXX65735 HHT65735 HRP65735 IBL65735 ILH65735 IVD65735 JEZ65735 JOV65735 JYR65735 KIN65735 KSJ65735 LCF65735 LMB65735 LVX65735 MFT65735 MPP65735 MZL65735 NJH65735 NTD65735 OCZ65735 OMV65735 OWR65735 PGN65735 PQJ65735 QAF65735 QKB65735 QTX65735 RDT65735 RNP65735 RXL65735 SHH65735 SRD65735 TAZ65735 TKV65735 TUR65735 UEN65735 UOJ65735 UYF65735 VIB65735 VRX65735 WBT65735 WLP65735 WVL65735 D131276 IZ131271 SV131271 ACR131271 AMN131271 AWJ131271 BGF131271 BQB131271 BZX131271 CJT131271 CTP131271 DDL131271 DNH131271 DXD131271 EGZ131271 EQV131271 FAR131271 FKN131271 FUJ131271 GEF131271 GOB131271 GXX131271 HHT131271 HRP131271 IBL131271 ILH131271 IVD131271 JEZ131271 JOV131271 JYR131271 KIN131271 KSJ131271 LCF131271 LMB131271 LVX131271 MFT131271 MPP131271 MZL131271 NJH131271 NTD131271 OCZ131271 OMV131271 OWR131271 PGN131271 PQJ131271 QAF131271 QKB131271 QTX131271 RDT131271 RNP131271 RXL131271 SHH131271 SRD131271 TAZ131271 TKV131271 TUR131271 UEN131271 UOJ131271 UYF131271 VIB131271 VRX131271 WBT131271 WLP131271 WVL131271 D196812 IZ196807 SV196807 ACR196807 AMN196807 AWJ196807 BGF196807 BQB196807 BZX196807 CJT196807 CTP196807 DDL196807 DNH196807 DXD196807 EGZ196807 EQV196807 FAR196807 FKN196807 FUJ196807 GEF196807 GOB196807 GXX196807 HHT196807 HRP196807 IBL196807 ILH196807 IVD196807 JEZ196807 JOV196807 JYR196807 KIN196807 KSJ196807 LCF196807 LMB196807 LVX196807 MFT196807 MPP196807 MZL196807 NJH196807 NTD196807 OCZ196807 OMV196807 OWR196807 PGN196807 PQJ196807 QAF196807 QKB196807 QTX196807 RDT196807 RNP196807 RXL196807 SHH196807 SRD196807 TAZ196807 TKV196807 TUR196807 UEN196807 UOJ196807 UYF196807 VIB196807 VRX196807 WBT196807 WLP196807 WVL196807 D262348 IZ262343 SV262343 ACR262343 AMN262343 AWJ262343 BGF262343 BQB262343 BZX262343 CJT262343 CTP262343 DDL262343 DNH262343 DXD262343 EGZ262343 EQV262343 FAR262343 FKN262343 FUJ262343 GEF262343 GOB262343 GXX262343 HHT262343 HRP262343 IBL262343 ILH262343 IVD262343 JEZ262343 JOV262343 JYR262343 KIN262343 KSJ262343 LCF262343 LMB262343 LVX262343 MFT262343 MPP262343 MZL262343 NJH262343 NTD262343 OCZ262343 OMV262343 OWR262343 PGN262343 PQJ262343 QAF262343 QKB262343 QTX262343 RDT262343 RNP262343 RXL262343 SHH262343 SRD262343 TAZ262343 TKV262343 TUR262343 UEN262343 UOJ262343 UYF262343 VIB262343 VRX262343 WBT262343 WLP262343 WVL262343 D327884 IZ327879 SV327879 ACR327879 AMN327879 AWJ327879 BGF327879 BQB327879 BZX327879 CJT327879 CTP327879 DDL327879 DNH327879 DXD327879 EGZ327879 EQV327879 FAR327879 FKN327879 FUJ327879 GEF327879 GOB327879 GXX327879 HHT327879 HRP327879 IBL327879 ILH327879 IVD327879 JEZ327879 JOV327879 JYR327879 KIN327879 KSJ327879 LCF327879 LMB327879 LVX327879 MFT327879 MPP327879 MZL327879 NJH327879 NTD327879 OCZ327879 OMV327879 OWR327879 PGN327879 PQJ327879 QAF327879 QKB327879 QTX327879 RDT327879 RNP327879 RXL327879 SHH327879 SRD327879 TAZ327879 TKV327879 TUR327879 UEN327879 UOJ327879 UYF327879 VIB327879 VRX327879 WBT327879 WLP327879 WVL327879 D393420 IZ393415 SV393415 ACR393415 AMN393415 AWJ393415 BGF393415 BQB393415 BZX393415 CJT393415 CTP393415 DDL393415 DNH393415 DXD393415 EGZ393415 EQV393415 FAR393415 FKN393415 FUJ393415 GEF393415 GOB393415 GXX393415 HHT393415 HRP393415 IBL393415 ILH393415 IVD393415 JEZ393415 JOV393415 JYR393415 KIN393415 KSJ393415 LCF393415 LMB393415 LVX393415 MFT393415 MPP393415 MZL393415 NJH393415 NTD393415 OCZ393415 OMV393415 OWR393415 PGN393415 PQJ393415 QAF393415 QKB393415 QTX393415 RDT393415 RNP393415 RXL393415 SHH393415 SRD393415 TAZ393415 TKV393415 TUR393415 UEN393415 UOJ393415 UYF393415 VIB393415 VRX393415 WBT393415 WLP393415 WVL393415 D458956 IZ458951 SV458951 ACR458951 AMN458951 AWJ458951 BGF458951 BQB458951 BZX458951 CJT458951 CTP458951 DDL458951 DNH458951 DXD458951 EGZ458951 EQV458951 FAR458951 FKN458951 FUJ458951 GEF458951 GOB458951 GXX458951 HHT458951 HRP458951 IBL458951 ILH458951 IVD458951 JEZ458951 JOV458951 JYR458951 KIN458951 KSJ458951 LCF458951 LMB458951 LVX458951 MFT458951 MPP458951 MZL458951 NJH458951 NTD458951 OCZ458951 OMV458951 OWR458951 PGN458951 PQJ458951 QAF458951 QKB458951 QTX458951 RDT458951 RNP458951 RXL458951 SHH458951 SRD458951 TAZ458951 TKV458951 TUR458951 UEN458951 UOJ458951 UYF458951 VIB458951 VRX458951 WBT458951 WLP458951 WVL458951 D524492 IZ524487 SV524487 ACR524487 AMN524487 AWJ524487 BGF524487 BQB524487 BZX524487 CJT524487 CTP524487 DDL524487 DNH524487 DXD524487 EGZ524487 EQV524487 FAR524487 FKN524487 FUJ524487 GEF524487 GOB524487 GXX524487 HHT524487 HRP524487 IBL524487 ILH524487 IVD524487 JEZ524487 JOV524487 JYR524487 KIN524487 KSJ524487 LCF524487 LMB524487 LVX524487 MFT524487 MPP524487 MZL524487 NJH524487 NTD524487 OCZ524487 OMV524487 OWR524487 PGN524487 PQJ524487 QAF524487 QKB524487 QTX524487 RDT524487 RNP524487 RXL524487 SHH524487 SRD524487 TAZ524487 TKV524487 TUR524487 UEN524487 UOJ524487 UYF524487 VIB524487 VRX524487 WBT524487 WLP524487 WVL524487 D590028 IZ590023 SV590023 ACR590023 AMN590023 AWJ590023 BGF590023 BQB590023 BZX590023 CJT590023 CTP590023 DDL590023 DNH590023 DXD590023 EGZ590023 EQV590023 FAR590023 FKN590023 FUJ590023 GEF590023 GOB590023 GXX590023 HHT590023 HRP590023 IBL590023 ILH590023 IVD590023 JEZ590023 JOV590023 JYR590023 KIN590023 KSJ590023 LCF590023 LMB590023 LVX590023 MFT590023 MPP590023 MZL590023 NJH590023 NTD590023 OCZ590023 OMV590023 OWR590023 PGN590023 PQJ590023 QAF590023 QKB590023 QTX590023 RDT590023 RNP590023 RXL590023 SHH590023 SRD590023 TAZ590023 TKV590023 TUR590023 UEN590023 UOJ590023 UYF590023 VIB590023 VRX590023 WBT590023 WLP590023 WVL590023 D655564 IZ655559 SV655559 ACR655559 AMN655559 AWJ655559 BGF655559 BQB655559 BZX655559 CJT655559 CTP655559 DDL655559 DNH655559 DXD655559 EGZ655559 EQV655559 FAR655559 FKN655559 FUJ655559 GEF655559 GOB655559 GXX655559 HHT655559 HRP655559 IBL655559 ILH655559 IVD655559 JEZ655559 JOV655559 JYR655559 KIN655559 KSJ655559 LCF655559 LMB655559 LVX655559 MFT655559 MPP655559 MZL655559 NJH655559 NTD655559 OCZ655559 OMV655559 OWR655559 PGN655559 PQJ655559 QAF655559 QKB655559 QTX655559 RDT655559 RNP655559 RXL655559 SHH655559 SRD655559 TAZ655559 TKV655559 TUR655559 UEN655559 UOJ655559 UYF655559 VIB655559 VRX655559 WBT655559 WLP655559 WVL655559 D721100 IZ721095 SV721095 ACR721095 AMN721095 AWJ721095 BGF721095 BQB721095 BZX721095 CJT721095 CTP721095 DDL721095 DNH721095 DXD721095 EGZ721095 EQV721095 FAR721095 FKN721095 FUJ721095 GEF721095 GOB721095 GXX721095 HHT721095 HRP721095 IBL721095 ILH721095 IVD721095 JEZ721095 JOV721095 JYR721095 KIN721095 KSJ721095 LCF721095 LMB721095 LVX721095 MFT721095 MPP721095 MZL721095 NJH721095 NTD721095 OCZ721095 OMV721095 OWR721095 PGN721095 PQJ721095 QAF721095 QKB721095 QTX721095 RDT721095 RNP721095 RXL721095 SHH721095 SRD721095 TAZ721095 TKV721095 TUR721095 UEN721095 UOJ721095 UYF721095 VIB721095 VRX721095 WBT721095 WLP721095 WVL721095 D786636 IZ786631 SV786631 ACR786631 AMN786631 AWJ786631 BGF786631 BQB786631 BZX786631 CJT786631 CTP786631 DDL786631 DNH786631 DXD786631 EGZ786631 EQV786631 FAR786631 FKN786631 FUJ786631 GEF786631 GOB786631 GXX786631 HHT786631 HRP786631 IBL786631 ILH786631 IVD786631 JEZ786631 JOV786631 JYR786631 KIN786631 KSJ786631 LCF786631 LMB786631 LVX786631 MFT786631 MPP786631 MZL786631 NJH786631 NTD786631 OCZ786631 OMV786631 OWR786631 PGN786631 PQJ786631 QAF786631 QKB786631 QTX786631 RDT786631 RNP786631 RXL786631 SHH786631 SRD786631 TAZ786631 TKV786631 TUR786631 UEN786631 UOJ786631 UYF786631 VIB786631 VRX786631 WBT786631 WLP786631 WVL786631 D852172 IZ852167 SV852167 ACR852167 AMN852167 AWJ852167 BGF852167 BQB852167 BZX852167 CJT852167 CTP852167 DDL852167 DNH852167 DXD852167 EGZ852167 EQV852167 FAR852167 FKN852167 FUJ852167 GEF852167 GOB852167 GXX852167 HHT852167 HRP852167 IBL852167 ILH852167 IVD852167 JEZ852167 JOV852167 JYR852167 KIN852167 KSJ852167 LCF852167 LMB852167 LVX852167 MFT852167 MPP852167 MZL852167 NJH852167 NTD852167 OCZ852167 OMV852167 OWR852167 PGN852167 PQJ852167 QAF852167 QKB852167 QTX852167 RDT852167 RNP852167 RXL852167 SHH852167 SRD852167 TAZ852167 TKV852167 TUR852167 UEN852167 UOJ852167 UYF852167 VIB852167 VRX852167 WBT852167 WLP852167 WVL852167 D917708 IZ917703 SV917703 ACR917703 AMN917703 AWJ917703 BGF917703 BQB917703 BZX917703 CJT917703 CTP917703 DDL917703 DNH917703 DXD917703 EGZ917703 EQV917703 FAR917703 FKN917703 FUJ917703 GEF917703 GOB917703 GXX917703 HHT917703 HRP917703 IBL917703 ILH917703 IVD917703 JEZ917703 JOV917703 JYR917703 KIN917703 KSJ917703 LCF917703 LMB917703 LVX917703 MFT917703 MPP917703 MZL917703 NJH917703 NTD917703 OCZ917703 OMV917703 OWR917703 PGN917703 PQJ917703 QAF917703 QKB917703 QTX917703 RDT917703 RNP917703 RXL917703 SHH917703 SRD917703 TAZ917703 TKV917703 TUR917703 UEN917703 UOJ917703 UYF917703 VIB917703 VRX917703 WBT917703 WLP917703 WVL917703 D983244 IZ983239 SV983239 ACR983239 AMN983239 AWJ983239 BGF983239 BQB983239 BZX983239 CJT983239 CTP983239 DDL983239 DNH983239 DXD983239 EGZ983239 EQV983239 FAR983239 FKN983239 FUJ983239 GEF983239 GOB983239 GXX983239 HHT983239 HRP983239 IBL983239 ILH983239 IVD983239 JEZ983239 JOV983239 JYR983239 KIN983239 KSJ983239 LCF983239 LMB983239 LVX983239 MFT983239 MPP983239 MZL983239 NJH983239 NTD983239 OCZ983239 OMV983239 OWR983239 PGN983239 PQJ983239 QAF983239 QKB983239 QTX983239 RDT983239 RNP983239 RXL983239 SHH983239 SRD983239 TAZ983239 TKV983239 TUR983239 UEN983239 UOJ983239 UYF983239 VIB983239 VRX983239 WBT983239 WLP983239 WVL983239 D88 IZ83 SV83 ACR83 AMN83 AWJ83 BGF83 BQB83 BZX83 CJT83 CTP83 DDL83 DNH83 DXD83 EGZ83 EQV83 FAR83 FKN83 FUJ83 GEF83 GOB83 GXX83 HHT83 HRP83 IBL83 ILH83 IVD83 JEZ83 JOV83 JYR83 KIN83 KSJ83 LCF83 LMB83 LVX83 MFT83 MPP83 MZL83 NJH83 NTD83 OCZ83 OMV83 OWR83 PGN83 PQJ83 QAF83 QKB83 QTX83 RDT83 RNP83 RXL83 SHH83 SRD83 TAZ83 TKV83 TUR83 UEN83 UOJ83 UYF83 VIB83 VRX83 WBT83 WLP83 WVL83 D65658 IZ65653 SV65653 ACR65653 AMN65653 AWJ65653 BGF65653 BQB65653 BZX65653 CJT65653 CTP65653 DDL65653 DNH65653 DXD65653 EGZ65653 EQV65653 FAR65653 FKN65653 FUJ65653 GEF65653 GOB65653 GXX65653 HHT65653 HRP65653 IBL65653 ILH65653 IVD65653 JEZ65653 JOV65653 JYR65653 KIN65653 KSJ65653 LCF65653 LMB65653 LVX65653 MFT65653 MPP65653 MZL65653 NJH65653 NTD65653 OCZ65653 OMV65653 OWR65653 PGN65653 PQJ65653 QAF65653 QKB65653 QTX65653 RDT65653 RNP65653 RXL65653 SHH65653 SRD65653 TAZ65653 TKV65653 TUR65653 UEN65653 UOJ65653 UYF65653 VIB65653 VRX65653 WBT65653 WLP65653 WVL65653 D131194 IZ131189 SV131189 ACR131189 AMN131189 AWJ131189 BGF131189 BQB131189 BZX131189 CJT131189 CTP131189 DDL131189 DNH131189 DXD131189 EGZ131189 EQV131189 FAR131189 FKN131189 FUJ131189 GEF131189 GOB131189 GXX131189 HHT131189 HRP131189 IBL131189 ILH131189 IVD131189 JEZ131189 JOV131189 JYR131189 KIN131189 KSJ131189 LCF131189 LMB131189 LVX131189 MFT131189 MPP131189 MZL131189 NJH131189 NTD131189 OCZ131189 OMV131189 OWR131189 PGN131189 PQJ131189 QAF131189 QKB131189 QTX131189 RDT131189 RNP131189 RXL131189 SHH131189 SRD131189 TAZ131189 TKV131189 TUR131189 UEN131189 UOJ131189 UYF131189 VIB131189 VRX131189 WBT131189 WLP131189 WVL131189 D196730 IZ196725 SV196725 ACR196725 AMN196725 AWJ196725 BGF196725 BQB196725 BZX196725 CJT196725 CTP196725 DDL196725 DNH196725 DXD196725 EGZ196725 EQV196725 FAR196725 FKN196725 FUJ196725 GEF196725 GOB196725 GXX196725 HHT196725 HRP196725 IBL196725 ILH196725 IVD196725 JEZ196725 JOV196725 JYR196725 KIN196725 KSJ196725 LCF196725 LMB196725 LVX196725 MFT196725 MPP196725 MZL196725 NJH196725 NTD196725 OCZ196725 OMV196725 OWR196725 PGN196725 PQJ196725 QAF196725 QKB196725 QTX196725 RDT196725 RNP196725 RXL196725 SHH196725 SRD196725 TAZ196725 TKV196725 TUR196725 UEN196725 UOJ196725 UYF196725 VIB196725 VRX196725 WBT196725 WLP196725 WVL196725 D262266 IZ262261 SV262261 ACR262261 AMN262261 AWJ262261 BGF262261 BQB262261 BZX262261 CJT262261 CTP262261 DDL262261 DNH262261 DXD262261 EGZ262261 EQV262261 FAR262261 FKN262261 FUJ262261 GEF262261 GOB262261 GXX262261 HHT262261 HRP262261 IBL262261 ILH262261 IVD262261 JEZ262261 JOV262261 JYR262261 KIN262261 KSJ262261 LCF262261 LMB262261 LVX262261 MFT262261 MPP262261 MZL262261 NJH262261 NTD262261 OCZ262261 OMV262261 OWR262261 PGN262261 PQJ262261 QAF262261 QKB262261 QTX262261 RDT262261 RNP262261 RXL262261 SHH262261 SRD262261 TAZ262261 TKV262261 TUR262261 UEN262261 UOJ262261 UYF262261 VIB262261 VRX262261 WBT262261 WLP262261 WVL262261 D327802 IZ327797 SV327797 ACR327797 AMN327797 AWJ327797 BGF327797 BQB327797 BZX327797 CJT327797 CTP327797 DDL327797 DNH327797 DXD327797 EGZ327797 EQV327797 FAR327797 FKN327797 FUJ327797 GEF327797 GOB327797 GXX327797 HHT327797 HRP327797 IBL327797 ILH327797 IVD327797 JEZ327797 JOV327797 JYR327797 KIN327797 KSJ327797 LCF327797 LMB327797 LVX327797 MFT327797 MPP327797 MZL327797 NJH327797 NTD327797 OCZ327797 OMV327797 OWR327797 PGN327797 PQJ327797 QAF327797 QKB327797 QTX327797 RDT327797 RNP327797 RXL327797 SHH327797 SRD327797 TAZ327797 TKV327797 TUR327797 UEN327797 UOJ327797 UYF327797 VIB327797 VRX327797 WBT327797 WLP327797 WVL327797 D393338 IZ393333 SV393333 ACR393333 AMN393333 AWJ393333 BGF393333 BQB393333 BZX393333 CJT393333 CTP393333 DDL393333 DNH393333 DXD393333 EGZ393333 EQV393333 FAR393333 FKN393333 FUJ393333 GEF393333 GOB393333 GXX393333 HHT393333 HRP393333 IBL393333 ILH393333 IVD393333 JEZ393333 JOV393333 JYR393333 KIN393333 KSJ393333 LCF393333 LMB393333 LVX393333 MFT393333 MPP393333 MZL393333 NJH393333 NTD393333 OCZ393333 OMV393333 OWR393333 PGN393333 PQJ393333 QAF393333 QKB393333 QTX393333 RDT393333 RNP393333 RXL393333 SHH393333 SRD393333 TAZ393333 TKV393333 TUR393333 UEN393333 UOJ393333 UYF393333 VIB393333 VRX393333 WBT393333 WLP393333 WVL393333 D458874 IZ458869 SV458869 ACR458869 AMN458869 AWJ458869 BGF458869 BQB458869 BZX458869 CJT458869 CTP458869 DDL458869 DNH458869 DXD458869 EGZ458869 EQV458869 FAR458869 FKN458869 FUJ458869 GEF458869 GOB458869 GXX458869 HHT458869 HRP458869 IBL458869 ILH458869 IVD458869 JEZ458869 JOV458869 JYR458869 KIN458869 KSJ458869 LCF458869 LMB458869 LVX458869 MFT458869 MPP458869 MZL458869 NJH458869 NTD458869 OCZ458869 OMV458869 OWR458869 PGN458869 PQJ458869 QAF458869 QKB458869 QTX458869 RDT458869 RNP458869 RXL458869 SHH458869 SRD458869 TAZ458869 TKV458869 TUR458869 UEN458869 UOJ458869 UYF458869 VIB458869 VRX458869 WBT458869 WLP458869 WVL458869 D524410 IZ524405 SV524405 ACR524405 AMN524405 AWJ524405 BGF524405 BQB524405 BZX524405 CJT524405 CTP524405 DDL524405 DNH524405 DXD524405 EGZ524405 EQV524405 FAR524405 FKN524405 FUJ524405 GEF524405 GOB524405 GXX524405 HHT524405 HRP524405 IBL524405 ILH524405 IVD524405 JEZ524405 JOV524405 JYR524405 KIN524405 KSJ524405 LCF524405 LMB524405 LVX524405 MFT524405 MPP524405 MZL524405 NJH524405 NTD524405 OCZ524405 OMV524405 OWR524405 PGN524405 PQJ524405 QAF524405 QKB524405 QTX524405 RDT524405 RNP524405 RXL524405 SHH524405 SRD524405 TAZ524405 TKV524405 TUR524405 UEN524405 UOJ524405 UYF524405 VIB524405 VRX524405 WBT524405 WLP524405 WVL524405 D589946 IZ589941 SV589941 ACR589941 AMN589941 AWJ589941 BGF589941 BQB589941 BZX589941 CJT589941 CTP589941 DDL589941 DNH589941 DXD589941 EGZ589941 EQV589941 FAR589941 FKN589941 FUJ589941 GEF589941 GOB589941 GXX589941 HHT589941 HRP589941 IBL589941 ILH589941 IVD589941 JEZ589941 JOV589941 JYR589941 KIN589941 KSJ589941 LCF589941 LMB589941 LVX589941 MFT589941 MPP589941 MZL589941 NJH589941 NTD589941 OCZ589941 OMV589941 OWR589941 PGN589941 PQJ589941 QAF589941 QKB589941 QTX589941 RDT589941 RNP589941 RXL589941 SHH589941 SRD589941 TAZ589941 TKV589941 TUR589941 UEN589941 UOJ589941 UYF589941 VIB589941 VRX589941 WBT589941 WLP589941 WVL589941 D655482 IZ655477 SV655477 ACR655477 AMN655477 AWJ655477 BGF655477 BQB655477 BZX655477 CJT655477 CTP655477 DDL655477 DNH655477 DXD655477 EGZ655477 EQV655477 FAR655477 FKN655477 FUJ655477 GEF655477 GOB655477 GXX655477 HHT655477 HRP655477 IBL655477 ILH655477 IVD655477 JEZ655477 JOV655477 JYR655477 KIN655477 KSJ655477 LCF655477 LMB655477 LVX655477 MFT655477 MPP655477 MZL655477 NJH655477 NTD655477 OCZ655477 OMV655477 OWR655477 PGN655477 PQJ655477 QAF655477 QKB655477 QTX655477 RDT655477 RNP655477 RXL655477 SHH655477 SRD655477 TAZ655477 TKV655477 TUR655477 UEN655477 UOJ655477 UYF655477 VIB655477 VRX655477 WBT655477 WLP655477 WVL655477 D721018 IZ721013 SV721013 ACR721013 AMN721013 AWJ721013 BGF721013 BQB721013 BZX721013 CJT721013 CTP721013 DDL721013 DNH721013 DXD721013 EGZ721013 EQV721013 FAR721013 FKN721013 FUJ721013 GEF721013 GOB721013 GXX721013 HHT721013 HRP721013 IBL721013 ILH721013 IVD721013 JEZ721013 JOV721013 JYR721013 KIN721013 KSJ721013 LCF721013 LMB721013 LVX721013 MFT721013 MPP721013 MZL721013 NJH721013 NTD721013 OCZ721013 OMV721013 OWR721013 PGN721013 PQJ721013 QAF721013 QKB721013 QTX721013 RDT721013 RNP721013 RXL721013 SHH721013 SRD721013 TAZ721013 TKV721013 TUR721013 UEN721013 UOJ721013 UYF721013 VIB721013 VRX721013 WBT721013 WLP721013 WVL721013 D786554 IZ786549 SV786549 ACR786549 AMN786549 AWJ786549 BGF786549 BQB786549 BZX786549 CJT786549 CTP786549 DDL786549 DNH786549 DXD786549 EGZ786549 EQV786549 FAR786549 FKN786549 FUJ786549 GEF786549 GOB786549 GXX786549 HHT786549 HRP786549 IBL786549 ILH786549 IVD786549 JEZ786549 JOV786549 JYR786549 KIN786549 KSJ786549 LCF786549 LMB786549 LVX786549 MFT786549 MPP786549 MZL786549 NJH786549 NTD786549 OCZ786549 OMV786549 OWR786549 PGN786549 PQJ786549 QAF786549 QKB786549 QTX786549 RDT786549 RNP786549 RXL786549 SHH786549 SRD786549 TAZ786549 TKV786549 TUR786549 UEN786549 UOJ786549 UYF786549 VIB786549 VRX786549 WBT786549 WLP786549 WVL786549 D852090 IZ852085 SV852085 ACR852085 AMN852085 AWJ852085 BGF852085 BQB852085 BZX852085 CJT852085 CTP852085 DDL852085 DNH852085 DXD852085 EGZ852085 EQV852085 FAR852085 FKN852085 FUJ852085 GEF852085 GOB852085 GXX852085 HHT852085 HRP852085 IBL852085 ILH852085 IVD852085 JEZ852085 JOV852085 JYR852085 KIN852085 KSJ852085 LCF852085 LMB852085 LVX852085 MFT852085 MPP852085 MZL852085 NJH852085 NTD852085 OCZ852085 OMV852085 OWR852085 PGN852085 PQJ852085 QAF852085 QKB852085 QTX852085 RDT852085 RNP852085 RXL852085 SHH852085 SRD852085 TAZ852085 TKV852085 TUR852085 UEN852085 UOJ852085 UYF852085 VIB852085 VRX852085 WBT852085 WLP852085 WVL852085 D917626 IZ917621 SV917621 ACR917621 AMN917621 AWJ917621 BGF917621 BQB917621 BZX917621 CJT917621 CTP917621 DDL917621 DNH917621 DXD917621 EGZ917621 EQV917621 FAR917621 FKN917621 FUJ917621 GEF917621 GOB917621 GXX917621 HHT917621 HRP917621 IBL917621 ILH917621 IVD917621 JEZ917621 JOV917621 JYR917621 KIN917621 KSJ917621 LCF917621 LMB917621 LVX917621 MFT917621 MPP917621 MZL917621 NJH917621 NTD917621 OCZ917621 OMV917621 OWR917621 PGN917621 PQJ917621 QAF917621 QKB917621 QTX917621 RDT917621 RNP917621 RXL917621 SHH917621 SRD917621 TAZ917621 TKV917621 TUR917621 UEN917621 UOJ917621 UYF917621 VIB917621 VRX917621 WBT917621 WLP917621 WVL917621 D983162 IZ983157 SV983157 ACR983157 AMN983157 AWJ983157 BGF983157 BQB983157 BZX983157 CJT983157 CTP983157 DDL983157 DNH983157 DXD983157 EGZ983157 EQV983157 FAR983157 FKN983157 FUJ983157 GEF983157 GOB983157 GXX983157 HHT983157 HRP983157 IBL983157 ILH983157 IVD983157 JEZ983157 JOV983157 JYR983157 KIN983157 KSJ983157 LCF983157 LMB983157 LVX983157 MFT983157 MPP983157 MZL983157 NJH983157 NTD983157 OCZ983157 OMV983157 OWR983157 PGN983157 PQJ983157 QAF983157 QKB983157 QTX983157 RDT983157 RNP983157 RXL983157 SHH983157 SRD983157 TAZ983157 TKV983157 TUR983157 UEN983157 UOJ983157 UYF983157 VIB983157 VRX983157 WBT983157 WLP983157 WVL983157" xr:uid="{56F4741F-BE97-454C-B345-E166394BB40C}">
      <formula1>"Core1,Core2,Core3"</formula1>
    </dataValidation>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75:E65575 IZ65570:JA65570 SV65570:SW65570 ACR65570:ACS65570 AMN65570:AMO65570 AWJ65570:AWK65570 BGF65570:BGG65570 BQB65570:BQC65570 BZX65570:BZY65570 CJT65570:CJU65570 CTP65570:CTQ65570 DDL65570:DDM65570 DNH65570:DNI65570 DXD65570:DXE65570 EGZ65570:EHA65570 EQV65570:EQW65570 FAR65570:FAS65570 FKN65570:FKO65570 FUJ65570:FUK65570 GEF65570:GEG65570 GOB65570:GOC65570 GXX65570:GXY65570 HHT65570:HHU65570 HRP65570:HRQ65570 IBL65570:IBM65570 ILH65570:ILI65570 IVD65570:IVE65570 JEZ65570:JFA65570 JOV65570:JOW65570 JYR65570:JYS65570 KIN65570:KIO65570 KSJ65570:KSK65570 LCF65570:LCG65570 LMB65570:LMC65570 LVX65570:LVY65570 MFT65570:MFU65570 MPP65570:MPQ65570 MZL65570:MZM65570 NJH65570:NJI65570 NTD65570:NTE65570 OCZ65570:ODA65570 OMV65570:OMW65570 OWR65570:OWS65570 PGN65570:PGO65570 PQJ65570:PQK65570 QAF65570:QAG65570 QKB65570:QKC65570 QTX65570:QTY65570 RDT65570:RDU65570 RNP65570:RNQ65570 RXL65570:RXM65570 SHH65570:SHI65570 SRD65570:SRE65570 TAZ65570:TBA65570 TKV65570:TKW65570 TUR65570:TUS65570 UEN65570:UEO65570 UOJ65570:UOK65570 UYF65570:UYG65570 VIB65570:VIC65570 VRX65570:VRY65570 WBT65570:WBU65570 WLP65570:WLQ65570 WVL65570:WVM65570 D131111:E131111 IZ131106:JA131106 SV131106:SW131106 ACR131106:ACS131106 AMN131106:AMO131106 AWJ131106:AWK131106 BGF131106:BGG131106 BQB131106:BQC131106 BZX131106:BZY131106 CJT131106:CJU131106 CTP131106:CTQ131106 DDL131106:DDM131106 DNH131106:DNI131106 DXD131106:DXE131106 EGZ131106:EHA131106 EQV131106:EQW131106 FAR131106:FAS131106 FKN131106:FKO131106 FUJ131106:FUK131106 GEF131106:GEG131106 GOB131106:GOC131106 GXX131106:GXY131106 HHT131106:HHU131106 HRP131106:HRQ131106 IBL131106:IBM131106 ILH131106:ILI131106 IVD131106:IVE131106 JEZ131106:JFA131106 JOV131106:JOW131106 JYR131106:JYS131106 KIN131106:KIO131106 KSJ131106:KSK131106 LCF131106:LCG131106 LMB131106:LMC131106 LVX131106:LVY131106 MFT131106:MFU131106 MPP131106:MPQ131106 MZL131106:MZM131106 NJH131106:NJI131106 NTD131106:NTE131106 OCZ131106:ODA131106 OMV131106:OMW131106 OWR131106:OWS131106 PGN131106:PGO131106 PQJ131106:PQK131106 QAF131106:QAG131106 QKB131106:QKC131106 QTX131106:QTY131106 RDT131106:RDU131106 RNP131106:RNQ131106 RXL131106:RXM131106 SHH131106:SHI131106 SRD131106:SRE131106 TAZ131106:TBA131106 TKV131106:TKW131106 TUR131106:TUS131106 UEN131106:UEO131106 UOJ131106:UOK131106 UYF131106:UYG131106 VIB131106:VIC131106 VRX131106:VRY131106 WBT131106:WBU131106 WLP131106:WLQ131106 WVL131106:WVM131106 D196647:E196647 IZ196642:JA196642 SV196642:SW196642 ACR196642:ACS196642 AMN196642:AMO196642 AWJ196642:AWK196642 BGF196642:BGG196642 BQB196642:BQC196642 BZX196642:BZY196642 CJT196642:CJU196642 CTP196642:CTQ196642 DDL196642:DDM196642 DNH196642:DNI196642 DXD196642:DXE196642 EGZ196642:EHA196642 EQV196642:EQW196642 FAR196642:FAS196642 FKN196642:FKO196642 FUJ196642:FUK196642 GEF196642:GEG196642 GOB196642:GOC196642 GXX196642:GXY196642 HHT196642:HHU196642 HRP196642:HRQ196642 IBL196642:IBM196642 ILH196642:ILI196642 IVD196642:IVE196642 JEZ196642:JFA196642 JOV196642:JOW196642 JYR196642:JYS196642 KIN196642:KIO196642 KSJ196642:KSK196642 LCF196642:LCG196642 LMB196642:LMC196642 LVX196642:LVY196642 MFT196642:MFU196642 MPP196642:MPQ196642 MZL196642:MZM196642 NJH196642:NJI196642 NTD196642:NTE196642 OCZ196642:ODA196642 OMV196642:OMW196642 OWR196642:OWS196642 PGN196642:PGO196642 PQJ196642:PQK196642 QAF196642:QAG196642 QKB196642:QKC196642 QTX196642:QTY196642 RDT196642:RDU196642 RNP196642:RNQ196642 RXL196642:RXM196642 SHH196642:SHI196642 SRD196642:SRE196642 TAZ196642:TBA196642 TKV196642:TKW196642 TUR196642:TUS196642 UEN196642:UEO196642 UOJ196642:UOK196642 UYF196642:UYG196642 VIB196642:VIC196642 VRX196642:VRY196642 WBT196642:WBU196642 WLP196642:WLQ196642 WVL196642:WVM196642 D262183:E262183 IZ262178:JA262178 SV262178:SW262178 ACR262178:ACS262178 AMN262178:AMO262178 AWJ262178:AWK262178 BGF262178:BGG262178 BQB262178:BQC262178 BZX262178:BZY262178 CJT262178:CJU262178 CTP262178:CTQ262178 DDL262178:DDM262178 DNH262178:DNI262178 DXD262178:DXE262178 EGZ262178:EHA262178 EQV262178:EQW262178 FAR262178:FAS262178 FKN262178:FKO262178 FUJ262178:FUK262178 GEF262178:GEG262178 GOB262178:GOC262178 GXX262178:GXY262178 HHT262178:HHU262178 HRP262178:HRQ262178 IBL262178:IBM262178 ILH262178:ILI262178 IVD262178:IVE262178 JEZ262178:JFA262178 JOV262178:JOW262178 JYR262178:JYS262178 KIN262178:KIO262178 KSJ262178:KSK262178 LCF262178:LCG262178 LMB262178:LMC262178 LVX262178:LVY262178 MFT262178:MFU262178 MPP262178:MPQ262178 MZL262178:MZM262178 NJH262178:NJI262178 NTD262178:NTE262178 OCZ262178:ODA262178 OMV262178:OMW262178 OWR262178:OWS262178 PGN262178:PGO262178 PQJ262178:PQK262178 QAF262178:QAG262178 QKB262178:QKC262178 QTX262178:QTY262178 RDT262178:RDU262178 RNP262178:RNQ262178 RXL262178:RXM262178 SHH262178:SHI262178 SRD262178:SRE262178 TAZ262178:TBA262178 TKV262178:TKW262178 TUR262178:TUS262178 UEN262178:UEO262178 UOJ262178:UOK262178 UYF262178:UYG262178 VIB262178:VIC262178 VRX262178:VRY262178 WBT262178:WBU262178 WLP262178:WLQ262178 WVL262178:WVM262178 D327719:E327719 IZ327714:JA327714 SV327714:SW327714 ACR327714:ACS327714 AMN327714:AMO327714 AWJ327714:AWK327714 BGF327714:BGG327714 BQB327714:BQC327714 BZX327714:BZY327714 CJT327714:CJU327714 CTP327714:CTQ327714 DDL327714:DDM327714 DNH327714:DNI327714 DXD327714:DXE327714 EGZ327714:EHA327714 EQV327714:EQW327714 FAR327714:FAS327714 FKN327714:FKO327714 FUJ327714:FUK327714 GEF327714:GEG327714 GOB327714:GOC327714 GXX327714:GXY327714 HHT327714:HHU327714 HRP327714:HRQ327714 IBL327714:IBM327714 ILH327714:ILI327714 IVD327714:IVE327714 JEZ327714:JFA327714 JOV327714:JOW327714 JYR327714:JYS327714 KIN327714:KIO327714 KSJ327714:KSK327714 LCF327714:LCG327714 LMB327714:LMC327714 LVX327714:LVY327714 MFT327714:MFU327714 MPP327714:MPQ327714 MZL327714:MZM327714 NJH327714:NJI327714 NTD327714:NTE327714 OCZ327714:ODA327714 OMV327714:OMW327714 OWR327714:OWS327714 PGN327714:PGO327714 PQJ327714:PQK327714 QAF327714:QAG327714 QKB327714:QKC327714 QTX327714:QTY327714 RDT327714:RDU327714 RNP327714:RNQ327714 RXL327714:RXM327714 SHH327714:SHI327714 SRD327714:SRE327714 TAZ327714:TBA327714 TKV327714:TKW327714 TUR327714:TUS327714 UEN327714:UEO327714 UOJ327714:UOK327714 UYF327714:UYG327714 VIB327714:VIC327714 VRX327714:VRY327714 WBT327714:WBU327714 WLP327714:WLQ327714 WVL327714:WVM327714 D393255:E393255 IZ393250:JA393250 SV393250:SW393250 ACR393250:ACS393250 AMN393250:AMO393250 AWJ393250:AWK393250 BGF393250:BGG393250 BQB393250:BQC393250 BZX393250:BZY393250 CJT393250:CJU393250 CTP393250:CTQ393250 DDL393250:DDM393250 DNH393250:DNI393250 DXD393250:DXE393250 EGZ393250:EHA393250 EQV393250:EQW393250 FAR393250:FAS393250 FKN393250:FKO393250 FUJ393250:FUK393250 GEF393250:GEG393250 GOB393250:GOC393250 GXX393250:GXY393250 HHT393250:HHU393250 HRP393250:HRQ393250 IBL393250:IBM393250 ILH393250:ILI393250 IVD393250:IVE393250 JEZ393250:JFA393250 JOV393250:JOW393250 JYR393250:JYS393250 KIN393250:KIO393250 KSJ393250:KSK393250 LCF393250:LCG393250 LMB393250:LMC393250 LVX393250:LVY393250 MFT393250:MFU393250 MPP393250:MPQ393250 MZL393250:MZM393250 NJH393250:NJI393250 NTD393250:NTE393250 OCZ393250:ODA393250 OMV393250:OMW393250 OWR393250:OWS393250 PGN393250:PGO393250 PQJ393250:PQK393250 QAF393250:QAG393250 QKB393250:QKC393250 QTX393250:QTY393250 RDT393250:RDU393250 RNP393250:RNQ393250 RXL393250:RXM393250 SHH393250:SHI393250 SRD393250:SRE393250 TAZ393250:TBA393250 TKV393250:TKW393250 TUR393250:TUS393250 UEN393250:UEO393250 UOJ393250:UOK393250 UYF393250:UYG393250 VIB393250:VIC393250 VRX393250:VRY393250 WBT393250:WBU393250 WLP393250:WLQ393250 WVL393250:WVM393250 D458791:E458791 IZ458786:JA458786 SV458786:SW458786 ACR458786:ACS458786 AMN458786:AMO458786 AWJ458786:AWK458786 BGF458786:BGG458786 BQB458786:BQC458786 BZX458786:BZY458786 CJT458786:CJU458786 CTP458786:CTQ458786 DDL458786:DDM458786 DNH458786:DNI458786 DXD458786:DXE458786 EGZ458786:EHA458786 EQV458786:EQW458786 FAR458786:FAS458786 FKN458786:FKO458786 FUJ458786:FUK458786 GEF458786:GEG458786 GOB458786:GOC458786 GXX458786:GXY458786 HHT458786:HHU458786 HRP458786:HRQ458786 IBL458786:IBM458786 ILH458786:ILI458786 IVD458786:IVE458786 JEZ458786:JFA458786 JOV458786:JOW458786 JYR458786:JYS458786 KIN458786:KIO458786 KSJ458786:KSK458786 LCF458786:LCG458786 LMB458786:LMC458786 LVX458786:LVY458786 MFT458786:MFU458786 MPP458786:MPQ458786 MZL458786:MZM458786 NJH458786:NJI458786 NTD458786:NTE458786 OCZ458786:ODA458786 OMV458786:OMW458786 OWR458786:OWS458786 PGN458786:PGO458786 PQJ458786:PQK458786 QAF458786:QAG458786 QKB458786:QKC458786 QTX458786:QTY458786 RDT458786:RDU458786 RNP458786:RNQ458786 RXL458786:RXM458786 SHH458786:SHI458786 SRD458786:SRE458786 TAZ458786:TBA458786 TKV458786:TKW458786 TUR458786:TUS458786 UEN458786:UEO458786 UOJ458786:UOK458786 UYF458786:UYG458786 VIB458786:VIC458786 VRX458786:VRY458786 WBT458786:WBU458786 WLP458786:WLQ458786 WVL458786:WVM458786 D524327:E524327 IZ524322:JA524322 SV524322:SW524322 ACR524322:ACS524322 AMN524322:AMO524322 AWJ524322:AWK524322 BGF524322:BGG524322 BQB524322:BQC524322 BZX524322:BZY524322 CJT524322:CJU524322 CTP524322:CTQ524322 DDL524322:DDM524322 DNH524322:DNI524322 DXD524322:DXE524322 EGZ524322:EHA524322 EQV524322:EQW524322 FAR524322:FAS524322 FKN524322:FKO524322 FUJ524322:FUK524322 GEF524322:GEG524322 GOB524322:GOC524322 GXX524322:GXY524322 HHT524322:HHU524322 HRP524322:HRQ524322 IBL524322:IBM524322 ILH524322:ILI524322 IVD524322:IVE524322 JEZ524322:JFA524322 JOV524322:JOW524322 JYR524322:JYS524322 KIN524322:KIO524322 KSJ524322:KSK524322 LCF524322:LCG524322 LMB524322:LMC524322 LVX524322:LVY524322 MFT524322:MFU524322 MPP524322:MPQ524322 MZL524322:MZM524322 NJH524322:NJI524322 NTD524322:NTE524322 OCZ524322:ODA524322 OMV524322:OMW524322 OWR524322:OWS524322 PGN524322:PGO524322 PQJ524322:PQK524322 QAF524322:QAG524322 QKB524322:QKC524322 QTX524322:QTY524322 RDT524322:RDU524322 RNP524322:RNQ524322 RXL524322:RXM524322 SHH524322:SHI524322 SRD524322:SRE524322 TAZ524322:TBA524322 TKV524322:TKW524322 TUR524322:TUS524322 UEN524322:UEO524322 UOJ524322:UOK524322 UYF524322:UYG524322 VIB524322:VIC524322 VRX524322:VRY524322 WBT524322:WBU524322 WLP524322:WLQ524322 WVL524322:WVM524322 D589863:E589863 IZ589858:JA589858 SV589858:SW589858 ACR589858:ACS589858 AMN589858:AMO589858 AWJ589858:AWK589858 BGF589858:BGG589858 BQB589858:BQC589858 BZX589858:BZY589858 CJT589858:CJU589858 CTP589858:CTQ589858 DDL589858:DDM589858 DNH589858:DNI589858 DXD589858:DXE589858 EGZ589858:EHA589858 EQV589858:EQW589858 FAR589858:FAS589858 FKN589858:FKO589858 FUJ589858:FUK589858 GEF589858:GEG589858 GOB589858:GOC589858 GXX589858:GXY589858 HHT589858:HHU589858 HRP589858:HRQ589858 IBL589858:IBM589858 ILH589858:ILI589858 IVD589858:IVE589858 JEZ589858:JFA589858 JOV589858:JOW589858 JYR589858:JYS589858 KIN589858:KIO589858 KSJ589858:KSK589858 LCF589858:LCG589858 LMB589858:LMC589858 LVX589858:LVY589858 MFT589858:MFU589858 MPP589858:MPQ589858 MZL589858:MZM589858 NJH589858:NJI589858 NTD589858:NTE589858 OCZ589858:ODA589858 OMV589858:OMW589858 OWR589858:OWS589858 PGN589858:PGO589858 PQJ589858:PQK589858 QAF589858:QAG589858 QKB589858:QKC589858 QTX589858:QTY589858 RDT589858:RDU589858 RNP589858:RNQ589858 RXL589858:RXM589858 SHH589858:SHI589858 SRD589858:SRE589858 TAZ589858:TBA589858 TKV589858:TKW589858 TUR589858:TUS589858 UEN589858:UEO589858 UOJ589858:UOK589858 UYF589858:UYG589858 VIB589858:VIC589858 VRX589858:VRY589858 WBT589858:WBU589858 WLP589858:WLQ589858 WVL589858:WVM589858 D655399:E655399 IZ655394:JA655394 SV655394:SW655394 ACR655394:ACS655394 AMN655394:AMO655394 AWJ655394:AWK655394 BGF655394:BGG655394 BQB655394:BQC655394 BZX655394:BZY655394 CJT655394:CJU655394 CTP655394:CTQ655394 DDL655394:DDM655394 DNH655394:DNI655394 DXD655394:DXE655394 EGZ655394:EHA655394 EQV655394:EQW655394 FAR655394:FAS655394 FKN655394:FKO655394 FUJ655394:FUK655394 GEF655394:GEG655394 GOB655394:GOC655394 GXX655394:GXY655394 HHT655394:HHU655394 HRP655394:HRQ655394 IBL655394:IBM655394 ILH655394:ILI655394 IVD655394:IVE655394 JEZ655394:JFA655394 JOV655394:JOW655394 JYR655394:JYS655394 KIN655394:KIO655394 KSJ655394:KSK655394 LCF655394:LCG655394 LMB655394:LMC655394 LVX655394:LVY655394 MFT655394:MFU655394 MPP655394:MPQ655394 MZL655394:MZM655394 NJH655394:NJI655394 NTD655394:NTE655394 OCZ655394:ODA655394 OMV655394:OMW655394 OWR655394:OWS655394 PGN655394:PGO655394 PQJ655394:PQK655394 QAF655394:QAG655394 QKB655394:QKC655394 QTX655394:QTY655394 RDT655394:RDU655394 RNP655394:RNQ655394 RXL655394:RXM655394 SHH655394:SHI655394 SRD655394:SRE655394 TAZ655394:TBA655394 TKV655394:TKW655394 TUR655394:TUS655394 UEN655394:UEO655394 UOJ655394:UOK655394 UYF655394:UYG655394 VIB655394:VIC655394 VRX655394:VRY655394 WBT655394:WBU655394 WLP655394:WLQ655394 WVL655394:WVM655394 D720935:E720935 IZ720930:JA720930 SV720930:SW720930 ACR720930:ACS720930 AMN720930:AMO720930 AWJ720930:AWK720930 BGF720930:BGG720930 BQB720930:BQC720930 BZX720930:BZY720930 CJT720930:CJU720930 CTP720930:CTQ720930 DDL720930:DDM720930 DNH720930:DNI720930 DXD720930:DXE720930 EGZ720930:EHA720930 EQV720930:EQW720930 FAR720930:FAS720930 FKN720930:FKO720930 FUJ720930:FUK720930 GEF720930:GEG720930 GOB720930:GOC720930 GXX720930:GXY720930 HHT720930:HHU720930 HRP720930:HRQ720930 IBL720930:IBM720930 ILH720930:ILI720930 IVD720930:IVE720930 JEZ720930:JFA720930 JOV720930:JOW720930 JYR720930:JYS720930 KIN720930:KIO720930 KSJ720930:KSK720930 LCF720930:LCG720930 LMB720930:LMC720930 LVX720930:LVY720930 MFT720930:MFU720930 MPP720930:MPQ720930 MZL720930:MZM720930 NJH720930:NJI720930 NTD720930:NTE720930 OCZ720930:ODA720930 OMV720930:OMW720930 OWR720930:OWS720930 PGN720930:PGO720930 PQJ720930:PQK720930 QAF720930:QAG720930 QKB720930:QKC720930 QTX720930:QTY720930 RDT720930:RDU720930 RNP720930:RNQ720930 RXL720930:RXM720930 SHH720930:SHI720930 SRD720930:SRE720930 TAZ720930:TBA720930 TKV720930:TKW720930 TUR720930:TUS720930 UEN720930:UEO720930 UOJ720930:UOK720930 UYF720930:UYG720930 VIB720930:VIC720930 VRX720930:VRY720930 WBT720930:WBU720930 WLP720930:WLQ720930 WVL720930:WVM720930 D786471:E786471 IZ786466:JA786466 SV786466:SW786466 ACR786466:ACS786466 AMN786466:AMO786466 AWJ786466:AWK786466 BGF786466:BGG786466 BQB786466:BQC786466 BZX786466:BZY786466 CJT786466:CJU786466 CTP786466:CTQ786466 DDL786466:DDM786466 DNH786466:DNI786466 DXD786466:DXE786466 EGZ786466:EHA786466 EQV786466:EQW786466 FAR786466:FAS786466 FKN786466:FKO786466 FUJ786466:FUK786466 GEF786466:GEG786466 GOB786466:GOC786466 GXX786466:GXY786466 HHT786466:HHU786466 HRP786466:HRQ786466 IBL786466:IBM786466 ILH786466:ILI786466 IVD786466:IVE786466 JEZ786466:JFA786466 JOV786466:JOW786466 JYR786466:JYS786466 KIN786466:KIO786466 KSJ786466:KSK786466 LCF786466:LCG786466 LMB786466:LMC786466 LVX786466:LVY786466 MFT786466:MFU786466 MPP786466:MPQ786466 MZL786466:MZM786466 NJH786466:NJI786466 NTD786466:NTE786466 OCZ786466:ODA786466 OMV786466:OMW786466 OWR786466:OWS786466 PGN786466:PGO786466 PQJ786466:PQK786466 QAF786466:QAG786466 QKB786466:QKC786466 QTX786466:QTY786466 RDT786466:RDU786466 RNP786466:RNQ786466 RXL786466:RXM786466 SHH786466:SHI786466 SRD786466:SRE786466 TAZ786466:TBA786466 TKV786466:TKW786466 TUR786466:TUS786466 UEN786466:UEO786466 UOJ786466:UOK786466 UYF786466:UYG786466 VIB786466:VIC786466 VRX786466:VRY786466 WBT786466:WBU786466 WLP786466:WLQ786466 WVL786466:WVM786466 D852007:E852007 IZ852002:JA852002 SV852002:SW852002 ACR852002:ACS852002 AMN852002:AMO852002 AWJ852002:AWK852002 BGF852002:BGG852002 BQB852002:BQC852002 BZX852002:BZY852002 CJT852002:CJU852002 CTP852002:CTQ852002 DDL852002:DDM852002 DNH852002:DNI852002 DXD852002:DXE852002 EGZ852002:EHA852002 EQV852002:EQW852002 FAR852002:FAS852002 FKN852002:FKO852002 FUJ852002:FUK852002 GEF852002:GEG852002 GOB852002:GOC852002 GXX852002:GXY852002 HHT852002:HHU852002 HRP852002:HRQ852002 IBL852002:IBM852002 ILH852002:ILI852002 IVD852002:IVE852002 JEZ852002:JFA852002 JOV852002:JOW852002 JYR852002:JYS852002 KIN852002:KIO852002 KSJ852002:KSK852002 LCF852002:LCG852002 LMB852002:LMC852002 LVX852002:LVY852002 MFT852002:MFU852002 MPP852002:MPQ852002 MZL852002:MZM852002 NJH852002:NJI852002 NTD852002:NTE852002 OCZ852002:ODA852002 OMV852002:OMW852002 OWR852002:OWS852002 PGN852002:PGO852002 PQJ852002:PQK852002 QAF852002:QAG852002 QKB852002:QKC852002 QTX852002:QTY852002 RDT852002:RDU852002 RNP852002:RNQ852002 RXL852002:RXM852002 SHH852002:SHI852002 SRD852002:SRE852002 TAZ852002:TBA852002 TKV852002:TKW852002 TUR852002:TUS852002 UEN852002:UEO852002 UOJ852002:UOK852002 UYF852002:UYG852002 VIB852002:VIC852002 VRX852002:VRY852002 WBT852002:WBU852002 WLP852002:WLQ852002 WVL852002:WVM852002 D917543:E917543 IZ917538:JA917538 SV917538:SW917538 ACR917538:ACS917538 AMN917538:AMO917538 AWJ917538:AWK917538 BGF917538:BGG917538 BQB917538:BQC917538 BZX917538:BZY917538 CJT917538:CJU917538 CTP917538:CTQ917538 DDL917538:DDM917538 DNH917538:DNI917538 DXD917538:DXE917538 EGZ917538:EHA917538 EQV917538:EQW917538 FAR917538:FAS917538 FKN917538:FKO917538 FUJ917538:FUK917538 GEF917538:GEG917538 GOB917538:GOC917538 GXX917538:GXY917538 HHT917538:HHU917538 HRP917538:HRQ917538 IBL917538:IBM917538 ILH917538:ILI917538 IVD917538:IVE917538 JEZ917538:JFA917538 JOV917538:JOW917538 JYR917538:JYS917538 KIN917538:KIO917538 KSJ917538:KSK917538 LCF917538:LCG917538 LMB917538:LMC917538 LVX917538:LVY917538 MFT917538:MFU917538 MPP917538:MPQ917538 MZL917538:MZM917538 NJH917538:NJI917538 NTD917538:NTE917538 OCZ917538:ODA917538 OMV917538:OMW917538 OWR917538:OWS917538 PGN917538:PGO917538 PQJ917538:PQK917538 QAF917538:QAG917538 QKB917538:QKC917538 QTX917538:QTY917538 RDT917538:RDU917538 RNP917538:RNQ917538 RXL917538:RXM917538 SHH917538:SHI917538 SRD917538:SRE917538 TAZ917538:TBA917538 TKV917538:TKW917538 TUR917538:TUS917538 UEN917538:UEO917538 UOJ917538:UOK917538 UYF917538:UYG917538 VIB917538:VIC917538 VRX917538:VRY917538 WBT917538:WBU917538 WLP917538:WLQ917538 WVL917538:WVM917538 D983079:E983079 IZ983074:JA983074 SV983074:SW983074 ACR983074:ACS983074 AMN983074:AMO983074 AWJ983074:AWK983074 BGF983074:BGG983074 BQB983074:BQC983074 BZX983074:BZY983074 CJT983074:CJU983074 CTP983074:CTQ983074 DDL983074:DDM983074 DNH983074:DNI983074 DXD983074:DXE983074 EGZ983074:EHA983074 EQV983074:EQW983074 FAR983074:FAS983074 FKN983074:FKO983074 FUJ983074:FUK983074 GEF983074:GEG983074 GOB983074:GOC983074 GXX983074:GXY983074 HHT983074:HHU983074 HRP983074:HRQ983074 IBL983074:IBM983074 ILH983074:ILI983074 IVD983074:IVE983074 JEZ983074:JFA983074 JOV983074:JOW983074 JYR983074:JYS983074 KIN983074:KIO983074 KSJ983074:KSK983074 LCF983074:LCG983074 LMB983074:LMC983074 LVX983074:LVY983074 MFT983074:MFU983074 MPP983074:MPQ983074 MZL983074:MZM983074 NJH983074:NJI983074 NTD983074:NTE983074 OCZ983074:ODA983074 OMV983074:OMW983074 OWR983074:OWS983074 PGN983074:PGO983074 PQJ983074:PQK983074 QAF983074:QAG983074 QKB983074:QKC983074 QTX983074:QTY983074 RDT983074:RDU983074 RNP983074:RNQ983074 RXL983074:RXM983074 SHH983074:SHI983074 SRD983074:SRE983074 TAZ983074:TBA983074 TKV983074:TKW983074 TUR983074:TUS983074 UEN983074:UEO983074 UOJ983074:UOK983074 UYF983074:UYG983074 VIB983074:VIC983074 VRX983074:VRY983074 WBT983074:WBU983074 WLP983074:WLQ983074 WVL983074:WVM983074" xr:uid="{DC01C953-A774-4E99-8BB0-F37C136921F9}">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3" manualBreakCount="3">
    <brk id="45" max="21" man="1"/>
    <brk id="253" max="21" man="1"/>
    <brk id="290" max="21" man="1"/>
  </row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4AFFA-2874-425E-9580-CC8D700252ED}">
  <sheetPr>
    <tabColor indexed="62"/>
  </sheetPr>
  <dimension ref="A1:Y308"/>
  <sheetViews>
    <sheetView showZeros="0" view="pageBreakPreview" topLeftCell="A19" zoomScale="130" zoomScaleNormal="100" zoomScaleSheetLayoutView="130" workbookViewId="0">
      <selection activeCell="E43" sqref="E43:F4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717" t="s">
        <v>0</v>
      </c>
      <c r="B1" s="718"/>
      <c r="C1" s="718"/>
      <c r="D1" s="718"/>
      <c r="E1" s="718"/>
      <c r="F1" s="718"/>
      <c r="G1" s="719"/>
      <c r="H1" s="726" t="str">
        <f>[4]Title!H1</f>
        <v>CT / VT</v>
      </c>
      <c r="I1" s="727"/>
      <c r="J1" s="727"/>
      <c r="K1" s="727"/>
      <c r="L1" s="727"/>
      <c r="M1" s="727"/>
      <c r="N1" s="728"/>
      <c r="O1" s="702" t="str">
        <f>[4]Title!O1</f>
        <v>Contract No.</v>
      </c>
      <c r="P1" s="703"/>
      <c r="Q1" s="704"/>
      <c r="R1" s="705" t="str">
        <f>[4]Title!R1</f>
        <v>N-19957.1-DF5W</v>
      </c>
      <c r="S1" s="706"/>
      <c r="T1" s="706"/>
      <c r="U1" s="706"/>
      <c r="V1" s="707"/>
      <c r="W1" s="14"/>
      <c r="X1" s="14"/>
    </row>
    <row r="2" spans="1:24" ht="18" customHeight="1">
      <c r="A2" s="720"/>
      <c r="B2" s="721"/>
      <c r="C2" s="721"/>
      <c r="D2" s="721"/>
      <c r="E2" s="721"/>
      <c r="F2" s="721"/>
      <c r="G2" s="722"/>
      <c r="H2" s="729" t="str">
        <f>[4]Title!H2</f>
        <v>ADEQUACY CHECK</v>
      </c>
      <c r="I2" s="730"/>
      <c r="J2" s="730"/>
      <c r="K2" s="730"/>
      <c r="L2" s="730"/>
      <c r="M2" s="730"/>
      <c r="N2" s="731"/>
      <c r="O2" s="702" t="str">
        <f>[4]Title!O2</f>
        <v>Date</v>
      </c>
      <c r="P2" s="703"/>
      <c r="Q2" s="704"/>
      <c r="R2" s="732">
        <f>[4]Title!R2</f>
        <v>45925</v>
      </c>
      <c r="S2" s="706"/>
      <c r="T2" s="706"/>
      <c r="U2" s="706"/>
      <c r="V2" s="707"/>
      <c r="W2" s="14"/>
      <c r="X2" s="14"/>
    </row>
    <row r="3" spans="1:24" ht="18" customHeight="1">
      <c r="A3" s="720"/>
      <c r="B3" s="721"/>
      <c r="C3" s="721"/>
      <c r="D3" s="721"/>
      <c r="E3" s="721"/>
      <c r="F3" s="721"/>
      <c r="G3" s="722"/>
      <c r="H3" s="735" t="str">
        <f>[4]Title!H3</f>
        <v>33kV DF5W SS</v>
      </c>
      <c r="I3" s="736"/>
      <c r="J3" s="736"/>
      <c r="K3" s="736"/>
      <c r="L3" s="736"/>
      <c r="M3" s="736"/>
      <c r="N3" s="737"/>
      <c r="O3" s="702" t="str">
        <f>[4]Title!O3</f>
        <v>Document No.</v>
      </c>
      <c r="P3" s="703"/>
      <c r="Q3" s="704"/>
      <c r="R3" s="705" t="str">
        <f>[4]Title!R3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[4]Title!O4</f>
        <v>Revision No.</v>
      </c>
      <c r="P4" s="703"/>
      <c r="Q4" s="704"/>
      <c r="R4" s="705" t="str">
        <f>[4]Title!R4</f>
        <v>A</v>
      </c>
      <c r="S4" s="706"/>
      <c r="T4" s="706"/>
      <c r="U4" s="706"/>
      <c r="V4" s="707"/>
      <c r="W4" s="14"/>
      <c r="X4" s="14"/>
    </row>
    <row r="5" spans="1:24" ht="18" customHeight="1">
      <c r="A5" s="708" t="str">
        <f>[4]Title!A5</f>
        <v>Prep. By</v>
      </c>
      <c r="B5" s="709"/>
      <c r="C5" s="25" t="str">
        <f>[4]Title!C5</f>
        <v>AP</v>
      </c>
      <c r="D5" s="708" t="str">
        <f>[4]Title!D5</f>
        <v>Checked By</v>
      </c>
      <c r="E5" s="710"/>
      <c r="F5" s="709"/>
      <c r="G5" s="25" t="str">
        <f>[4]Title!G5</f>
        <v>RB</v>
      </c>
      <c r="H5" s="711" t="s">
        <v>395</v>
      </c>
      <c r="I5" s="712"/>
      <c r="J5" s="712"/>
      <c r="K5" s="712"/>
      <c r="L5" s="712"/>
      <c r="M5" s="712"/>
      <c r="N5" s="713"/>
      <c r="O5" s="714" t="str">
        <f>[4]Title!O5</f>
        <v>Contractor</v>
      </c>
      <c r="P5" s="715"/>
      <c r="Q5" s="716"/>
      <c r="R5" s="705" t="str">
        <f>[4]Title!R5</f>
        <v>HITACHI</v>
      </c>
      <c r="S5" s="706"/>
      <c r="T5" s="706"/>
      <c r="U5" s="706"/>
      <c r="V5" s="707"/>
      <c r="W5" s="14"/>
      <c r="X5" s="14"/>
    </row>
    <row r="6" spans="1:24" ht="18" customHeight="1">
      <c r="A6" s="196"/>
      <c r="V6" s="197"/>
    </row>
    <row r="7" spans="1:24" ht="18" customHeight="1">
      <c r="A7" s="196"/>
      <c r="B7" s="940" t="s">
        <v>120</v>
      </c>
      <c r="C7" s="941"/>
      <c r="D7" s="944" t="s">
        <v>124</v>
      </c>
      <c r="E7" s="945"/>
      <c r="F7" s="468"/>
      <c r="H7" s="639" t="s">
        <v>722</v>
      </c>
      <c r="I7" s="639"/>
      <c r="J7" s="639"/>
      <c r="K7" s="639"/>
      <c r="L7" s="639"/>
      <c r="M7" s="639"/>
      <c r="P7" s="198"/>
      <c r="S7" s="199" t="s">
        <v>398</v>
      </c>
      <c r="T7" s="940" t="s">
        <v>917</v>
      </c>
      <c r="U7" s="941"/>
      <c r="V7" s="197"/>
    </row>
    <row r="8" spans="1:24" ht="18" customHeight="1">
      <c r="A8" s="469"/>
      <c r="F8" s="468"/>
      <c r="T8" s="940"/>
      <c r="U8" s="941"/>
      <c r="V8" s="197"/>
    </row>
    <row r="9" spans="1:24" ht="18" customHeight="1">
      <c r="A9" s="196"/>
      <c r="H9" s="662" t="s">
        <v>401</v>
      </c>
      <c r="I9" s="662"/>
      <c r="J9" s="701" t="s">
        <v>402</v>
      </c>
      <c r="K9" s="701"/>
      <c r="L9" s="701" t="s">
        <v>403</v>
      </c>
      <c r="M9" s="701"/>
      <c r="T9" s="940"/>
      <c r="U9" s="941"/>
      <c r="V9" s="197"/>
    </row>
    <row r="10" spans="1:24" ht="18" customHeight="1">
      <c r="A10" s="196"/>
      <c r="B10" s="47" t="s">
        <v>404</v>
      </c>
      <c r="H10" s="942">
        <v>1500</v>
      </c>
      <c r="I10" s="943"/>
      <c r="J10" s="940"/>
      <c r="K10" s="941"/>
      <c r="L10" s="940"/>
      <c r="M10" s="941"/>
      <c r="N10" s="203" t="s">
        <v>353</v>
      </c>
      <c r="O10" s="515">
        <v>1</v>
      </c>
      <c r="P10" s="27" t="s">
        <v>9</v>
      </c>
      <c r="R10" s="267"/>
      <c r="S10" s="267"/>
      <c r="V10" s="197"/>
    </row>
    <row r="11" spans="1:24" ht="18" customHeight="1">
      <c r="A11" s="196"/>
      <c r="B11" s="47" t="s">
        <v>405</v>
      </c>
      <c r="H11" s="940" t="s">
        <v>323</v>
      </c>
      <c r="I11" s="941"/>
      <c r="V11" s="197"/>
    </row>
    <row r="12" spans="1:24" ht="18" customHeight="1">
      <c r="A12" s="196"/>
      <c r="B12" s="47" t="s">
        <v>407</v>
      </c>
      <c r="G12" s="120" t="s">
        <v>508</v>
      </c>
      <c r="H12" s="981">
        <v>6</v>
      </c>
      <c r="I12" s="982"/>
      <c r="J12" s="204" t="s">
        <v>344</v>
      </c>
      <c r="V12" s="197"/>
    </row>
    <row r="13" spans="1:24" ht="18" customHeight="1">
      <c r="A13" s="196"/>
      <c r="B13" s="47" t="s">
        <v>409</v>
      </c>
      <c r="G13" s="120" t="s">
        <v>509</v>
      </c>
      <c r="H13" s="940">
        <v>500</v>
      </c>
      <c r="I13" s="941"/>
      <c r="J13" s="14" t="s">
        <v>316</v>
      </c>
      <c r="U13" s="18"/>
      <c r="V13" s="197"/>
      <c r="W13" s="30" t="str">
        <f>H57</f>
        <v>Suitably Dimentioned</v>
      </c>
    </row>
    <row r="14" spans="1:24" ht="18" customHeight="1">
      <c r="A14" s="196"/>
      <c r="B14" s="14" t="s">
        <v>412</v>
      </c>
      <c r="G14" s="120" t="s">
        <v>413</v>
      </c>
      <c r="H14" s="940">
        <v>10</v>
      </c>
      <c r="I14" s="941"/>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P743</v>
      </c>
      <c r="E18" s="239"/>
      <c r="F18" s="239"/>
      <c r="G18" s="239"/>
      <c r="H18" s="145"/>
      <c r="I18" s="272" t="s">
        <v>138</v>
      </c>
      <c r="J18" s="946">
        <f>'[6]CT-VT Burdens'!Q64</f>
        <v>0.1</v>
      </c>
      <c r="K18" s="947"/>
      <c r="L18" s="3" t="s">
        <v>168</v>
      </c>
      <c r="N18" s="209"/>
      <c r="V18" s="197"/>
    </row>
    <row r="19" spans="1:25" ht="18" customHeight="1">
      <c r="A19" s="196"/>
      <c r="B19" s="96" t="s">
        <v>416</v>
      </c>
      <c r="C19" s="14"/>
      <c r="D19" s="47">
        <f>T8</f>
        <v>0</v>
      </c>
      <c r="E19" s="14"/>
      <c r="G19" s="211"/>
      <c r="H19" s="27"/>
      <c r="I19" s="101" t="s">
        <v>138</v>
      </c>
      <c r="J19" s="971"/>
      <c r="K19" s="972"/>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71"/>
      <c r="K20" s="972"/>
      <c r="L20" s="214" t="s">
        <v>168</v>
      </c>
      <c r="N20" s="27"/>
      <c r="O20" s="27"/>
      <c r="P20" s="27"/>
      <c r="Q20" s="102"/>
      <c r="R20" s="27"/>
      <c r="S20" s="27"/>
      <c r="T20" s="27"/>
      <c r="V20" s="197"/>
    </row>
    <row r="21" spans="1:25" ht="18" customHeight="1">
      <c r="A21" s="196"/>
      <c r="B21" s="196" t="s">
        <v>423</v>
      </c>
      <c r="C21" s="14"/>
      <c r="D21" s="14"/>
      <c r="E21" s="14"/>
      <c r="H21" s="27"/>
      <c r="I21" s="101" t="s">
        <v>138</v>
      </c>
      <c r="J21" s="950">
        <f>'[6]CT-VT Burdens'!S23</f>
        <v>0.56186130000000001</v>
      </c>
      <c r="K21" s="951"/>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648">
        <f>SUM(J18:J21)</f>
        <v>0.66186129999999999</v>
      </c>
      <c r="K22" s="649"/>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852</v>
      </c>
      <c r="D24" s="14"/>
      <c r="E24" s="14"/>
      <c r="F24" s="14"/>
      <c r="G24" s="14"/>
      <c r="H24" s="291"/>
      <c r="I24" s="120"/>
      <c r="J24" s="291"/>
      <c r="K24" s="291"/>
      <c r="L24" s="14"/>
      <c r="M24" s="14"/>
      <c r="N24" s="14"/>
      <c r="O24" s="14"/>
      <c r="P24" s="14"/>
      <c r="Q24" s="120" t="s">
        <v>853</v>
      </c>
      <c r="R24" s="102" t="s">
        <v>138</v>
      </c>
      <c r="S24" s="983">
        <f>'[6]Fault Calc'!Q31</f>
        <v>55677</v>
      </c>
      <c r="T24" s="984"/>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638">
        <f>H10</f>
        <v>1500</v>
      </c>
      <c r="T25" s="638"/>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641">
        <f>S24/S25*O10</f>
        <v>37.118000000000002</v>
      </c>
      <c r="T26" s="641"/>
      <c r="U26" s="14" t="s">
        <v>9</v>
      </c>
      <c r="V26" s="197"/>
    </row>
    <row r="27" spans="1:25" ht="18" customHeight="1">
      <c r="A27" s="180"/>
      <c r="B27" s="5"/>
      <c r="C27" s="47" t="s">
        <v>856</v>
      </c>
      <c r="D27" s="14"/>
      <c r="E27" s="14"/>
      <c r="F27" s="18"/>
      <c r="G27" s="18"/>
      <c r="H27" s="291"/>
      <c r="I27" s="120"/>
      <c r="J27" s="291"/>
      <c r="K27" s="291"/>
      <c r="L27" s="14"/>
      <c r="M27" s="14"/>
      <c r="N27" s="14"/>
      <c r="O27" s="14"/>
      <c r="P27" s="14"/>
      <c r="Q27" s="120" t="s">
        <v>700</v>
      </c>
      <c r="R27" s="28" t="s">
        <v>138</v>
      </c>
      <c r="S27" s="641">
        <f>J22/O10*O10</f>
        <v>0.66186129999999999</v>
      </c>
      <c r="T27" s="641"/>
      <c r="U27" s="204" t="s">
        <v>344</v>
      </c>
      <c r="V27" s="197"/>
      <c r="X27" s="291"/>
      <c r="Y27" s="291"/>
    </row>
    <row r="28" spans="1:25" ht="18" customHeight="1">
      <c r="A28" s="180"/>
      <c r="B28" s="5"/>
      <c r="C28" s="47" t="s">
        <v>857</v>
      </c>
      <c r="Q28" s="120" t="s">
        <v>858</v>
      </c>
      <c r="R28" s="28" t="s">
        <v>138</v>
      </c>
      <c r="S28" s="983">
        <f>20*S25</f>
        <v>30000</v>
      </c>
      <c r="T28" s="984"/>
      <c r="U28" s="14" t="s">
        <v>9</v>
      </c>
      <c r="V28" s="197"/>
      <c r="X28" s="291"/>
      <c r="Y28" s="291"/>
    </row>
    <row r="29" spans="1:25" ht="18" customHeight="1">
      <c r="A29" s="311"/>
      <c r="B29" s="291"/>
      <c r="C29" s="47" t="s">
        <v>859</v>
      </c>
      <c r="Q29" s="256" t="s">
        <v>860</v>
      </c>
      <c r="R29" s="28" t="s">
        <v>138</v>
      </c>
      <c r="S29" s="637">
        <f>S28/S25</f>
        <v>20</v>
      </c>
      <c r="T29" s="637"/>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2" ht="18" customHeight="1">
      <c r="A33" s="205" t="s">
        <v>861</v>
      </c>
      <c r="H33" s="28"/>
      <c r="I33" s="28"/>
      <c r="J33" s="28"/>
      <c r="K33" s="28"/>
      <c r="T33" s="14"/>
      <c r="U33" s="14"/>
      <c r="V33" s="197"/>
    </row>
    <row r="34" spans="1:22" ht="18" customHeight="1">
      <c r="A34" s="205"/>
      <c r="H34" s="28"/>
      <c r="I34" s="28"/>
      <c r="J34" s="28"/>
      <c r="K34" s="28"/>
      <c r="T34" s="14"/>
      <c r="U34" s="14"/>
      <c r="V34" s="197"/>
    </row>
    <row r="35" spans="1:22" ht="18" customHeight="1">
      <c r="A35" s="196"/>
      <c r="B35" s="638" t="s">
        <v>484</v>
      </c>
      <c r="C35" s="638"/>
      <c r="D35" s="28" t="s">
        <v>862</v>
      </c>
      <c r="E35" s="28">
        <v>0.5</v>
      </c>
      <c r="F35" s="28" t="s">
        <v>326</v>
      </c>
      <c r="G35" s="638" t="s">
        <v>855</v>
      </c>
      <c r="H35" s="638"/>
      <c r="I35" s="28" t="s">
        <v>683</v>
      </c>
      <c r="J35" s="638" t="s">
        <v>431</v>
      </c>
      <c r="K35" s="638"/>
      <c r="L35" s="28" t="s">
        <v>358</v>
      </c>
      <c r="M35" s="638" t="s">
        <v>700</v>
      </c>
      <c r="N35" s="638"/>
      <c r="O35" s="14" t="s">
        <v>361</v>
      </c>
      <c r="P35" s="14"/>
      <c r="Q35" s="14"/>
      <c r="R35" s="14"/>
      <c r="T35" s="14"/>
      <c r="U35" s="14"/>
      <c r="V35" s="197"/>
    </row>
    <row r="36" spans="1:22" ht="18" customHeight="1">
      <c r="A36" s="196"/>
      <c r="B36" s="14"/>
      <c r="C36" s="14"/>
      <c r="D36" s="102" t="s">
        <v>138</v>
      </c>
      <c r="E36" s="28">
        <v>0.5</v>
      </c>
      <c r="F36" s="28" t="s">
        <v>326</v>
      </c>
      <c r="G36" s="641">
        <f>S26</f>
        <v>37.118000000000002</v>
      </c>
      <c r="H36" s="638"/>
      <c r="I36" s="28" t="s">
        <v>683</v>
      </c>
      <c r="J36" s="638">
        <f>H12</f>
        <v>6</v>
      </c>
      <c r="K36" s="638"/>
      <c r="L36" s="28" t="s">
        <v>358</v>
      </c>
      <c r="M36" s="641">
        <f>S27</f>
        <v>0.66186129999999999</v>
      </c>
      <c r="N36" s="638"/>
      <c r="O36" s="14" t="s">
        <v>361</v>
      </c>
      <c r="S36" s="14"/>
      <c r="T36" s="14"/>
      <c r="U36" s="14"/>
      <c r="V36" s="197"/>
    </row>
    <row r="37" spans="1:22" ht="18" customHeight="1">
      <c r="A37" s="196"/>
      <c r="B37" s="14"/>
      <c r="C37" s="14"/>
      <c r="D37" s="102" t="s">
        <v>138</v>
      </c>
      <c r="E37" s="641">
        <f>E36*G36*(J36+M36)</f>
        <v>123.63748386670001</v>
      </c>
      <c r="F37" s="641"/>
      <c r="G37" s="223"/>
      <c r="H37" s="230"/>
      <c r="I37" s="14"/>
      <c r="J37" s="14"/>
      <c r="K37" s="14"/>
      <c r="L37" s="14"/>
      <c r="M37" s="14"/>
      <c r="N37" s="14"/>
      <c r="O37" s="14"/>
      <c r="P37" s="14"/>
      <c r="Q37" s="14"/>
      <c r="R37" s="14"/>
      <c r="V37" s="197"/>
    </row>
    <row r="38" spans="1:22" ht="18" customHeight="1">
      <c r="A38" s="196"/>
      <c r="B38" s="14"/>
      <c r="C38" s="14"/>
      <c r="D38" s="28"/>
      <c r="E38" s="230"/>
      <c r="F38" s="230"/>
      <c r="G38" s="223"/>
      <c r="H38" s="230"/>
      <c r="I38" s="14"/>
      <c r="J38" s="14"/>
      <c r="K38" s="14"/>
      <c r="L38" s="14"/>
      <c r="M38" s="14"/>
      <c r="N38" s="14"/>
      <c r="O38" s="14"/>
      <c r="P38" s="14"/>
      <c r="Q38" s="14"/>
      <c r="R38" s="14"/>
      <c r="V38" s="197"/>
    </row>
    <row r="39" spans="1:22" ht="18" customHeight="1">
      <c r="A39" s="205" t="s">
        <v>863</v>
      </c>
      <c r="B39" s="14"/>
      <c r="C39" s="14"/>
      <c r="D39" s="28"/>
      <c r="E39" s="230"/>
      <c r="F39" s="230"/>
      <c r="G39" s="223"/>
      <c r="H39" s="230"/>
      <c r="I39" s="14"/>
      <c r="J39" s="14"/>
      <c r="K39" s="14"/>
      <c r="L39" s="14"/>
      <c r="M39" s="14"/>
      <c r="N39" s="14"/>
      <c r="O39" s="14"/>
      <c r="P39" s="14"/>
      <c r="Q39" s="14"/>
      <c r="R39" s="14"/>
      <c r="V39" s="197"/>
    </row>
    <row r="40" spans="1:22" ht="18" customHeight="1">
      <c r="A40" s="196"/>
      <c r="B40" s="14"/>
      <c r="C40" s="14"/>
      <c r="D40" s="28"/>
      <c r="E40" s="230"/>
      <c r="F40" s="230"/>
      <c r="G40" s="223"/>
      <c r="H40" s="230"/>
      <c r="I40" s="14"/>
      <c r="J40" s="14"/>
      <c r="K40" s="14"/>
      <c r="L40" s="14"/>
      <c r="M40" s="14"/>
      <c r="N40" s="14"/>
      <c r="O40" s="14"/>
      <c r="P40" s="14"/>
      <c r="Q40" s="14"/>
      <c r="R40" s="14"/>
      <c r="V40" s="197"/>
    </row>
    <row r="41" spans="1:22" ht="18" customHeight="1">
      <c r="A41" s="196"/>
      <c r="B41" s="638" t="s">
        <v>484</v>
      </c>
      <c r="C41" s="638"/>
      <c r="D41" s="28" t="s">
        <v>862</v>
      </c>
      <c r="E41" s="638" t="s">
        <v>860</v>
      </c>
      <c r="F41" s="638"/>
      <c r="G41" s="28" t="s">
        <v>683</v>
      </c>
      <c r="H41" s="638" t="s">
        <v>431</v>
      </c>
      <c r="I41" s="638"/>
      <c r="J41" s="28" t="s">
        <v>358</v>
      </c>
      <c r="K41" s="638" t="s">
        <v>700</v>
      </c>
      <c r="L41" s="638"/>
      <c r="M41" s="14" t="s">
        <v>361</v>
      </c>
      <c r="P41" s="14"/>
      <c r="Q41" s="14"/>
      <c r="R41" s="14"/>
      <c r="V41" s="197"/>
    </row>
    <row r="42" spans="1:22" ht="18" customHeight="1">
      <c r="A42" s="196"/>
      <c r="B42" s="14"/>
      <c r="C42" s="14"/>
      <c r="D42" s="102" t="s">
        <v>138</v>
      </c>
      <c r="E42" s="641">
        <f>S29</f>
        <v>20</v>
      </c>
      <c r="F42" s="638"/>
      <c r="G42" s="28" t="s">
        <v>683</v>
      </c>
      <c r="H42" s="638">
        <f>H12</f>
        <v>6</v>
      </c>
      <c r="I42" s="638"/>
      <c r="J42" s="28" t="s">
        <v>358</v>
      </c>
      <c r="K42" s="641">
        <f>S27</f>
        <v>0.66186129999999999</v>
      </c>
      <c r="L42" s="638"/>
      <c r="M42" s="14" t="s">
        <v>361</v>
      </c>
      <c r="N42" s="14"/>
      <c r="O42" s="14"/>
      <c r="P42" s="14"/>
      <c r="Q42" s="14"/>
      <c r="R42" s="14"/>
      <c r="V42" s="197"/>
    </row>
    <row r="43" spans="1:22" ht="18" customHeight="1">
      <c r="A43" s="196"/>
      <c r="B43" s="14"/>
      <c r="C43" s="14"/>
      <c r="D43" s="102" t="s">
        <v>138</v>
      </c>
      <c r="E43" s="641">
        <f>E42*(H42+K42)</f>
        <v>133.23722599999999</v>
      </c>
      <c r="F43" s="641"/>
      <c r="G43" s="223"/>
      <c r="H43" s="230"/>
      <c r="I43" s="14"/>
      <c r="J43" s="14"/>
      <c r="K43" s="14"/>
      <c r="L43" s="14"/>
      <c r="M43" s="14"/>
      <c r="N43" s="14"/>
      <c r="O43" s="14"/>
      <c r="P43" s="14"/>
      <c r="Q43" s="14"/>
      <c r="R43" s="14"/>
      <c r="V43" s="197"/>
    </row>
    <row r="44" spans="1:22" s="14" customFormat="1" ht="18" customHeight="1">
      <c r="A44" s="206"/>
      <c r="B44" s="207"/>
      <c r="C44" s="207"/>
      <c r="D44" s="207"/>
      <c r="E44" s="207"/>
      <c r="F44" s="207"/>
      <c r="G44" s="207"/>
      <c r="H44" s="207"/>
      <c r="I44" s="207"/>
      <c r="J44" s="207"/>
      <c r="K44" s="207"/>
      <c r="L44" s="207"/>
      <c r="M44" s="207"/>
      <c r="N44" s="207"/>
      <c r="O44" s="207"/>
      <c r="P44" s="207"/>
      <c r="Q44" s="236"/>
      <c r="R44" s="194"/>
      <c r="S44" s="237"/>
      <c r="T44" s="207"/>
      <c r="U44" s="207"/>
      <c r="V44" s="140"/>
    </row>
    <row r="45" spans="1:22" s="14" customFormat="1" ht="18" customHeight="1">
      <c r="A45" s="141"/>
      <c r="B45" s="285"/>
      <c r="C45" s="285"/>
      <c r="D45" s="285"/>
      <c r="E45" s="285"/>
      <c r="F45" s="285"/>
      <c r="G45" s="285"/>
      <c r="H45" s="285"/>
      <c r="I45" s="285"/>
      <c r="J45" s="285"/>
      <c r="K45" s="285"/>
      <c r="L45" s="285"/>
      <c r="M45" s="285"/>
      <c r="N45" s="285"/>
      <c r="O45" s="285"/>
      <c r="P45" s="285"/>
      <c r="Q45" s="286"/>
      <c r="R45" s="145"/>
      <c r="S45" s="287"/>
      <c r="T45" s="285"/>
      <c r="U45" s="285"/>
      <c r="V45" s="288"/>
    </row>
    <row r="46" spans="1:22" ht="18" customHeight="1">
      <c r="A46" s="205" t="s">
        <v>864</v>
      </c>
      <c r="B46" s="209"/>
      <c r="C46" s="209"/>
      <c r="D46" s="209"/>
      <c r="E46" s="14"/>
      <c r="F46" s="14"/>
      <c r="G46" s="14"/>
      <c r="H46" s="14"/>
      <c r="I46" s="14"/>
      <c r="J46" s="14"/>
      <c r="K46" s="14"/>
      <c r="L46" s="14"/>
      <c r="M46" s="14"/>
      <c r="N46" s="14"/>
      <c r="O46" s="14"/>
      <c r="P46" s="27"/>
      <c r="Q46" s="28"/>
      <c r="T46" s="14"/>
      <c r="U46" s="14"/>
      <c r="V46" s="197"/>
    </row>
    <row r="47" spans="1:22" ht="18" customHeight="1">
      <c r="A47" s="205"/>
      <c r="B47" s="209"/>
      <c r="C47" s="209"/>
      <c r="D47" s="209"/>
      <c r="E47" s="14"/>
      <c r="F47" s="14"/>
      <c r="G47" s="14"/>
      <c r="H47" s="14"/>
      <c r="I47" s="14"/>
      <c r="J47" s="14"/>
      <c r="K47" s="14"/>
      <c r="L47" s="14"/>
      <c r="M47" s="14"/>
      <c r="N47" s="14"/>
      <c r="O47" s="14"/>
      <c r="P47" s="27"/>
      <c r="Q47" s="28"/>
      <c r="T47" s="14"/>
      <c r="U47" s="14"/>
      <c r="V47" s="197"/>
    </row>
    <row r="48" spans="1:22" ht="18" customHeight="1">
      <c r="A48" s="96"/>
      <c r="B48" s="209" t="s">
        <v>861</v>
      </c>
      <c r="C48" s="209"/>
      <c r="D48" s="14"/>
      <c r="E48" s="14"/>
      <c r="F48" s="14"/>
      <c r="G48" s="14"/>
      <c r="H48" s="14"/>
      <c r="I48" s="14"/>
      <c r="J48" s="14"/>
      <c r="K48" s="14"/>
      <c r="L48" s="14"/>
      <c r="M48" s="14"/>
      <c r="N48" s="14"/>
      <c r="O48" s="14"/>
      <c r="P48" s="14"/>
      <c r="Q48" s="14"/>
      <c r="R48" s="14"/>
      <c r="S48" s="14"/>
      <c r="T48" s="14"/>
      <c r="U48" s="14"/>
      <c r="V48" s="197"/>
    </row>
    <row r="49" spans="1:22" ht="18" customHeight="1">
      <c r="A49" s="96"/>
      <c r="B49" s="14"/>
      <c r="C49" s="14"/>
      <c r="D49" s="14"/>
      <c r="E49" s="14"/>
      <c r="F49" s="256" t="s">
        <v>486</v>
      </c>
      <c r="G49" s="28" t="str">
        <f>IF(E50&gt;H50, "&gt;","&lt;")</f>
        <v>&gt;</v>
      </c>
      <c r="H49" s="14" t="s">
        <v>488</v>
      </c>
      <c r="I49" s="14"/>
      <c r="J49" s="14"/>
      <c r="K49" s="14"/>
      <c r="L49" s="14" t="s">
        <v>865</v>
      </c>
      <c r="M49" s="14"/>
      <c r="N49" s="14"/>
      <c r="O49" s="14"/>
      <c r="P49" s="14"/>
      <c r="Q49" s="14"/>
      <c r="R49" s="14"/>
      <c r="S49" s="14"/>
      <c r="T49" s="14"/>
      <c r="U49" s="14"/>
      <c r="V49" s="197"/>
    </row>
    <row r="50" spans="1:22" ht="18" customHeight="1">
      <c r="A50" s="96"/>
      <c r="B50" s="14"/>
      <c r="C50" s="14"/>
      <c r="D50" s="14"/>
      <c r="E50" s="959">
        <f>H13</f>
        <v>500</v>
      </c>
      <c r="F50" s="959"/>
      <c r="G50" s="28" t="str">
        <f>G49</f>
        <v>&gt;</v>
      </c>
      <c r="H50" s="641">
        <f>E37</f>
        <v>123.63748386670001</v>
      </c>
      <c r="I50" s="641"/>
      <c r="J50" s="14"/>
      <c r="K50" s="14"/>
      <c r="L50" s="14"/>
      <c r="M50" s="14"/>
      <c r="N50" s="14"/>
      <c r="O50" s="14"/>
      <c r="P50" s="14"/>
      <c r="Q50" s="14"/>
      <c r="R50" s="14"/>
      <c r="S50" s="14"/>
      <c r="T50" s="14"/>
      <c r="U50" s="14"/>
      <c r="V50" s="197"/>
    </row>
    <row r="51" spans="1:22" ht="18" customHeight="1">
      <c r="A51" s="196"/>
      <c r="D51" s="223"/>
      <c r="E51" s="230"/>
      <c r="F51" s="211" t="s">
        <v>866</v>
      </c>
      <c r="G51" s="223"/>
      <c r="H51" s="293" t="s">
        <v>867</v>
      </c>
      <c r="J51" s="28" t="s">
        <v>868</v>
      </c>
      <c r="K51" s="18" t="str">
        <f>IF(G50="&gt;", "Satisfied", "Not Satisfied")</f>
        <v>Satisfied</v>
      </c>
      <c r="P51" s="14"/>
      <c r="Q51" s="14"/>
      <c r="R51" s="14"/>
      <c r="S51" s="14"/>
      <c r="T51" s="14"/>
      <c r="U51" s="14"/>
      <c r="V51" s="197"/>
    </row>
    <row r="52" spans="1:22" ht="18" customHeight="1">
      <c r="A52" s="96"/>
      <c r="B52" s="209" t="s">
        <v>863</v>
      </c>
      <c r="C52" s="209"/>
      <c r="D52" s="14"/>
      <c r="E52" s="14"/>
      <c r="F52" s="14"/>
      <c r="G52" s="14"/>
      <c r="H52" s="14"/>
      <c r="I52" s="14"/>
      <c r="J52" s="14"/>
      <c r="K52" s="14"/>
      <c r="L52" s="14"/>
      <c r="M52" s="14"/>
      <c r="N52" s="14"/>
      <c r="O52" s="14"/>
      <c r="P52" s="120"/>
      <c r="Q52" s="308"/>
      <c r="V52" s="197"/>
    </row>
    <row r="53" spans="1:22" ht="18" customHeight="1">
      <c r="A53" s="96"/>
      <c r="B53" s="14"/>
      <c r="C53" s="14"/>
      <c r="D53" s="14"/>
      <c r="E53" s="14"/>
      <c r="F53" s="256" t="s">
        <v>486</v>
      </c>
      <c r="G53" s="28" t="str">
        <f>IF(E54&gt;H54, "&gt;","&lt;")</f>
        <v>&gt;</v>
      </c>
      <c r="H53" s="14" t="s">
        <v>488</v>
      </c>
      <c r="I53" s="14"/>
      <c r="J53" s="14"/>
      <c r="K53" s="14"/>
      <c r="L53" s="14" t="s">
        <v>869</v>
      </c>
      <c r="M53" s="14"/>
      <c r="N53" s="14"/>
      <c r="O53" s="14"/>
      <c r="P53" s="313"/>
      <c r="Q53" s="474"/>
      <c r="V53" s="197"/>
    </row>
    <row r="54" spans="1:22" ht="18" customHeight="1">
      <c r="A54" s="96"/>
      <c r="B54" s="14"/>
      <c r="C54" s="14"/>
      <c r="D54" s="14"/>
      <c r="E54" s="959">
        <f>H13</f>
        <v>500</v>
      </c>
      <c r="F54" s="959"/>
      <c r="G54" s="28" t="str">
        <f>G53</f>
        <v>&gt;</v>
      </c>
      <c r="H54" s="641">
        <f>E43</f>
        <v>133.23722599999999</v>
      </c>
      <c r="I54" s="641"/>
      <c r="J54" s="14"/>
      <c r="K54" s="14"/>
      <c r="L54" s="14"/>
      <c r="M54" s="14"/>
      <c r="N54" s="14"/>
      <c r="O54" s="14"/>
      <c r="V54" s="197"/>
    </row>
    <row r="55" spans="1:22" ht="18" customHeight="1">
      <c r="A55" s="196"/>
      <c r="D55" s="223"/>
      <c r="E55" s="14"/>
      <c r="F55" s="211" t="s">
        <v>866</v>
      </c>
      <c r="G55" s="223"/>
      <c r="H55" s="293" t="s">
        <v>863</v>
      </c>
      <c r="J55" s="28" t="s">
        <v>868</v>
      </c>
      <c r="K55" s="18" t="str">
        <f>IF(G54="&gt;", "Satisfied", "Not Satisfied")</f>
        <v>Satisfied</v>
      </c>
      <c r="P55" s="244"/>
      <c r="Q55" s="244"/>
      <c r="R55" s="244"/>
      <c r="S55" s="244"/>
      <c r="T55" s="244"/>
      <c r="U55" s="244"/>
      <c r="V55" s="245"/>
    </row>
    <row r="56" spans="1:22" ht="18" customHeight="1">
      <c r="A56" s="196"/>
      <c r="H56" s="28"/>
      <c r="I56" s="28"/>
      <c r="J56" s="28"/>
      <c r="K56" s="28"/>
      <c r="L56" s="28"/>
      <c r="M56" s="28"/>
      <c r="N56" s="28"/>
      <c r="O56" s="28"/>
      <c r="P56" s="244"/>
      <c r="Q56" s="244"/>
      <c r="R56" s="244"/>
      <c r="S56" s="244"/>
      <c r="T56" s="244"/>
      <c r="U56" s="244"/>
      <c r="V56" s="245"/>
    </row>
    <row r="57" spans="1:22" ht="18" customHeight="1">
      <c r="A57" s="96"/>
      <c r="B57" s="14"/>
      <c r="C57" s="14"/>
      <c r="D57" s="14"/>
      <c r="E57" s="14"/>
      <c r="F57" s="256" t="s">
        <v>489</v>
      </c>
      <c r="G57" s="14"/>
      <c r="H57" s="18" t="str">
        <f>IF(AND(E50&gt;H50,E54&gt;H54),"Suitably Dimentioned","Under Dimentioned")</f>
        <v>Suitably Dimentioned</v>
      </c>
      <c r="I57" s="18"/>
      <c r="J57" s="18"/>
      <c r="K57" s="18"/>
      <c r="L57" s="18"/>
      <c r="M57" s="18"/>
      <c r="N57" s="14"/>
      <c r="O57" s="14"/>
      <c r="V57" s="197"/>
    </row>
    <row r="58" spans="1:22" ht="18" customHeight="1">
      <c r="A58" s="196"/>
      <c r="B58" s="27"/>
      <c r="C58" s="27"/>
      <c r="D58" s="27"/>
      <c r="E58" s="28"/>
      <c r="F58" s="27"/>
      <c r="G58" s="28"/>
      <c r="H58" s="27"/>
      <c r="I58" s="28"/>
      <c r="J58" s="27"/>
      <c r="K58" s="27"/>
      <c r="L58" s="27"/>
      <c r="M58" s="27"/>
      <c r="V58" s="197"/>
    </row>
    <row r="59" spans="1:22" ht="18" customHeight="1">
      <c r="A59" s="196"/>
      <c r="C59" s="27"/>
      <c r="D59" s="257"/>
      <c r="E59" s="233"/>
      <c r="F59" s="257"/>
      <c r="G59" s="234"/>
      <c r="H59" s="257"/>
      <c r="I59" s="257"/>
      <c r="J59" s="257"/>
      <c r="K59" s="257"/>
      <c r="L59" s="257"/>
      <c r="M59" s="27"/>
      <c r="V59" s="197"/>
    </row>
    <row r="60" spans="1:22" ht="18" customHeight="1">
      <c r="A60" s="196"/>
      <c r="C60" s="27"/>
      <c r="D60" s="216"/>
      <c r="E60" s="216"/>
      <c r="G60" s="18"/>
      <c r="V60" s="197"/>
    </row>
    <row r="61" spans="1:22" s="14" customFormat="1" ht="18" customHeight="1">
      <c r="A61" s="96"/>
      <c r="Q61" s="120"/>
      <c r="R61" s="28"/>
      <c r="S61" s="558"/>
      <c r="V61" s="394"/>
    </row>
    <row r="62" spans="1:22" s="14" customFormat="1" ht="18" customHeight="1">
      <c r="A62" s="96"/>
      <c r="Q62" s="120"/>
      <c r="R62" s="28"/>
      <c r="S62" s="558"/>
      <c r="V62" s="394"/>
    </row>
    <row r="63" spans="1:22" s="14" customFormat="1" ht="18" customHeight="1">
      <c r="A63" s="96"/>
      <c r="Q63" s="120"/>
      <c r="R63" s="28"/>
      <c r="S63" s="558"/>
      <c r="V63" s="394"/>
    </row>
    <row r="64" spans="1:22" s="14" customFormat="1" ht="18" customHeight="1">
      <c r="A64" s="96"/>
      <c r="Q64" s="120"/>
      <c r="R64" s="28"/>
      <c r="S64" s="558"/>
      <c r="V64" s="394"/>
    </row>
    <row r="65" spans="1:22" s="14" customFormat="1" ht="18" customHeight="1">
      <c r="A65" s="96"/>
      <c r="Q65" s="120"/>
      <c r="R65" s="28"/>
      <c r="S65" s="558"/>
      <c r="V65" s="394"/>
    </row>
    <row r="66" spans="1:22" s="14" customFormat="1" ht="18" customHeight="1">
      <c r="A66" s="96"/>
      <c r="Q66" s="120"/>
      <c r="R66" s="28"/>
      <c r="S66" s="558"/>
      <c r="V66" s="394"/>
    </row>
    <row r="67" spans="1:22" s="14" customFormat="1" ht="18" customHeight="1">
      <c r="A67" s="96"/>
      <c r="Q67" s="120"/>
      <c r="R67" s="28"/>
      <c r="S67" s="558"/>
      <c r="V67" s="394"/>
    </row>
    <row r="68" spans="1:22" s="14" customFormat="1" ht="18" customHeight="1">
      <c r="A68" s="96"/>
      <c r="Q68" s="120"/>
      <c r="R68" s="28"/>
      <c r="S68" s="558"/>
      <c r="V68" s="394"/>
    </row>
    <row r="69" spans="1:22" s="14" customFormat="1" ht="18" customHeight="1">
      <c r="A69" s="96"/>
      <c r="Q69" s="120"/>
      <c r="R69" s="28"/>
      <c r="S69" s="558"/>
      <c r="V69" s="394"/>
    </row>
    <row r="70" spans="1:22" s="14" customFormat="1" ht="18" customHeight="1">
      <c r="A70" s="96"/>
      <c r="Q70" s="120"/>
      <c r="R70" s="28"/>
      <c r="S70" s="558"/>
      <c r="V70" s="394"/>
    </row>
    <row r="71" spans="1:22" s="14" customFormat="1" ht="18" customHeight="1">
      <c r="A71" s="96"/>
      <c r="Q71" s="120"/>
      <c r="R71" s="28"/>
      <c r="S71" s="558"/>
      <c r="V71" s="394"/>
    </row>
    <row r="72" spans="1:22" s="14" customFormat="1" ht="18" customHeight="1">
      <c r="A72" s="96"/>
      <c r="Q72" s="120"/>
      <c r="R72" s="28"/>
      <c r="S72" s="558"/>
      <c r="V72" s="394"/>
    </row>
    <row r="73" spans="1:22" s="14" customFormat="1" ht="18" customHeight="1">
      <c r="A73" s="96"/>
      <c r="Q73" s="120"/>
      <c r="R73" s="28"/>
      <c r="S73" s="558"/>
      <c r="V73" s="394"/>
    </row>
    <row r="74" spans="1:22" s="14" customFormat="1" ht="18" customHeight="1">
      <c r="A74" s="96"/>
      <c r="Q74" s="120"/>
      <c r="R74" s="28"/>
      <c r="S74" s="558"/>
      <c r="V74" s="394"/>
    </row>
    <row r="75" spans="1:22" s="14" customFormat="1" ht="18" customHeight="1">
      <c r="A75" s="96"/>
      <c r="Q75" s="120"/>
      <c r="R75" s="28"/>
      <c r="S75" s="558"/>
      <c r="V75" s="394"/>
    </row>
    <row r="76" spans="1:22" s="14" customFormat="1" ht="18" customHeight="1">
      <c r="A76" s="96"/>
      <c r="Q76" s="120"/>
      <c r="R76" s="28"/>
      <c r="S76" s="558"/>
      <c r="V76" s="394"/>
    </row>
    <row r="77" spans="1:22" s="14" customFormat="1" ht="18" customHeight="1">
      <c r="A77" s="96"/>
      <c r="Q77" s="120"/>
      <c r="R77" s="28"/>
      <c r="S77" s="558"/>
      <c r="V77" s="394"/>
    </row>
    <row r="78" spans="1:22" s="14" customFormat="1" ht="18" customHeight="1">
      <c r="A78" s="96"/>
      <c r="Q78" s="120"/>
      <c r="R78" s="28"/>
      <c r="S78" s="558"/>
      <c r="V78" s="394"/>
    </row>
    <row r="79" spans="1:22" s="14" customFormat="1" ht="18" customHeight="1">
      <c r="A79" s="96"/>
      <c r="Q79" s="120"/>
      <c r="R79" s="28"/>
      <c r="S79" s="558"/>
      <c r="V79" s="394"/>
    </row>
    <row r="80" spans="1:22" s="14" customFormat="1" ht="18" customHeight="1">
      <c r="A80" s="96"/>
      <c r="Q80" s="120"/>
      <c r="R80" s="28"/>
      <c r="S80" s="558"/>
      <c r="V80" s="394"/>
    </row>
    <row r="81" spans="1:23" s="14" customFormat="1" ht="18" customHeight="1">
      <c r="A81" s="96"/>
      <c r="Q81" s="120"/>
      <c r="R81" s="28"/>
      <c r="S81" s="558"/>
      <c r="V81" s="394"/>
    </row>
    <row r="82" spans="1:23" s="14" customFormat="1" ht="18" customHeight="1">
      <c r="A82" s="96"/>
      <c r="Q82" s="120"/>
      <c r="R82" s="28"/>
      <c r="S82" s="558"/>
      <c r="V82" s="394"/>
    </row>
    <row r="83" spans="1:23" s="14" customFormat="1" ht="18" customHeight="1">
      <c r="A83" s="96"/>
      <c r="Q83" s="120"/>
      <c r="R83" s="28"/>
      <c r="S83" s="558"/>
      <c r="V83" s="394"/>
    </row>
    <row r="84" spans="1:23" s="14" customFormat="1" ht="18" customHeight="1">
      <c r="A84" s="96"/>
      <c r="Q84" s="120"/>
      <c r="R84" s="28"/>
      <c r="S84" s="558"/>
      <c r="V84" s="394"/>
    </row>
    <row r="85" spans="1:23" s="14" customFormat="1" ht="18" customHeight="1">
      <c r="A85" s="96"/>
      <c r="Q85" s="120"/>
      <c r="R85" s="28"/>
      <c r="S85" s="558"/>
      <c r="V85" s="394"/>
    </row>
    <row r="86" spans="1:23" s="14" customFormat="1" ht="18" customHeight="1">
      <c r="A86" s="96"/>
      <c r="Q86" s="120"/>
      <c r="R86" s="28"/>
      <c r="S86" s="558"/>
      <c r="V86" s="394"/>
    </row>
    <row r="87" spans="1:23" s="14" customFormat="1" ht="18" customHeight="1">
      <c r="A87" s="96"/>
      <c r="Q87" s="120"/>
      <c r="R87" s="28"/>
      <c r="S87" s="558"/>
      <c r="V87" s="394"/>
    </row>
    <row r="88" spans="1:23" s="14" customFormat="1" ht="18" customHeight="1">
      <c r="A88" s="206"/>
      <c r="B88" s="207"/>
      <c r="C88" s="207"/>
      <c r="D88" s="207"/>
      <c r="E88" s="207"/>
      <c r="F88" s="207"/>
      <c r="G88" s="207"/>
      <c r="H88" s="207"/>
      <c r="I88" s="207"/>
      <c r="J88" s="207"/>
      <c r="K88" s="207"/>
      <c r="L88" s="207"/>
      <c r="M88" s="207"/>
      <c r="N88" s="207"/>
      <c r="O88" s="207"/>
      <c r="P88" s="207"/>
      <c r="Q88" s="236"/>
      <c r="R88" s="194"/>
      <c r="S88" s="237"/>
      <c r="T88" s="207"/>
      <c r="U88" s="207"/>
      <c r="V88" s="140"/>
    </row>
    <row r="89" spans="1:23" ht="18" hidden="1" customHeight="1">
      <c r="A89" s="238"/>
      <c r="B89" s="239"/>
      <c r="C89" s="239"/>
      <c r="D89" s="239"/>
      <c r="E89" s="239"/>
      <c r="F89" s="239"/>
      <c r="G89" s="239"/>
      <c r="H89" s="239"/>
      <c r="I89" s="239"/>
      <c r="J89" s="239"/>
      <c r="K89" s="239"/>
      <c r="L89" s="239"/>
      <c r="M89" s="239"/>
      <c r="N89" s="239"/>
      <c r="O89" s="239"/>
      <c r="P89" s="239"/>
      <c r="Q89" s="239"/>
      <c r="R89" s="239"/>
      <c r="S89" s="239"/>
      <c r="T89" s="239"/>
      <c r="U89" s="239"/>
      <c r="V89" s="240"/>
    </row>
    <row r="90" spans="1:23" ht="18" hidden="1" customHeight="1">
      <c r="A90" s="196"/>
      <c r="B90" s="650" t="str">
        <f>B7</f>
        <v>T1</v>
      </c>
      <c r="C90" s="651"/>
      <c r="D90" s="650" t="str">
        <f>D7</f>
        <v>Core5</v>
      </c>
      <c r="E90" s="651"/>
      <c r="F90" s="468"/>
      <c r="H90" s="639" t="s">
        <v>722</v>
      </c>
      <c r="I90" s="639"/>
      <c r="J90" s="639"/>
      <c r="K90" s="639"/>
      <c r="L90" s="639"/>
      <c r="M90" s="639"/>
      <c r="P90" s="198"/>
      <c r="S90" s="199" t="s">
        <v>398</v>
      </c>
      <c r="T90" s="650" t="str">
        <f>T7</f>
        <v>P743</v>
      </c>
      <c r="U90" s="651"/>
      <c r="V90" s="197"/>
    </row>
    <row r="91" spans="1:23" ht="18" hidden="1" customHeight="1">
      <c r="A91" s="469"/>
      <c r="F91" s="468"/>
      <c r="T91" s="650">
        <f>T8</f>
        <v>0</v>
      </c>
      <c r="U91" s="651"/>
      <c r="V91" s="197"/>
    </row>
    <row r="92" spans="1:23" ht="18" hidden="1" customHeight="1">
      <c r="A92" s="196"/>
      <c r="H92" s="661" t="s">
        <v>401</v>
      </c>
      <c r="I92" s="661"/>
      <c r="J92" s="662" t="s">
        <v>402</v>
      </c>
      <c r="K92" s="662"/>
      <c r="L92" s="701" t="s">
        <v>403</v>
      </c>
      <c r="M92" s="701"/>
      <c r="T92" s="650">
        <f>T9</f>
        <v>0</v>
      </c>
      <c r="U92" s="651"/>
      <c r="V92" s="197"/>
    </row>
    <row r="93" spans="1:23" ht="18" hidden="1" customHeight="1">
      <c r="A93" s="196"/>
      <c r="B93" s="47" t="s">
        <v>404</v>
      </c>
      <c r="H93" s="650">
        <f>H10</f>
        <v>1500</v>
      </c>
      <c r="I93" s="651"/>
      <c r="J93" s="652">
        <f>J10</f>
        <v>0</v>
      </c>
      <c r="K93" s="653"/>
      <c r="L93" s="650">
        <f>L10</f>
        <v>0</v>
      </c>
      <c r="M93" s="651"/>
      <c r="N93" s="203" t="s">
        <v>353</v>
      </c>
      <c r="O93" s="268">
        <f>O10</f>
        <v>1</v>
      </c>
      <c r="P93" s="27" t="s">
        <v>9</v>
      </c>
      <c r="R93" s="267"/>
      <c r="S93" s="267"/>
      <c r="V93" s="197"/>
    </row>
    <row r="94" spans="1:23" ht="18" hidden="1" customHeight="1">
      <c r="A94" s="196"/>
      <c r="B94" s="47" t="s">
        <v>405</v>
      </c>
      <c r="J94" s="650" t="str">
        <f>H11</f>
        <v>X</v>
      </c>
      <c r="K94" s="651"/>
      <c r="V94" s="197"/>
    </row>
    <row r="95" spans="1:23" ht="18" hidden="1" customHeight="1">
      <c r="A95" s="196"/>
      <c r="B95" s="47" t="s">
        <v>407</v>
      </c>
      <c r="I95" s="120" t="s">
        <v>508</v>
      </c>
      <c r="J95" s="981"/>
      <c r="K95" s="982"/>
      <c r="L95" s="204" t="s">
        <v>344</v>
      </c>
      <c r="V95" s="197"/>
    </row>
    <row r="96" spans="1:23" ht="18" hidden="1" customHeight="1">
      <c r="A96" s="196"/>
      <c r="B96" s="47" t="s">
        <v>409</v>
      </c>
      <c r="I96" s="120" t="s">
        <v>509</v>
      </c>
      <c r="J96" s="940"/>
      <c r="K96" s="941"/>
      <c r="L96" s="14" t="s">
        <v>316</v>
      </c>
      <c r="U96" s="18"/>
      <c r="V96" s="197"/>
      <c r="W96" s="30" t="str">
        <f>H145</f>
        <v>Under Dimentioned</v>
      </c>
    </row>
    <row r="97" spans="1:22" ht="18" hidden="1" customHeight="1">
      <c r="A97" s="196"/>
      <c r="B97" s="14" t="s">
        <v>412</v>
      </c>
      <c r="I97" s="120" t="s">
        <v>413</v>
      </c>
      <c r="J97" s="940"/>
      <c r="K97" s="941"/>
      <c r="L97" s="14" t="s">
        <v>414</v>
      </c>
      <c r="V97" s="197"/>
    </row>
    <row r="98" spans="1:22" ht="18" hidden="1" customHeight="1">
      <c r="A98" s="196"/>
      <c r="V98" s="197"/>
    </row>
    <row r="99" spans="1:22" ht="18" hidden="1" customHeight="1">
      <c r="A99" s="205" t="s">
        <v>415</v>
      </c>
      <c r="V99" s="197"/>
    </row>
    <row r="100" spans="1:22" ht="18" hidden="1" customHeight="1">
      <c r="A100" s="196"/>
      <c r="V100" s="197"/>
    </row>
    <row r="101" spans="1:22" ht="18" hidden="1" customHeight="1">
      <c r="A101" s="196"/>
      <c r="B101" s="141" t="s">
        <v>416</v>
      </c>
      <c r="C101" s="285"/>
      <c r="D101" s="146" t="str">
        <f>T90</f>
        <v>P743</v>
      </c>
      <c r="E101" s="239"/>
      <c r="F101" s="239"/>
      <c r="G101" s="239"/>
      <c r="H101" s="145"/>
      <c r="I101" s="272" t="s">
        <v>138</v>
      </c>
      <c r="J101" s="644">
        <f>J18</f>
        <v>0.1</v>
      </c>
      <c r="K101" s="648"/>
      <c r="L101" s="3" t="s">
        <v>168</v>
      </c>
      <c r="N101" s="209"/>
      <c r="V101" s="197"/>
    </row>
    <row r="102" spans="1:22" ht="18" hidden="1" customHeight="1">
      <c r="A102" s="196"/>
      <c r="B102" s="96" t="s">
        <v>416</v>
      </c>
      <c r="C102" s="14"/>
      <c r="D102" s="47">
        <f>T91</f>
        <v>0</v>
      </c>
      <c r="E102" s="14"/>
      <c r="G102" s="211"/>
      <c r="H102" s="27"/>
      <c r="I102" s="101" t="s">
        <v>138</v>
      </c>
      <c r="J102" s="644">
        <f>J19</f>
        <v>0</v>
      </c>
      <c r="K102" s="648"/>
      <c r="L102" s="214" t="s">
        <v>168</v>
      </c>
      <c r="N102" s="28"/>
      <c r="O102" s="27"/>
      <c r="P102" s="28"/>
      <c r="Q102" s="102"/>
      <c r="R102" s="28"/>
      <c r="S102" s="27"/>
      <c r="T102" s="28"/>
      <c r="V102" s="197"/>
    </row>
    <row r="103" spans="1:22" ht="18" hidden="1" customHeight="1">
      <c r="A103" s="196"/>
      <c r="B103" s="96" t="s">
        <v>416</v>
      </c>
      <c r="C103" s="14"/>
      <c r="D103" s="47">
        <f>T92</f>
        <v>0</v>
      </c>
      <c r="E103" s="14"/>
      <c r="G103" s="211"/>
      <c r="H103" s="27"/>
      <c r="I103" s="101" t="s">
        <v>138</v>
      </c>
      <c r="J103" s="644">
        <f>J20</f>
        <v>0</v>
      </c>
      <c r="K103" s="648"/>
      <c r="L103" s="214" t="s">
        <v>168</v>
      </c>
      <c r="N103" s="27"/>
      <c r="O103" s="27"/>
      <c r="P103" s="27"/>
      <c r="Q103" s="102"/>
      <c r="R103" s="27"/>
      <c r="S103" s="27"/>
      <c r="T103" s="27"/>
      <c r="V103" s="197"/>
    </row>
    <row r="104" spans="1:22" ht="18" hidden="1" customHeight="1">
      <c r="A104" s="196"/>
      <c r="B104" s="196" t="s">
        <v>423</v>
      </c>
      <c r="C104" s="14"/>
      <c r="D104" s="14"/>
      <c r="E104" s="14"/>
      <c r="H104" s="27"/>
      <c r="I104" s="101" t="s">
        <v>138</v>
      </c>
      <c r="J104" s="644">
        <f>J21</f>
        <v>0.56186130000000001</v>
      </c>
      <c r="K104" s="648"/>
      <c r="L104" s="309" t="s">
        <v>168</v>
      </c>
      <c r="N104" s="27"/>
      <c r="O104" s="27"/>
      <c r="P104" s="216"/>
      <c r="R104" s="204"/>
      <c r="S104" s="27"/>
      <c r="T104" s="27"/>
      <c r="V104" s="197"/>
    </row>
    <row r="105" spans="1:22" ht="18" hidden="1" customHeight="1">
      <c r="A105" s="196"/>
      <c r="B105" s="1" t="s">
        <v>424</v>
      </c>
      <c r="C105" s="2"/>
      <c r="D105" s="2"/>
      <c r="E105" s="2"/>
      <c r="F105" s="208"/>
      <c r="G105" s="208"/>
      <c r="H105" s="236" t="s">
        <v>523</v>
      </c>
      <c r="I105" s="195" t="s">
        <v>138</v>
      </c>
      <c r="J105" s="648">
        <f>SUM(J101:J104)</f>
        <v>0.66186129999999999</v>
      </c>
      <c r="K105" s="649"/>
      <c r="L105" s="3" t="s">
        <v>168</v>
      </c>
      <c r="V105" s="197"/>
    </row>
    <row r="106" spans="1:22" ht="18" hidden="1" customHeight="1">
      <c r="A106" s="196"/>
      <c r="B106" s="47"/>
      <c r="C106" s="47"/>
      <c r="D106" s="47"/>
      <c r="E106" s="47"/>
      <c r="H106" s="27"/>
      <c r="I106" s="28"/>
      <c r="J106" s="211"/>
      <c r="L106" s="47"/>
      <c r="O106" s="27"/>
      <c r="P106" s="223"/>
      <c r="Q106" s="27"/>
      <c r="R106" s="216"/>
      <c r="S106" s="27"/>
      <c r="V106" s="197"/>
    </row>
    <row r="107" spans="1:22" ht="18" hidden="1" customHeight="1">
      <c r="A107" s="180"/>
      <c r="B107" s="5"/>
      <c r="C107" s="47" t="s">
        <v>852</v>
      </c>
      <c r="D107" s="14"/>
      <c r="E107" s="14"/>
      <c r="F107" s="14"/>
      <c r="G107" s="14"/>
      <c r="H107" s="291"/>
      <c r="I107" s="120"/>
      <c r="J107" s="291"/>
      <c r="K107" s="291"/>
      <c r="L107" s="14"/>
      <c r="M107" s="14"/>
      <c r="N107" s="14"/>
      <c r="O107" s="14"/>
      <c r="P107" s="14"/>
      <c r="Q107" s="120" t="s">
        <v>853</v>
      </c>
      <c r="R107" s="102" t="s">
        <v>138</v>
      </c>
      <c r="S107" s="650">
        <f>S24</f>
        <v>55677</v>
      </c>
      <c r="T107" s="651"/>
      <c r="U107" s="47" t="s">
        <v>9</v>
      </c>
      <c r="V107" s="197"/>
    </row>
    <row r="108" spans="1:22" ht="18" hidden="1" customHeight="1">
      <c r="A108" s="180"/>
      <c r="B108" s="5"/>
      <c r="C108" s="47" t="s">
        <v>665</v>
      </c>
      <c r="D108" s="14"/>
      <c r="E108" s="14"/>
      <c r="F108" s="18"/>
      <c r="G108" s="18"/>
      <c r="H108" s="291"/>
      <c r="I108" s="120"/>
      <c r="J108" s="291"/>
      <c r="K108" s="291"/>
      <c r="L108" s="14"/>
      <c r="M108" s="14"/>
      <c r="N108" s="14"/>
      <c r="O108" s="14"/>
      <c r="P108" s="14"/>
      <c r="Q108" s="120" t="s">
        <v>434</v>
      </c>
      <c r="R108" s="102" t="s">
        <v>138</v>
      </c>
      <c r="S108" s="638">
        <f>H93</f>
        <v>1500</v>
      </c>
      <c r="T108" s="638"/>
      <c r="U108" s="14" t="s">
        <v>9</v>
      </c>
      <c r="V108" s="197"/>
    </row>
    <row r="109" spans="1:22" ht="18" hidden="1" customHeight="1">
      <c r="A109" s="180"/>
      <c r="B109" s="5"/>
      <c r="C109" s="47" t="s">
        <v>854</v>
      </c>
      <c r="E109" s="14"/>
      <c r="F109" s="18"/>
      <c r="G109" s="18"/>
      <c r="H109" s="291"/>
      <c r="I109" s="120"/>
      <c r="J109" s="291"/>
      <c r="K109" s="291"/>
      <c r="L109" s="14"/>
      <c r="M109" s="14"/>
      <c r="N109" s="14"/>
      <c r="O109" s="14"/>
      <c r="P109" s="14"/>
      <c r="Q109" s="120" t="s">
        <v>855</v>
      </c>
      <c r="R109" s="28" t="s">
        <v>138</v>
      </c>
      <c r="S109" s="641">
        <f>S107/S108*O93</f>
        <v>37.118000000000002</v>
      </c>
      <c r="T109" s="641"/>
      <c r="U109" s="14" t="s">
        <v>9</v>
      </c>
      <c r="V109" s="197"/>
    </row>
    <row r="110" spans="1:22" ht="18" hidden="1" customHeight="1">
      <c r="A110" s="180"/>
      <c r="B110" s="5"/>
      <c r="C110" s="47" t="s">
        <v>856</v>
      </c>
      <c r="D110" s="14"/>
      <c r="E110" s="14"/>
      <c r="F110" s="18"/>
      <c r="G110" s="18"/>
      <c r="H110" s="291"/>
      <c r="I110" s="120"/>
      <c r="J110" s="291"/>
      <c r="K110" s="291"/>
      <c r="L110" s="14"/>
      <c r="M110" s="14"/>
      <c r="N110" s="14"/>
      <c r="O110" s="14"/>
      <c r="P110" s="14"/>
      <c r="Q110" s="120" t="s">
        <v>700</v>
      </c>
      <c r="R110" s="28" t="s">
        <v>138</v>
      </c>
      <c r="S110" s="641">
        <f>J105/O93*O93</f>
        <v>0.66186129999999999</v>
      </c>
      <c r="T110" s="641"/>
      <c r="U110" s="204" t="s">
        <v>344</v>
      </c>
      <c r="V110" s="197"/>
    </row>
    <row r="111" spans="1:22" ht="18" hidden="1" customHeight="1">
      <c r="A111" s="180"/>
      <c r="B111" s="5"/>
      <c r="C111" s="47" t="s">
        <v>857</v>
      </c>
      <c r="Q111" s="120" t="s">
        <v>858</v>
      </c>
      <c r="R111" s="28" t="s">
        <v>138</v>
      </c>
      <c r="S111" s="650">
        <f>S28</f>
        <v>30000</v>
      </c>
      <c r="T111" s="651"/>
      <c r="U111" s="14" t="s">
        <v>9</v>
      </c>
      <c r="V111" s="197"/>
    </row>
    <row r="112" spans="1:22" ht="18" hidden="1" customHeight="1">
      <c r="A112" s="311"/>
      <c r="B112" s="291"/>
      <c r="C112" s="47" t="s">
        <v>859</v>
      </c>
      <c r="Q112" s="256" t="s">
        <v>860</v>
      </c>
      <c r="R112" s="28" t="s">
        <v>138</v>
      </c>
      <c r="S112" s="637">
        <f>S111/S108</f>
        <v>20</v>
      </c>
      <c r="T112" s="637"/>
      <c r="U112" s="14" t="s">
        <v>9</v>
      </c>
      <c r="V112" s="312"/>
    </row>
    <row r="113" spans="1:22" ht="18" hidden="1" customHeight="1">
      <c r="A113" s="96"/>
      <c r="B113" s="14"/>
      <c r="C113" s="14"/>
      <c r="D113" s="14"/>
      <c r="E113" s="14"/>
      <c r="F113" s="14"/>
      <c r="G113" s="14"/>
      <c r="H113" s="14"/>
      <c r="I113" s="14"/>
      <c r="J113" s="14"/>
      <c r="K113" s="14"/>
      <c r="L113" s="14"/>
      <c r="M113" s="14"/>
      <c r="N113" s="14"/>
      <c r="O113" s="14"/>
      <c r="P113" s="28"/>
      <c r="Q113" s="120"/>
      <c r="R113" s="14"/>
      <c r="S113" s="14"/>
      <c r="T113" s="14"/>
      <c r="U113" s="14"/>
      <c r="V113" s="197"/>
    </row>
    <row r="114" spans="1:22" ht="18" hidden="1" customHeight="1">
      <c r="A114" s="205" t="s">
        <v>766</v>
      </c>
      <c r="B114" s="14"/>
      <c r="C114" s="14"/>
      <c r="D114" s="14"/>
      <c r="E114" s="14"/>
      <c r="F114" s="14"/>
      <c r="G114" s="14"/>
      <c r="H114" s="14"/>
      <c r="K114" s="14"/>
      <c r="T114" s="14"/>
      <c r="U114" s="14"/>
      <c r="V114" s="197"/>
    </row>
    <row r="115" spans="1:22" ht="18" hidden="1" customHeight="1">
      <c r="A115" s="96"/>
      <c r="B115" s="14"/>
      <c r="C115" s="14"/>
      <c r="D115" s="14"/>
      <c r="E115" s="14"/>
      <c r="F115" s="14"/>
      <c r="G115" s="14"/>
      <c r="H115" s="14"/>
      <c r="K115" s="14"/>
      <c r="T115" s="14"/>
      <c r="U115" s="14"/>
      <c r="V115" s="197"/>
    </row>
    <row r="116" spans="1:22" ht="18" hidden="1" customHeight="1">
      <c r="A116" s="205" t="s">
        <v>861</v>
      </c>
      <c r="H116" s="28"/>
      <c r="I116" s="28"/>
      <c r="J116" s="28"/>
      <c r="K116" s="28"/>
      <c r="T116" s="14"/>
      <c r="U116" s="14"/>
      <c r="V116" s="197"/>
    </row>
    <row r="117" spans="1:22" ht="18" hidden="1" customHeight="1">
      <c r="A117" s="205"/>
      <c r="H117" s="28"/>
      <c r="I117" s="28"/>
      <c r="J117" s="28"/>
      <c r="K117" s="28"/>
      <c r="T117" s="14"/>
      <c r="U117" s="14"/>
      <c r="V117" s="197"/>
    </row>
    <row r="118" spans="1:22" ht="18" hidden="1" customHeight="1">
      <c r="A118" s="196"/>
      <c r="B118" s="638" t="s">
        <v>484</v>
      </c>
      <c r="C118" s="638"/>
      <c r="D118" s="28" t="s">
        <v>862</v>
      </c>
      <c r="E118" s="28">
        <v>0.5</v>
      </c>
      <c r="F118" s="28" t="s">
        <v>326</v>
      </c>
      <c r="G118" s="638" t="s">
        <v>855</v>
      </c>
      <c r="H118" s="638"/>
      <c r="I118" s="28" t="s">
        <v>683</v>
      </c>
      <c r="J118" s="638" t="s">
        <v>431</v>
      </c>
      <c r="K118" s="638"/>
      <c r="L118" s="28" t="s">
        <v>358</v>
      </c>
      <c r="M118" s="638" t="s">
        <v>700</v>
      </c>
      <c r="N118" s="638"/>
      <c r="O118" s="14" t="s">
        <v>361</v>
      </c>
      <c r="P118" s="14"/>
      <c r="Q118" s="14"/>
      <c r="R118" s="14"/>
      <c r="T118" s="14"/>
      <c r="U118" s="14"/>
      <c r="V118" s="197"/>
    </row>
    <row r="119" spans="1:22" ht="18" hidden="1" customHeight="1">
      <c r="A119" s="196"/>
      <c r="B119" s="14"/>
      <c r="C119" s="14"/>
      <c r="D119" s="102" t="s">
        <v>138</v>
      </c>
      <c r="E119" s="28">
        <v>0.5</v>
      </c>
      <c r="F119" s="28" t="s">
        <v>326</v>
      </c>
      <c r="G119" s="641">
        <f>S109</f>
        <v>37.118000000000002</v>
      </c>
      <c r="H119" s="638"/>
      <c r="I119" s="28" t="s">
        <v>683</v>
      </c>
      <c r="J119" s="638">
        <f>J95</f>
        <v>0</v>
      </c>
      <c r="K119" s="638"/>
      <c r="L119" s="28" t="s">
        <v>358</v>
      </c>
      <c r="M119" s="641">
        <f>S110</f>
        <v>0.66186129999999999</v>
      </c>
      <c r="N119" s="638"/>
      <c r="O119" s="14" t="s">
        <v>361</v>
      </c>
      <c r="S119" s="14"/>
      <c r="T119" s="14"/>
      <c r="U119" s="14"/>
      <c r="V119" s="197"/>
    </row>
    <row r="120" spans="1:22" ht="18" hidden="1" customHeight="1">
      <c r="A120" s="196"/>
      <c r="B120" s="14"/>
      <c r="C120" s="14"/>
      <c r="D120" s="102" t="s">
        <v>138</v>
      </c>
      <c r="E120" s="641">
        <f>E119*G119*(J119+M119)</f>
        <v>12.283483866700001</v>
      </c>
      <c r="F120" s="641"/>
      <c r="G120" s="223"/>
      <c r="H120" s="230"/>
      <c r="I120" s="14"/>
      <c r="J120" s="14"/>
      <c r="K120" s="14"/>
      <c r="L120" s="14"/>
      <c r="M120" s="14"/>
      <c r="N120" s="14"/>
      <c r="O120" s="14"/>
      <c r="P120" s="14"/>
      <c r="Q120" s="14"/>
      <c r="R120" s="14"/>
      <c r="V120" s="197"/>
    </row>
    <row r="121" spans="1:22" ht="18" hidden="1" customHeight="1">
      <c r="A121" s="196"/>
      <c r="B121" s="14"/>
      <c r="C121" s="14"/>
      <c r="D121" s="28"/>
      <c r="E121" s="230"/>
      <c r="F121" s="230"/>
      <c r="G121" s="223"/>
      <c r="H121" s="230"/>
      <c r="I121" s="14"/>
      <c r="J121" s="14"/>
      <c r="K121" s="14"/>
      <c r="L121" s="14"/>
      <c r="M121" s="14"/>
      <c r="N121" s="14"/>
      <c r="O121" s="14"/>
      <c r="P121" s="14"/>
      <c r="Q121" s="14"/>
      <c r="R121" s="14"/>
      <c r="V121" s="197"/>
    </row>
    <row r="122" spans="1:22" ht="18" hidden="1" customHeight="1">
      <c r="A122" s="205" t="s">
        <v>863</v>
      </c>
      <c r="B122" s="14"/>
      <c r="C122" s="14"/>
      <c r="D122" s="28"/>
      <c r="E122" s="230"/>
      <c r="F122" s="230"/>
      <c r="G122" s="223"/>
      <c r="H122" s="230"/>
      <c r="I122" s="14"/>
      <c r="J122" s="14"/>
      <c r="K122" s="14"/>
      <c r="L122" s="14"/>
      <c r="M122" s="14"/>
      <c r="N122" s="14"/>
      <c r="O122" s="14"/>
      <c r="P122" s="14"/>
      <c r="Q122" s="14"/>
      <c r="R122" s="14"/>
      <c r="V122" s="197"/>
    </row>
    <row r="123" spans="1:22" ht="18" hidden="1" customHeight="1">
      <c r="A123" s="196"/>
      <c r="B123" s="14"/>
      <c r="C123" s="14"/>
      <c r="D123" s="28"/>
      <c r="E123" s="230"/>
      <c r="F123" s="230"/>
      <c r="G123" s="223"/>
      <c r="H123" s="230"/>
      <c r="I123" s="14"/>
      <c r="J123" s="14"/>
      <c r="K123" s="14"/>
      <c r="L123" s="14"/>
      <c r="M123" s="14"/>
      <c r="N123" s="14"/>
      <c r="O123" s="14"/>
      <c r="P123" s="14"/>
      <c r="Q123" s="14"/>
      <c r="R123" s="14"/>
      <c r="V123" s="197"/>
    </row>
    <row r="124" spans="1:22" ht="18" hidden="1" customHeight="1">
      <c r="A124" s="196"/>
      <c r="B124" s="638" t="s">
        <v>484</v>
      </c>
      <c r="C124" s="638"/>
      <c r="D124" s="28" t="s">
        <v>862</v>
      </c>
      <c r="E124" s="638" t="s">
        <v>860</v>
      </c>
      <c r="F124" s="638"/>
      <c r="G124" s="28" t="s">
        <v>683</v>
      </c>
      <c r="H124" s="638" t="s">
        <v>431</v>
      </c>
      <c r="I124" s="638"/>
      <c r="J124" s="28" t="s">
        <v>358</v>
      </c>
      <c r="K124" s="638" t="s">
        <v>700</v>
      </c>
      <c r="L124" s="638"/>
      <c r="M124" s="14" t="s">
        <v>361</v>
      </c>
      <c r="P124" s="14"/>
      <c r="Q124" s="14"/>
      <c r="R124" s="14"/>
      <c r="V124" s="197"/>
    </row>
    <row r="125" spans="1:22" ht="18" hidden="1" customHeight="1">
      <c r="A125" s="196"/>
      <c r="B125" s="14"/>
      <c r="C125" s="14"/>
      <c r="D125" s="102" t="s">
        <v>138</v>
      </c>
      <c r="E125" s="641">
        <f>S112</f>
        <v>20</v>
      </c>
      <c r="F125" s="638"/>
      <c r="G125" s="28" t="s">
        <v>683</v>
      </c>
      <c r="H125" s="638">
        <f>J95</f>
        <v>0</v>
      </c>
      <c r="I125" s="638"/>
      <c r="J125" s="28" t="s">
        <v>358</v>
      </c>
      <c r="K125" s="641">
        <f>S110</f>
        <v>0.66186129999999999</v>
      </c>
      <c r="L125" s="638"/>
      <c r="M125" s="14" t="s">
        <v>361</v>
      </c>
      <c r="N125" s="14"/>
      <c r="O125" s="14"/>
      <c r="P125" s="14"/>
      <c r="Q125" s="14"/>
      <c r="R125" s="14"/>
      <c r="V125" s="197"/>
    </row>
    <row r="126" spans="1:22" ht="18" hidden="1" customHeight="1">
      <c r="A126" s="196"/>
      <c r="B126" s="14"/>
      <c r="C126" s="14"/>
      <c r="D126" s="102" t="s">
        <v>138</v>
      </c>
      <c r="E126" s="641">
        <f>E125*(H125+K125)</f>
        <v>13.237226</v>
      </c>
      <c r="F126" s="641"/>
      <c r="G126" s="223"/>
      <c r="H126" s="230"/>
      <c r="I126" s="14"/>
      <c r="J126" s="14"/>
      <c r="K126" s="14"/>
      <c r="L126" s="14"/>
      <c r="M126" s="14"/>
      <c r="N126" s="14"/>
      <c r="O126" s="14"/>
      <c r="P126" s="14"/>
      <c r="Q126" s="14"/>
      <c r="R126" s="14"/>
      <c r="V126" s="197"/>
    </row>
    <row r="127" spans="1:22" ht="18" hidden="1" customHeight="1">
      <c r="A127" s="196"/>
      <c r="B127" s="14"/>
      <c r="C127" s="14"/>
      <c r="D127" s="102"/>
      <c r="E127" s="230"/>
      <c r="F127" s="230"/>
      <c r="G127" s="223"/>
      <c r="H127" s="230"/>
      <c r="I127" s="14"/>
      <c r="J127" s="14"/>
      <c r="K127" s="14"/>
      <c r="L127" s="14"/>
      <c r="M127" s="14"/>
      <c r="N127" s="14"/>
      <c r="O127" s="14"/>
      <c r="P127" s="14"/>
      <c r="Q127" s="14"/>
      <c r="R127" s="14"/>
      <c r="V127" s="197"/>
    </row>
    <row r="128" spans="1:22" ht="18" hidden="1" customHeight="1">
      <c r="A128" s="196"/>
      <c r="B128" s="14"/>
      <c r="C128" s="14"/>
      <c r="D128" s="102"/>
      <c r="E128" s="230"/>
      <c r="F128" s="230"/>
      <c r="G128" s="223"/>
      <c r="H128" s="230"/>
      <c r="I128" s="14"/>
      <c r="J128" s="14"/>
      <c r="K128" s="14"/>
      <c r="L128" s="14"/>
      <c r="M128" s="14"/>
      <c r="N128" s="14"/>
      <c r="O128" s="14"/>
      <c r="P128" s="14"/>
      <c r="Q128" s="14"/>
      <c r="R128" s="14"/>
      <c r="V128" s="197"/>
    </row>
    <row r="129" spans="1:22" ht="18" hidden="1" customHeight="1">
      <c r="A129" s="196"/>
      <c r="B129" s="14"/>
      <c r="C129" s="14"/>
      <c r="D129" s="102"/>
      <c r="E129" s="230"/>
      <c r="F129" s="230"/>
      <c r="G129" s="223"/>
      <c r="H129" s="230"/>
      <c r="I129" s="14"/>
      <c r="J129" s="14"/>
      <c r="K129" s="14"/>
      <c r="L129" s="14"/>
      <c r="M129" s="14"/>
      <c r="N129" s="14"/>
      <c r="O129" s="14"/>
      <c r="P129" s="14"/>
      <c r="Q129" s="14"/>
      <c r="R129" s="14"/>
      <c r="V129" s="197"/>
    </row>
    <row r="130" spans="1:22" ht="18" hidden="1" customHeight="1">
      <c r="A130" s="196"/>
      <c r="G130" s="223"/>
      <c r="H130" s="230"/>
      <c r="J130" s="28"/>
      <c r="K130" s="28"/>
      <c r="L130" s="28"/>
      <c r="M130" s="28"/>
      <c r="N130" s="28"/>
      <c r="O130" s="28"/>
      <c r="P130" s="28"/>
      <c r="Q130" s="28"/>
      <c r="R130" s="28"/>
      <c r="V130" s="197"/>
    </row>
    <row r="131" spans="1:22" ht="18" hidden="1" customHeight="1">
      <c r="A131" s="196"/>
      <c r="V131" s="197"/>
    </row>
    <row r="132" spans="1:22" ht="18" hidden="1" customHeight="1">
      <c r="A132" s="206"/>
      <c r="B132" s="207"/>
      <c r="C132" s="207"/>
      <c r="D132" s="207"/>
      <c r="E132" s="207"/>
      <c r="F132" s="207"/>
      <c r="G132" s="207"/>
      <c r="H132" s="207"/>
      <c r="I132" s="207"/>
      <c r="J132" s="207"/>
      <c r="K132" s="207"/>
      <c r="L132" s="207"/>
      <c r="M132" s="207"/>
      <c r="N132" s="207"/>
      <c r="O132" s="207"/>
      <c r="P132" s="207"/>
      <c r="Q132" s="236"/>
      <c r="R132" s="194"/>
      <c r="S132" s="237"/>
      <c r="T132" s="207"/>
      <c r="U132" s="207"/>
      <c r="V132" s="140"/>
    </row>
    <row r="133" spans="1:22" ht="18" hidden="1" customHeight="1">
      <c r="A133" s="141"/>
      <c r="B133" s="285"/>
      <c r="C133" s="285"/>
      <c r="D133" s="285"/>
      <c r="E133" s="285"/>
      <c r="F133" s="285"/>
      <c r="G133" s="285"/>
      <c r="H133" s="285"/>
      <c r="I133" s="285"/>
      <c r="J133" s="285"/>
      <c r="K133" s="285"/>
      <c r="L133" s="285"/>
      <c r="M133" s="285"/>
      <c r="N133" s="285"/>
      <c r="O133" s="285"/>
      <c r="P133" s="285"/>
      <c r="Q133" s="286"/>
      <c r="R133" s="145"/>
      <c r="S133" s="287"/>
      <c r="T133" s="285"/>
      <c r="U133" s="285"/>
      <c r="V133" s="288"/>
    </row>
    <row r="134" spans="1:22" ht="18" hidden="1" customHeight="1">
      <c r="A134" s="205" t="s">
        <v>864</v>
      </c>
      <c r="B134" s="209"/>
      <c r="C134" s="209"/>
      <c r="D134" s="209"/>
      <c r="E134" s="14"/>
      <c r="F134" s="14"/>
      <c r="G134" s="14"/>
      <c r="H134" s="14"/>
      <c r="I134" s="14"/>
      <c r="J134" s="14"/>
      <c r="K134" s="14"/>
      <c r="L134" s="14"/>
      <c r="M134" s="14"/>
      <c r="N134" s="14"/>
      <c r="O134" s="14"/>
      <c r="P134" s="27"/>
      <c r="Q134" s="28"/>
      <c r="T134" s="14"/>
      <c r="U134" s="14"/>
      <c r="V134" s="197"/>
    </row>
    <row r="135" spans="1:22" ht="18" hidden="1" customHeight="1">
      <c r="A135" s="205"/>
      <c r="B135" s="209"/>
      <c r="C135" s="209"/>
      <c r="D135" s="209"/>
      <c r="E135" s="14"/>
      <c r="F135" s="14"/>
      <c r="G135" s="14"/>
      <c r="H135" s="14"/>
      <c r="I135" s="14"/>
      <c r="J135" s="14"/>
      <c r="K135" s="14"/>
      <c r="L135" s="14"/>
      <c r="M135" s="14"/>
      <c r="N135" s="14"/>
      <c r="O135" s="14"/>
      <c r="P135" s="27"/>
      <c r="Q135" s="28"/>
      <c r="T135" s="14"/>
      <c r="U135" s="14"/>
      <c r="V135" s="197"/>
    </row>
    <row r="136" spans="1:22" ht="18" hidden="1" customHeight="1">
      <c r="A136" s="96"/>
      <c r="B136" s="209" t="s">
        <v>861</v>
      </c>
      <c r="C136" s="209"/>
      <c r="D136" s="14"/>
      <c r="E136" s="14"/>
      <c r="F136" s="14"/>
      <c r="G136" s="14"/>
      <c r="H136" s="14"/>
      <c r="I136" s="14"/>
      <c r="J136" s="14"/>
      <c r="K136" s="14"/>
      <c r="L136" s="14"/>
      <c r="M136" s="14"/>
      <c r="N136" s="14"/>
      <c r="O136" s="14"/>
      <c r="P136" s="14"/>
      <c r="Q136" s="14"/>
      <c r="R136" s="14"/>
      <c r="S136" s="14"/>
      <c r="T136" s="14"/>
      <c r="U136" s="14"/>
      <c r="V136" s="197"/>
    </row>
    <row r="137" spans="1:22" ht="18" hidden="1" customHeight="1">
      <c r="A137" s="96"/>
      <c r="B137" s="14"/>
      <c r="C137" s="14"/>
      <c r="D137" s="14"/>
      <c r="E137" s="14"/>
      <c r="F137" s="256" t="s">
        <v>486</v>
      </c>
      <c r="G137" s="28" t="str">
        <f>IF(E138&gt;H138, "&gt;","&lt;")</f>
        <v>&lt;</v>
      </c>
      <c r="H137" s="14" t="s">
        <v>488</v>
      </c>
      <c r="I137" s="14"/>
      <c r="J137" s="14"/>
      <c r="K137" s="14"/>
      <c r="L137" s="14" t="s">
        <v>865</v>
      </c>
      <c r="M137" s="14"/>
      <c r="N137" s="14"/>
      <c r="O137" s="14"/>
      <c r="P137" s="14"/>
      <c r="Q137" s="14"/>
      <c r="R137" s="14"/>
      <c r="S137" s="14"/>
      <c r="T137" s="14"/>
      <c r="U137" s="14"/>
      <c r="V137" s="197"/>
    </row>
    <row r="138" spans="1:22" ht="18" hidden="1" customHeight="1">
      <c r="A138" s="96"/>
      <c r="B138" s="14"/>
      <c r="C138" s="14"/>
      <c r="D138" s="14"/>
      <c r="E138" s="959">
        <f>J96</f>
        <v>0</v>
      </c>
      <c r="F138" s="959"/>
      <c r="G138" s="28" t="str">
        <f>G137</f>
        <v>&lt;</v>
      </c>
      <c r="H138" s="641">
        <f>E120</f>
        <v>12.283483866700001</v>
      </c>
      <c r="I138" s="641"/>
      <c r="J138" s="14"/>
      <c r="K138" s="14"/>
      <c r="L138" s="14"/>
      <c r="M138" s="14"/>
      <c r="N138" s="14"/>
      <c r="O138" s="14"/>
      <c r="P138" s="14"/>
      <c r="Q138" s="14"/>
      <c r="R138" s="14"/>
      <c r="S138" s="14"/>
      <c r="T138" s="14"/>
      <c r="U138" s="14"/>
      <c r="V138" s="197"/>
    </row>
    <row r="139" spans="1:22" ht="18" hidden="1" customHeight="1">
      <c r="A139" s="196"/>
      <c r="D139" s="223"/>
      <c r="E139" s="230"/>
      <c r="F139" s="211" t="s">
        <v>866</v>
      </c>
      <c r="G139" s="223"/>
      <c r="H139" s="293" t="s">
        <v>867</v>
      </c>
      <c r="J139" s="28" t="s">
        <v>868</v>
      </c>
      <c r="K139" s="18" t="str">
        <f>IF(G138="&gt;", "Satisfied", "Not Satisfied")</f>
        <v>Not Satisfied</v>
      </c>
      <c r="P139" s="14"/>
      <c r="Q139" s="14"/>
      <c r="R139" s="14"/>
      <c r="S139" s="14"/>
      <c r="T139" s="14"/>
      <c r="U139" s="14"/>
      <c r="V139" s="197"/>
    </row>
    <row r="140" spans="1:22" ht="18" hidden="1" customHeight="1">
      <c r="A140" s="96"/>
      <c r="B140" s="209" t="s">
        <v>863</v>
      </c>
      <c r="C140" s="209"/>
      <c r="D140" s="14"/>
      <c r="E140" s="14"/>
      <c r="F140" s="14"/>
      <c r="G140" s="14"/>
      <c r="H140" s="14"/>
      <c r="I140" s="14"/>
      <c r="J140" s="14"/>
      <c r="K140" s="14"/>
      <c r="L140" s="14"/>
      <c r="M140" s="14"/>
      <c r="N140" s="14"/>
      <c r="O140" s="14"/>
      <c r="P140" s="120"/>
      <c r="Q140" s="308"/>
      <c r="V140" s="197"/>
    </row>
    <row r="141" spans="1:22" ht="18" hidden="1" customHeight="1">
      <c r="A141" s="96"/>
      <c r="B141" s="14"/>
      <c r="C141" s="14"/>
      <c r="D141" s="14"/>
      <c r="E141" s="14"/>
      <c r="F141" s="256" t="s">
        <v>486</v>
      </c>
      <c r="G141" s="28" t="str">
        <f>IF(E142&gt;H142, "&gt;","&lt;")</f>
        <v>&lt;</v>
      </c>
      <c r="H141" s="14" t="s">
        <v>488</v>
      </c>
      <c r="I141" s="14"/>
      <c r="J141" s="14"/>
      <c r="K141" s="14"/>
      <c r="L141" s="14" t="s">
        <v>869</v>
      </c>
      <c r="M141" s="14"/>
      <c r="N141" s="14"/>
      <c r="O141" s="14"/>
      <c r="P141" s="313"/>
      <c r="Q141" s="474"/>
      <c r="V141" s="197"/>
    </row>
    <row r="142" spans="1:22" ht="18" hidden="1" customHeight="1">
      <c r="A142" s="96"/>
      <c r="B142" s="14"/>
      <c r="C142" s="14"/>
      <c r="D142" s="14"/>
      <c r="E142" s="959">
        <f>J96</f>
        <v>0</v>
      </c>
      <c r="F142" s="959"/>
      <c r="G142" s="28" t="str">
        <f>G141</f>
        <v>&lt;</v>
      </c>
      <c r="H142" s="641">
        <f>E126</f>
        <v>13.237226</v>
      </c>
      <c r="I142" s="641"/>
      <c r="J142" s="14"/>
      <c r="K142" s="14"/>
      <c r="L142" s="14"/>
      <c r="M142" s="14"/>
      <c r="N142" s="14"/>
      <c r="O142" s="14"/>
      <c r="V142" s="197"/>
    </row>
    <row r="143" spans="1:22" ht="18" hidden="1" customHeight="1">
      <c r="A143" s="196"/>
      <c r="D143" s="223"/>
      <c r="E143" s="14"/>
      <c r="F143" s="211" t="s">
        <v>866</v>
      </c>
      <c r="G143" s="223"/>
      <c r="H143" s="293" t="s">
        <v>863</v>
      </c>
      <c r="J143" s="28" t="s">
        <v>868</v>
      </c>
      <c r="K143" s="18" t="str">
        <f>IF(G142="&gt;", "Satisfied", "Not Satisfied")</f>
        <v>Not Satisfied</v>
      </c>
      <c r="P143" s="244"/>
      <c r="Q143" s="244"/>
      <c r="R143" s="244"/>
      <c r="S143" s="244"/>
      <c r="T143" s="244"/>
      <c r="U143" s="244"/>
      <c r="V143" s="245"/>
    </row>
    <row r="144" spans="1:22" ht="18" hidden="1" customHeight="1">
      <c r="A144" s="196"/>
      <c r="H144" s="28"/>
      <c r="I144" s="28"/>
      <c r="J144" s="28"/>
      <c r="K144" s="28"/>
      <c r="L144" s="28"/>
      <c r="M144" s="28"/>
      <c r="N144" s="28"/>
      <c r="O144" s="28"/>
      <c r="P144" s="244"/>
      <c r="Q144" s="244"/>
      <c r="R144" s="244"/>
      <c r="S144" s="244"/>
      <c r="T144" s="244"/>
      <c r="U144" s="244"/>
      <c r="V144" s="245"/>
    </row>
    <row r="145" spans="1:22" ht="18" hidden="1" customHeight="1">
      <c r="A145" s="96"/>
      <c r="B145" s="14"/>
      <c r="C145" s="14"/>
      <c r="D145" s="14"/>
      <c r="E145" s="14"/>
      <c r="F145" s="256" t="s">
        <v>489</v>
      </c>
      <c r="G145" s="14"/>
      <c r="H145" s="18" t="str">
        <f>IF(AND(E138&gt;H138,E142&gt;H142),"Suitably Dimentioned","Under Dimentioned")</f>
        <v>Under Dimentioned</v>
      </c>
      <c r="I145" s="18"/>
      <c r="J145" s="18"/>
      <c r="K145" s="18"/>
      <c r="L145" s="18"/>
      <c r="M145" s="18"/>
      <c r="N145" s="14"/>
      <c r="O145" s="14"/>
      <c r="V145" s="197"/>
    </row>
    <row r="146" spans="1:22" ht="18" hidden="1" customHeight="1">
      <c r="A146" s="196"/>
      <c r="B146" s="27"/>
      <c r="C146" s="27"/>
      <c r="D146" s="27"/>
      <c r="E146" s="28"/>
      <c r="F146" s="27"/>
      <c r="G146" s="28"/>
      <c r="H146" s="27"/>
      <c r="I146" s="28"/>
      <c r="J146" s="27"/>
      <c r="K146" s="27"/>
      <c r="L146" s="27"/>
      <c r="M146" s="27"/>
      <c r="V146" s="197"/>
    </row>
    <row r="147" spans="1:22" ht="18" hidden="1" customHeight="1">
      <c r="A147" s="196"/>
      <c r="C147" s="27"/>
      <c r="D147" s="257"/>
      <c r="E147" s="233"/>
      <c r="F147" s="257"/>
      <c r="G147" s="234"/>
      <c r="H147" s="257"/>
      <c r="I147" s="257"/>
      <c r="J147" s="257"/>
      <c r="K147" s="257"/>
      <c r="L147" s="257"/>
      <c r="M147" s="27"/>
      <c r="V147" s="197"/>
    </row>
    <row r="148" spans="1:22" ht="18" hidden="1" customHeight="1">
      <c r="A148" s="196"/>
      <c r="C148" s="27"/>
      <c r="D148" s="216"/>
      <c r="E148" s="216"/>
      <c r="G148" s="18"/>
      <c r="V148" s="197"/>
    </row>
    <row r="149" spans="1:22" ht="18" hidden="1" customHeight="1">
      <c r="A149" s="96"/>
      <c r="B149" s="14"/>
      <c r="C149" s="14"/>
      <c r="D149" s="14"/>
      <c r="E149" s="14"/>
      <c r="F149" s="14"/>
      <c r="G149" s="14"/>
      <c r="H149" s="14"/>
      <c r="I149" s="14"/>
      <c r="J149" s="14"/>
      <c r="K149" s="14"/>
      <c r="L149" s="14"/>
      <c r="M149" s="14"/>
      <c r="N149" s="14"/>
      <c r="O149" s="14"/>
      <c r="P149" s="14"/>
      <c r="Q149" s="120"/>
      <c r="R149" s="28"/>
      <c r="S149" s="558"/>
      <c r="T149" s="14"/>
      <c r="U149" s="14"/>
      <c r="V149" s="394"/>
    </row>
    <row r="150" spans="1:22" ht="18" hidden="1" customHeight="1">
      <c r="A150" s="96"/>
      <c r="B150" s="14"/>
      <c r="C150" s="14"/>
      <c r="D150" s="14"/>
      <c r="E150" s="14"/>
      <c r="F150" s="14"/>
      <c r="G150" s="14"/>
      <c r="H150" s="14"/>
      <c r="I150" s="14"/>
      <c r="J150" s="14"/>
      <c r="K150" s="14"/>
      <c r="L150" s="14"/>
      <c r="M150" s="14"/>
      <c r="N150" s="14"/>
      <c r="O150" s="14"/>
      <c r="P150" s="14"/>
      <c r="Q150" s="120"/>
      <c r="R150" s="28"/>
      <c r="S150" s="558"/>
      <c r="T150" s="14"/>
      <c r="U150" s="14"/>
      <c r="V150" s="394"/>
    </row>
    <row r="151" spans="1:22" ht="18" hidden="1" customHeight="1">
      <c r="A151" s="96"/>
      <c r="B151" s="14"/>
      <c r="C151" s="14"/>
      <c r="D151" s="14"/>
      <c r="E151" s="14"/>
      <c r="F151" s="14"/>
      <c r="G151" s="14"/>
      <c r="H151" s="14"/>
      <c r="I151" s="14"/>
      <c r="J151" s="14"/>
      <c r="K151" s="14"/>
      <c r="L151" s="14"/>
      <c r="M151" s="14"/>
      <c r="N151" s="14"/>
      <c r="O151" s="14"/>
      <c r="P151" s="14"/>
      <c r="Q151" s="120"/>
      <c r="R151" s="28"/>
      <c r="S151" s="558"/>
      <c r="T151" s="14"/>
      <c r="U151" s="14"/>
      <c r="V151" s="394"/>
    </row>
    <row r="152" spans="1:22" ht="18" hidden="1" customHeight="1">
      <c r="A152" s="96"/>
      <c r="B152" s="14"/>
      <c r="C152" s="14"/>
      <c r="D152" s="14"/>
      <c r="E152" s="14"/>
      <c r="F152" s="14"/>
      <c r="G152" s="14"/>
      <c r="H152" s="14"/>
      <c r="I152" s="14"/>
      <c r="J152" s="14"/>
      <c r="K152" s="14"/>
      <c r="L152" s="14"/>
      <c r="M152" s="14"/>
      <c r="N152" s="14"/>
      <c r="O152" s="14"/>
      <c r="P152" s="14"/>
      <c r="Q152" s="120"/>
      <c r="R152" s="28"/>
      <c r="S152" s="558"/>
      <c r="T152" s="14"/>
      <c r="U152" s="14"/>
      <c r="V152" s="394"/>
    </row>
    <row r="153" spans="1:22" ht="18" hidden="1" customHeight="1">
      <c r="A153" s="96"/>
      <c r="B153" s="14"/>
      <c r="C153" s="14"/>
      <c r="D153" s="14"/>
      <c r="E153" s="14"/>
      <c r="F153" s="14"/>
      <c r="G153" s="14"/>
      <c r="H153" s="14"/>
      <c r="I153" s="14"/>
      <c r="J153" s="14"/>
      <c r="K153" s="14"/>
      <c r="L153" s="14"/>
      <c r="M153" s="14"/>
      <c r="N153" s="14"/>
      <c r="O153" s="14"/>
      <c r="P153" s="14"/>
      <c r="Q153" s="120"/>
      <c r="R153" s="28"/>
      <c r="S153" s="558"/>
      <c r="T153" s="14"/>
      <c r="U153" s="14"/>
      <c r="V153" s="394"/>
    </row>
    <row r="154" spans="1:22" ht="18" hidden="1" customHeight="1">
      <c r="A154" s="96"/>
      <c r="B154" s="14"/>
      <c r="C154" s="14"/>
      <c r="D154" s="14"/>
      <c r="E154" s="14"/>
      <c r="F154" s="14"/>
      <c r="G154" s="14"/>
      <c r="H154" s="14"/>
      <c r="I154" s="14"/>
      <c r="J154" s="14"/>
      <c r="K154" s="14"/>
      <c r="L154" s="14"/>
      <c r="M154" s="14"/>
      <c r="N154" s="14"/>
      <c r="O154" s="14"/>
      <c r="P154" s="14"/>
      <c r="Q154" s="120"/>
      <c r="R154" s="28"/>
      <c r="S154" s="558"/>
      <c r="T154" s="14"/>
      <c r="U154" s="14"/>
      <c r="V154" s="394"/>
    </row>
    <row r="155" spans="1:22" ht="18" hidden="1" customHeight="1">
      <c r="A155" s="96"/>
      <c r="B155" s="14"/>
      <c r="C155" s="14"/>
      <c r="D155" s="14"/>
      <c r="E155" s="14"/>
      <c r="F155" s="14"/>
      <c r="G155" s="14"/>
      <c r="H155" s="14"/>
      <c r="I155" s="14"/>
      <c r="J155" s="14"/>
      <c r="K155" s="14"/>
      <c r="L155" s="14"/>
      <c r="M155" s="14"/>
      <c r="N155" s="14"/>
      <c r="O155" s="14"/>
      <c r="P155" s="14"/>
      <c r="Q155" s="120"/>
      <c r="R155" s="28"/>
      <c r="S155" s="558"/>
      <c r="T155" s="14"/>
      <c r="U155" s="14"/>
      <c r="V155" s="394"/>
    </row>
    <row r="156" spans="1:22" ht="18" hidden="1" customHeight="1">
      <c r="A156" s="96"/>
      <c r="B156" s="14"/>
      <c r="C156" s="14"/>
      <c r="D156" s="14"/>
      <c r="E156" s="14"/>
      <c r="F156" s="14"/>
      <c r="G156" s="14"/>
      <c r="H156" s="14"/>
      <c r="I156" s="14"/>
      <c r="J156" s="14"/>
      <c r="K156" s="14"/>
      <c r="L156" s="14"/>
      <c r="M156" s="14"/>
      <c r="N156" s="14"/>
      <c r="O156" s="14"/>
      <c r="P156" s="14"/>
      <c r="Q156" s="120"/>
      <c r="R156" s="28"/>
      <c r="S156" s="558"/>
      <c r="T156" s="14"/>
      <c r="U156" s="14"/>
      <c r="V156" s="394"/>
    </row>
    <row r="157" spans="1:22" ht="18" hidden="1" customHeight="1">
      <c r="A157" s="96"/>
      <c r="B157" s="14"/>
      <c r="C157" s="14"/>
      <c r="D157" s="14"/>
      <c r="E157" s="14"/>
      <c r="F157" s="14"/>
      <c r="G157" s="14"/>
      <c r="H157" s="14"/>
      <c r="I157" s="14"/>
      <c r="J157" s="14"/>
      <c r="K157" s="14"/>
      <c r="L157" s="14"/>
      <c r="M157" s="14"/>
      <c r="N157" s="14"/>
      <c r="O157" s="14"/>
      <c r="P157" s="14"/>
      <c r="Q157" s="120"/>
      <c r="R157" s="28"/>
      <c r="S157" s="558"/>
      <c r="T157" s="14"/>
      <c r="U157" s="14"/>
      <c r="V157" s="394"/>
    </row>
    <row r="158" spans="1:22" ht="18" hidden="1" customHeight="1">
      <c r="A158" s="96"/>
      <c r="B158" s="14"/>
      <c r="C158" s="14"/>
      <c r="D158" s="14"/>
      <c r="E158" s="14"/>
      <c r="F158" s="14"/>
      <c r="G158" s="14"/>
      <c r="H158" s="14"/>
      <c r="I158" s="14"/>
      <c r="J158" s="14"/>
      <c r="K158" s="14"/>
      <c r="L158" s="14"/>
      <c r="M158" s="14"/>
      <c r="N158" s="14"/>
      <c r="O158" s="14"/>
      <c r="P158" s="14"/>
      <c r="Q158" s="120"/>
      <c r="R158" s="28"/>
      <c r="S158" s="558"/>
      <c r="T158" s="14"/>
      <c r="U158" s="14"/>
      <c r="V158" s="394"/>
    </row>
    <row r="159" spans="1:22" ht="18" hidden="1" customHeight="1">
      <c r="A159" s="96"/>
      <c r="B159" s="14"/>
      <c r="C159" s="14"/>
      <c r="D159" s="14"/>
      <c r="E159" s="14"/>
      <c r="F159" s="14"/>
      <c r="G159" s="14"/>
      <c r="H159" s="14"/>
      <c r="I159" s="14"/>
      <c r="J159" s="14"/>
      <c r="K159" s="14"/>
      <c r="L159" s="14"/>
      <c r="M159" s="14"/>
      <c r="N159" s="14"/>
      <c r="O159" s="14"/>
      <c r="P159" s="14"/>
      <c r="Q159" s="120"/>
      <c r="R159" s="28"/>
      <c r="S159" s="558"/>
      <c r="T159" s="14"/>
      <c r="U159" s="14"/>
      <c r="V159" s="394"/>
    </row>
    <row r="160" spans="1:22" ht="18" hidden="1" customHeight="1">
      <c r="A160" s="96"/>
      <c r="B160" s="14"/>
      <c r="C160" s="14"/>
      <c r="D160" s="14"/>
      <c r="E160" s="14"/>
      <c r="F160" s="14"/>
      <c r="G160" s="14"/>
      <c r="H160" s="14"/>
      <c r="I160" s="14"/>
      <c r="J160" s="14"/>
      <c r="K160" s="14"/>
      <c r="L160" s="14"/>
      <c r="M160" s="14"/>
      <c r="N160" s="14"/>
      <c r="O160" s="14"/>
      <c r="P160" s="14"/>
      <c r="Q160" s="120"/>
      <c r="R160" s="28"/>
      <c r="S160" s="558"/>
      <c r="T160" s="14"/>
      <c r="U160" s="14"/>
      <c r="V160" s="394"/>
    </row>
    <row r="161" spans="1:22" ht="18" hidden="1" customHeight="1">
      <c r="A161" s="96"/>
      <c r="B161" s="14"/>
      <c r="C161" s="14"/>
      <c r="D161" s="14"/>
      <c r="E161" s="14"/>
      <c r="F161" s="14"/>
      <c r="G161" s="14"/>
      <c r="H161" s="14"/>
      <c r="I161" s="14"/>
      <c r="J161" s="14"/>
      <c r="K161" s="14"/>
      <c r="L161" s="14"/>
      <c r="M161" s="14"/>
      <c r="N161" s="14"/>
      <c r="O161" s="14"/>
      <c r="P161" s="14"/>
      <c r="Q161" s="120"/>
      <c r="R161" s="28"/>
      <c r="S161" s="558"/>
      <c r="T161" s="14"/>
      <c r="U161" s="14"/>
      <c r="V161" s="394"/>
    </row>
    <row r="162" spans="1:22" ht="18" hidden="1" customHeight="1">
      <c r="A162" s="96"/>
      <c r="B162" s="14"/>
      <c r="C162" s="14"/>
      <c r="D162" s="14"/>
      <c r="E162" s="14"/>
      <c r="F162" s="14"/>
      <c r="G162" s="14"/>
      <c r="H162" s="14"/>
      <c r="I162" s="14"/>
      <c r="J162" s="14"/>
      <c r="K162" s="14"/>
      <c r="L162" s="14"/>
      <c r="M162" s="14"/>
      <c r="N162" s="14"/>
      <c r="O162" s="14"/>
      <c r="P162" s="14"/>
      <c r="Q162" s="120"/>
      <c r="R162" s="28"/>
      <c r="S162" s="558"/>
      <c r="T162" s="14"/>
      <c r="U162" s="14"/>
      <c r="V162" s="394"/>
    </row>
    <row r="163" spans="1:22" ht="18" hidden="1" customHeight="1">
      <c r="A163" s="96"/>
      <c r="B163" s="14"/>
      <c r="C163" s="14"/>
      <c r="D163" s="14"/>
      <c r="E163" s="14"/>
      <c r="F163" s="14"/>
      <c r="G163" s="14"/>
      <c r="H163" s="14"/>
      <c r="I163" s="14"/>
      <c r="J163" s="14"/>
      <c r="K163" s="14"/>
      <c r="L163" s="14"/>
      <c r="M163" s="14"/>
      <c r="N163" s="14"/>
      <c r="O163" s="14"/>
      <c r="P163" s="14"/>
      <c r="Q163" s="120"/>
      <c r="R163" s="28"/>
      <c r="S163" s="558"/>
      <c r="T163" s="14"/>
      <c r="U163" s="14"/>
      <c r="V163" s="394"/>
    </row>
    <row r="164" spans="1:22" ht="18" hidden="1" customHeight="1">
      <c r="A164" s="96"/>
      <c r="B164" s="14"/>
      <c r="C164" s="14"/>
      <c r="D164" s="14"/>
      <c r="E164" s="14"/>
      <c r="F164" s="14"/>
      <c r="G164" s="14"/>
      <c r="H164" s="14"/>
      <c r="I164" s="14"/>
      <c r="J164" s="14"/>
      <c r="K164" s="14"/>
      <c r="L164" s="14"/>
      <c r="M164" s="14"/>
      <c r="N164" s="14"/>
      <c r="O164" s="14"/>
      <c r="P164" s="14"/>
      <c r="Q164" s="120"/>
      <c r="R164" s="28"/>
      <c r="S164" s="558"/>
      <c r="T164" s="14"/>
      <c r="U164" s="14"/>
      <c r="V164" s="394"/>
    </row>
    <row r="165" spans="1:22" ht="18" hidden="1" customHeight="1">
      <c r="A165" s="96"/>
      <c r="B165" s="14"/>
      <c r="C165" s="14"/>
      <c r="D165" s="14"/>
      <c r="E165" s="14"/>
      <c r="F165" s="14"/>
      <c r="G165" s="14"/>
      <c r="H165" s="14"/>
      <c r="I165" s="14"/>
      <c r="J165" s="14"/>
      <c r="K165" s="14"/>
      <c r="L165" s="14"/>
      <c r="M165" s="14"/>
      <c r="N165" s="14"/>
      <c r="O165" s="14"/>
      <c r="P165" s="14"/>
      <c r="Q165" s="120"/>
      <c r="R165" s="28"/>
      <c r="S165" s="558"/>
      <c r="T165" s="14"/>
      <c r="U165" s="14"/>
      <c r="V165" s="394"/>
    </row>
    <row r="166" spans="1:22" ht="18" hidden="1" customHeight="1">
      <c r="A166" s="96"/>
      <c r="B166" s="14"/>
      <c r="C166" s="14"/>
      <c r="D166" s="14"/>
      <c r="E166" s="14"/>
      <c r="F166" s="14"/>
      <c r="G166" s="14"/>
      <c r="H166" s="14"/>
      <c r="I166" s="14"/>
      <c r="J166" s="14"/>
      <c r="K166" s="14"/>
      <c r="L166" s="14"/>
      <c r="M166" s="14"/>
      <c r="N166" s="14"/>
      <c r="O166" s="14"/>
      <c r="P166" s="14"/>
      <c r="Q166" s="120"/>
      <c r="R166" s="28"/>
      <c r="S166" s="558"/>
      <c r="T166" s="14"/>
      <c r="U166" s="14"/>
      <c r="V166" s="394"/>
    </row>
    <row r="167" spans="1:22" ht="18" hidden="1" customHeight="1">
      <c r="A167" s="96"/>
      <c r="B167" s="14"/>
      <c r="C167" s="14"/>
      <c r="D167" s="14"/>
      <c r="E167" s="14"/>
      <c r="F167" s="14"/>
      <c r="G167" s="14"/>
      <c r="H167" s="14"/>
      <c r="I167" s="14"/>
      <c r="J167" s="14"/>
      <c r="K167" s="14"/>
      <c r="L167" s="14"/>
      <c r="M167" s="14"/>
      <c r="N167" s="14"/>
      <c r="O167" s="14"/>
      <c r="P167" s="14"/>
      <c r="Q167" s="120"/>
      <c r="R167" s="28"/>
      <c r="S167" s="558"/>
      <c r="T167" s="14"/>
      <c r="U167" s="14"/>
      <c r="V167" s="394"/>
    </row>
    <row r="168" spans="1:22" ht="18" hidden="1" customHeight="1">
      <c r="A168" s="96"/>
      <c r="B168" s="14"/>
      <c r="C168" s="14"/>
      <c r="D168" s="14"/>
      <c r="E168" s="14"/>
      <c r="F168" s="14"/>
      <c r="G168" s="14"/>
      <c r="H168" s="14"/>
      <c r="I168" s="14"/>
      <c r="J168" s="14"/>
      <c r="K168" s="14"/>
      <c r="L168" s="14"/>
      <c r="M168" s="14"/>
      <c r="N168" s="14"/>
      <c r="O168" s="14"/>
      <c r="P168" s="14"/>
      <c r="Q168" s="120"/>
      <c r="R168" s="28"/>
      <c r="S168" s="558"/>
      <c r="T168" s="14"/>
      <c r="U168" s="14"/>
      <c r="V168" s="394"/>
    </row>
    <row r="169" spans="1:22" ht="18" hidden="1" customHeight="1">
      <c r="A169" s="96"/>
      <c r="B169" s="14"/>
      <c r="C169" s="14"/>
      <c r="D169" s="14"/>
      <c r="E169" s="14"/>
      <c r="F169" s="14"/>
      <c r="G169" s="14"/>
      <c r="H169" s="14"/>
      <c r="I169" s="14"/>
      <c r="J169" s="14"/>
      <c r="K169" s="14"/>
      <c r="L169" s="14"/>
      <c r="M169" s="14"/>
      <c r="N169" s="14"/>
      <c r="O169" s="14"/>
      <c r="P169" s="14"/>
      <c r="Q169" s="120"/>
      <c r="R169" s="28"/>
      <c r="S169" s="558"/>
      <c r="T169" s="14"/>
      <c r="U169" s="14"/>
      <c r="V169" s="394"/>
    </row>
    <row r="170" spans="1:22" ht="18" hidden="1" customHeight="1">
      <c r="A170" s="96"/>
      <c r="B170" s="14"/>
      <c r="C170" s="14"/>
      <c r="D170" s="14"/>
      <c r="E170" s="14"/>
      <c r="F170" s="14"/>
      <c r="G170" s="14"/>
      <c r="H170" s="14"/>
      <c r="I170" s="14"/>
      <c r="J170" s="14"/>
      <c r="K170" s="14"/>
      <c r="L170" s="14"/>
      <c r="M170" s="14"/>
      <c r="N170" s="14"/>
      <c r="O170" s="14"/>
      <c r="P170" s="14"/>
      <c r="Q170" s="120"/>
      <c r="R170" s="28"/>
      <c r="S170" s="558"/>
      <c r="T170" s="14"/>
      <c r="U170" s="14"/>
      <c r="V170" s="394"/>
    </row>
    <row r="171" spans="1:22" ht="18" hidden="1" customHeight="1">
      <c r="A171" s="96"/>
      <c r="B171" s="14"/>
      <c r="C171" s="14"/>
      <c r="D171" s="14"/>
      <c r="E171" s="14"/>
      <c r="F171" s="14"/>
      <c r="G171" s="14"/>
      <c r="H171" s="14"/>
      <c r="I171" s="14"/>
      <c r="J171" s="14"/>
      <c r="K171" s="14"/>
      <c r="L171" s="14"/>
      <c r="M171" s="14"/>
      <c r="N171" s="14"/>
      <c r="O171" s="14"/>
      <c r="P171" s="14"/>
      <c r="Q171" s="120"/>
      <c r="R171" s="28"/>
      <c r="S171" s="558"/>
      <c r="T171" s="14"/>
      <c r="U171" s="14"/>
      <c r="V171" s="394"/>
    </row>
    <row r="172" spans="1:22" ht="18" hidden="1" customHeight="1">
      <c r="A172" s="96"/>
      <c r="B172" s="14"/>
      <c r="C172" s="14"/>
      <c r="D172" s="14"/>
      <c r="E172" s="14"/>
      <c r="F172" s="14"/>
      <c r="G172" s="14"/>
      <c r="H172" s="14"/>
      <c r="I172" s="14"/>
      <c r="J172" s="14"/>
      <c r="K172" s="14"/>
      <c r="L172" s="14"/>
      <c r="M172" s="14"/>
      <c r="N172" s="14"/>
      <c r="O172" s="14"/>
      <c r="P172" s="14"/>
      <c r="Q172" s="120"/>
      <c r="R172" s="28"/>
      <c r="S172" s="558"/>
      <c r="T172" s="14"/>
      <c r="U172" s="14"/>
      <c r="V172" s="394"/>
    </row>
    <row r="173" spans="1:22" ht="18" hidden="1" customHeight="1">
      <c r="A173" s="96"/>
      <c r="B173" s="14"/>
      <c r="C173" s="14"/>
      <c r="D173" s="14"/>
      <c r="E173" s="14"/>
      <c r="F173" s="14"/>
      <c r="G173" s="14"/>
      <c r="H173" s="14"/>
      <c r="I173" s="14"/>
      <c r="J173" s="14"/>
      <c r="K173" s="14"/>
      <c r="L173" s="14"/>
      <c r="M173" s="14"/>
      <c r="N173" s="14"/>
      <c r="O173" s="14"/>
      <c r="P173" s="14"/>
      <c r="Q173" s="120"/>
      <c r="R173" s="28"/>
      <c r="S173" s="558"/>
      <c r="T173" s="14"/>
      <c r="U173" s="14"/>
      <c r="V173" s="394"/>
    </row>
    <row r="174" spans="1:22" ht="18" hidden="1" customHeight="1">
      <c r="A174" s="96"/>
      <c r="B174" s="14"/>
      <c r="C174" s="14"/>
      <c r="D174" s="14"/>
      <c r="E174" s="14"/>
      <c r="F174" s="14"/>
      <c r="G174" s="14"/>
      <c r="H174" s="14"/>
      <c r="I174" s="14"/>
      <c r="J174" s="14"/>
      <c r="K174" s="14"/>
      <c r="L174" s="14"/>
      <c r="M174" s="14"/>
      <c r="N174" s="14"/>
      <c r="O174" s="14"/>
      <c r="P174" s="14"/>
      <c r="Q174" s="120"/>
      <c r="R174" s="28"/>
      <c r="S174" s="558"/>
      <c r="T174" s="14"/>
      <c r="U174" s="14"/>
      <c r="V174" s="394"/>
    </row>
    <row r="175" spans="1:22" ht="18" hidden="1" customHeight="1">
      <c r="A175" s="96"/>
      <c r="B175" s="14"/>
      <c r="C175" s="14"/>
      <c r="D175" s="14"/>
      <c r="E175" s="14"/>
      <c r="F175" s="14"/>
      <c r="G175" s="14"/>
      <c r="H175" s="14"/>
      <c r="I175" s="14"/>
      <c r="J175" s="14"/>
      <c r="K175" s="14"/>
      <c r="L175" s="14"/>
      <c r="M175" s="14"/>
      <c r="N175" s="14"/>
      <c r="O175" s="14"/>
      <c r="P175" s="14"/>
      <c r="Q175" s="120"/>
      <c r="R175" s="28"/>
      <c r="S175" s="558"/>
      <c r="T175" s="14"/>
      <c r="U175" s="14"/>
      <c r="V175" s="394"/>
    </row>
    <row r="176" spans="1:22" ht="18" hidden="1" customHeight="1">
      <c r="A176" s="206"/>
      <c r="B176" s="207"/>
      <c r="C176" s="207"/>
      <c r="D176" s="207"/>
      <c r="E176" s="207"/>
      <c r="F176" s="207"/>
      <c r="G176" s="207"/>
      <c r="H176" s="207"/>
      <c r="I176" s="207"/>
      <c r="J176" s="207"/>
      <c r="K176" s="207"/>
      <c r="L176" s="207"/>
      <c r="M176" s="207"/>
      <c r="N176" s="207"/>
      <c r="O176" s="207"/>
      <c r="P176" s="207"/>
      <c r="Q176" s="236"/>
      <c r="R176" s="194"/>
      <c r="S176" s="237"/>
      <c r="T176" s="207"/>
      <c r="U176" s="207"/>
      <c r="V176" s="140" t="s">
        <v>563</v>
      </c>
    </row>
    <row r="177" spans="1:23" ht="18" hidden="1" customHeight="1">
      <c r="A177" s="238"/>
      <c r="B177" s="239"/>
      <c r="C177" s="239"/>
      <c r="D177" s="239"/>
      <c r="E177" s="239"/>
      <c r="F177" s="239"/>
      <c r="G177" s="239"/>
      <c r="H177" s="239"/>
      <c r="I177" s="239"/>
      <c r="J177" s="239"/>
      <c r="K177" s="239"/>
      <c r="L177" s="239"/>
      <c r="M177" s="239"/>
      <c r="N177" s="239"/>
      <c r="O177" s="239"/>
      <c r="P177" s="239"/>
      <c r="Q177" s="239"/>
      <c r="R177" s="239"/>
      <c r="S177" s="239"/>
      <c r="T177" s="239"/>
      <c r="U177" s="239"/>
      <c r="V177" s="240"/>
    </row>
    <row r="178" spans="1:23" ht="18" hidden="1" customHeight="1">
      <c r="A178" s="196"/>
      <c r="B178" s="650" t="str">
        <f>B90</f>
        <v>T1</v>
      </c>
      <c r="C178" s="651"/>
      <c r="D178" s="650" t="str">
        <f>D90</f>
        <v>Core5</v>
      </c>
      <c r="E178" s="651"/>
      <c r="F178" s="468"/>
      <c r="H178" s="639" t="s">
        <v>722</v>
      </c>
      <c r="I178" s="639"/>
      <c r="J178" s="639"/>
      <c r="K178" s="639"/>
      <c r="L178" s="639"/>
      <c r="M178" s="639"/>
      <c r="P178" s="198"/>
      <c r="S178" s="199" t="s">
        <v>398</v>
      </c>
      <c r="T178" s="650" t="str">
        <f>T90</f>
        <v>P743</v>
      </c>
      <c r="U178" s="651"/>
      <c r="V178" s="197"/>
    </row>
    <row r="179" spans="1:23" ht="18" hidden="1" customHeight="1">
      <c r="A179" s="469"/>
      <c r="F179" s="468"/>
      <c r="T179" s="650">
        <f>T91</f>
        <v>0</v>
      </c>
      <c r="U179" s="651"/>
      <c r="V179" s="197"/>
    </row>
    <row r="180" spans="1:23" ht="18" hidden="1" customHeight="1">
      <c r="A180" s="196"/>
      <c r="H180" s="661" t="s">
        <v>401</v>
      </c>
      <c r="I180" s="661"/>
      <c r="J180" s="661" t="s">
        <v>402</v>
      </c>
      <c r="K180" s="661"/>
      <c r="L180" s="662" t="s">
        <v>403</v>
      </c>
      <c r="M180" s="662"/>
      <c r="T180" s="650">
        <f>T92</f>
        <v>0</v>
      </c>
      <c r="U180" s="651"/>
      <c r="V180" s="197"/>
    </row>
    <row r="181" spans="1:23" ht="18" hidden="1" customHeight="1">
      <c r="A181" s="196"/>
      <c r="B181" s="47" t="s">
        <v>404</v>
      </c>
      <c r="H181" s="650">
        <f>H93</f>
        <v>1500</v>
      </c>
      <c r="I181" s="651"/>
      <c r="J181" s="650">
        <f>J93</f>
        <v>0</v>
      </c>
      <c r="K181" s="651"/>
      <c r="L181" s="652">
        <f>L93</f>
        <v>0</v>
      </c>
      <c r="M181" s="653"/>
      <c r="N181" s="203" t="s">
        <v>353</v>
      </c>
      <c r="O181" s="268">
        <f>O93</f>
        <v>1</v>
      </c>
      <c r="P181" s="27" t="s">
        <v>9</v>
      </c>
      <c r="R181" s="267"/>
      <c r="S181" s="267"/>
      <c r="V181" s="197"/>
    </row>
    <row r="182" spans="1:23" ht="18" hidden="1" customHeight="1">
      <c r="A182" s="196"/>
      <c r="B182" s="47" t="s">
        <v>405</v>
      </c>
      <c r="L182" s="650" t="str">
        <f>J94</f>
        <v>X</v>
      </c>
      <c r="M182" s="651"/>
      <c r="V182" s="197"/>
    </row>
    <row r="183" spans="1:23" ht="18" hidden="1" customHeight="1">
      <c r="A183" s="196"/>
      <c r="B183" s="47" t="s">
        <v>407</v>
      </c>
      <c r="K183" s="120" t="s">
        <v>508</v>
      </c>
      <c r="L183" s="981"/>
      <c r="M183" s="982"/>
      <c r="N183" s="204" t="s">
        <v>344</v>
      </c>
      <c r="V183" s="197"/>
    </row>
    <row r="184" spans="1:23" ht="18" hidden="1" customHeight="1">
      <c r="A184" s="196"/>
      <c r="B184" s="47" t="s">
        <v>409</v>
      </c>
      <c r="K184" s="120" t="s">
        <v>509</v>
      </c>
      <c r="L184" s="940"/>
      <c r="M184" s="941"/>
      <c r="N184" s="14" t="s">
        <v>316</v>
      </c>
      <c r="U184" s="18"/>
      <c r="V184" s="197"/>
      <c r="W184" s="30" t="e">
        <f>H233</f>
        <v>#DIV/0!</v>
      </c>
    </row>
    <row r="185" spans="1:23" ht="18" hidden="1" customHeight="1">
      <c r="A185" s="196"/>
      <c r="B185" s="14" t="s">
        <v>412</v>
      </c>
      <c r="K185" s="120" t="s">
        <v>413</v>
      </c>
      <c r="L185" s="940"/>
      <c r="M185" s="941"/>
      <c r="N185" s="14" t="s">
        <v>414</v>
      </c>
      <c r="V185" s="197"/>
    </row>
    <row r="186" spans="1:23" ht="18" hidden="1" customHeight="1">
      <c r="A186" s="196"/>
      <c r="V186" s="197"/>
    </row>
    <row r="187" spans="1:23" ht="18" hidden="1" customHeight="1">
      <c r="A187" s="205" t="s">
        <v>415</v>
      </c>
      <c r="V187" s="197"/>
    </row>
    <row r="188" spans="1:23" ht="18" hidden="1" customHeight="1">
      <c r="A188" s="196"/>
      <c r="V188" s="197"/>
    </row>
    <row r="189" spans="1:23" ht="18" hidden="1" customHeight="1">
      <c r="A189" s="196"/>
      <c r="B189" s="141" t="s">
        <v>416</v>
      </c>
      <c r="C189" s="285"/>
      <c r="D189" s="146" t="str">
        <f>T178</f>
        <v>P743</v>
      </c>
      <c r="E189" s="239"/>
      <c r="F189" s="239"/>
      <c r="G189" s="239"/>
      <c r="H189" s="145"/>
      <c r="I189" s="272" t="s">
        <v>138</v>
      </c>
      <c r="J189" s="644">
        <f>J101</f>
        <v>0.1</v>
      </c>
      <c r="K189" s="648"/>
      <c r="L189" s="3" t="s">
        <v>168</v>
      </c>
      <c r="N189" s="209"/>
      <c r="V189" s="197"/>
    </row>
    <row r="190" spans="1:23" ht="18" hidden="1" customHeight="1">
      <c r="A190" s="196"/>
      <c r="B190" s="96" t="s">
        <v>416</v>
      </c>
      <c r="C190" s="14"/>
      <c r="D190" s="47">
        <f>T179</f>
        <v>0</v>
      </c>
      <c r="E190" s="14"/>
      <c r="G190" s="211"/>
      <c r="H190" s="27"/>
      <c r="I190" s="101" t="s">
        <v>138</v>
      </c>
      <c r="J190" s="644">
        <f>J102</f>
        <v>0</v>
      </c>
      <c r="K190" s="648"/>
      <c r="L190" s="214" t="s">
        <v>168</v>
      </c>
      <c r="N190" s="28"/>
      <c r="O190" s="27"/>
      <c r="P190" s="28"/>
      <c r="Q190" s="102"/>
      <c r="R190" s="28"/>
      <c r="S190" s="27"/>
      <c r="T190" s="28"/>
      <c r="V190" s="197"/>
    </row>
    <row r="191" spans="1:23" ht="18" hidden="1" customHeight="1">
      <c r="A191" s="196"/>
      <c r="B191" s="96" t="s">
        <v>416</v>
      </c>
      <c r="C191" s="14"/>
      <c r="D191" s="47">
        <f>T180</f>
        <v>0</v>
      </c>
      <c r="E191" s="14"/>
      <c r="G191" s="211"/>
      <c r="H191" s="27"/>
      <c r="I191" s="101" t="s">
        <v>138</v>
      </c>
      <c r="J191" s="644">
        <f>J103</f>
        <v>0</v>
      </c>
      <c r="K191" s="648"/>
      <c r="L191" s="214" t="s">
        <v>168</v>
      </c>
      <c r="N191" s="27"/>
      <c r="O191" s="27"/>
      <c r="P191" s="27"/>
      <c r="Q191" s="102"/>
      <c r="R191" s="27"/>
      <c r="S191" s="27"/>
      <c r="T191" s="27"/>
      <c r="V191" s="197"/>
    </row>
    <row r="192" spans="1:23" ht="18" hidden="1" customHeight="1">
      <c r="A192" s="196"/>
      <c r="B192" s="196" t="s">
        <v>423</v>
      </c>
      <c r="C192" s="14"/>
      <c r="D192" s="14"/>
      <c r="E192" s="14"/>
      <c r="H192" s="27"/>
      <c r="I192" s="101" t="s">
        <v>138</v>
      </c>
      <c r="J192" s="644">
        <f>J104</f>
        <v>0.56186130000000001</v>
      </c>
      <c r="K192" s="648"/>
      <c r="L192" s="309" t="s">
        <v>168</v>
      </c>
      <c r="N192" s="27"/>
      <c r="O192" s="27"/>
      <c r="P192" s="216"/>
      <c r="R192" s="204"/>
      <c r="S192" s="27"/>
      <c r="T192" s="27"/>
      <c r="V192" s="197"/>
    </row>
    <row r="193" spans="1:22" ht="18" hidden="1" customHeight="1">
      <c r="A193" s="196"/>
      <c r="B193" s="1" t="s">
        <v>424</v>
      </c>
      <c r="C193" s="2"/>
      <c r="D193" s="2"/>
      <c r="E193" s="2"/>
      <c r="F193" s="208"/>
      <c r="G193" s="208"/>
      <c r="H193" s="236" t="s">
        <v>523</v>
      </c>
      <c r="I193" s="195" t="s">
        <v>138</v>
      </c>
      <c r="J193" s="648">
        <f>SUM(J189:J192)</f>
        <v>0.66186129999999999</v>
      </c>
      <c r="K193" s="649"/>
      <c r="L193" s="3" t="s">
        <v>168</v>
      </c>
      <c r="V193" s="197"/>
    </row>
    <row r="194" spans="1:22" ht="18" hidden="1" customHeight="1">
      <c r="A194" s="196"/>
      <c r="B194" s="47"/>
      <c r="C194" s="47"/>
      <c r="D194" s="47"/>
      <c r="E194" s="47"/>
      <c r="H194" s="27"/>
      <c r="I194" s="28"/>
      <c r="J194" s="211"/>
      <c r="L194" s="47"/>
      <c r="O194" s="27"/>
      <c r="P194" s="223"/>
      <c r="Q194" s="27"/>
      <c r="R194" s="216"/>
      <c r="S194" s="27"/>
      <c r="V194" s="197"/>
    </row>
    <row r="195" spans="1:22" ht="18" hidden="1" customHeight="1">
      <c r="A195" s="180"/>
      <c r="B195" s="5"/>
      <c r="C195" s="47" t="s">
        <v>852</v>
      </c>
      <c r="D195" s="14"/>
      <c r="E195" s="14"/>
      <c r="F195" s="14"/>
      <c r="G195" s="14"/>
      <c r="H195" s="291"/>
      <c r="I195" s="120"/>
      <c r="J195" s="291"/>
      <c r="K195" s="291"/>
      <c r="L195" s="14"/>
      <c r="M195" s="14"/>
      <c r="N195" s="14"/>
      <c r="O195" s="14"/>
      <c r="P195" s="14"/>
      <c r="Q195" s="120" t="s">
        <v>853</v>
      </c>
      <c r="R195" s="102" t="s">
        <v>138</v>
      </c>
      <c r="S195" s="650">
        <f>S107</f>
        <v>55677</v>
      </c>
      <c r="T195" s="651"/>
      <c r="U195" s="47" t="s">
        <v>9</v>
      </c>
      <c r="V195" s="197"/>
    </row>
    <row r="196" spans="1:22" ht="18" hidden="1" customHeight="1">
      <c r="A196" s="180"/>
      <c r="B196" s="5"/>
      <c r="C196" s="47" t="s">
        <v>665</v>
      </c>
      <c r="D196" s="14"/>
      <c r="E196" s="14"/>
      <c r="F196" s="18"/>
      <c r="G196" s="18"/>
      <c r="H196" s="291"/>
      <c r="I196" s="120"/>
      <c r="J196" s="291"/>
      <c r="K196" s="291"/>
      <c r="L196" s="14"/>
      <c r="M196" s="14"/>
      <c r="N196" s="14"/>
      <c r="O196" s="14"/>
      <c r="P196" s="14"/>
      <c r="Q196" s="120" t="s">
        <v>434</v>
      </c>
      <c r="R196" s="102" t="s">
        <v>138</v>
      </c>
      <c r="S196" s="638">
        <f>L181</f>
        <v>0</v>
      </c>
      <c r="T196" s="638"/>
      <c r="U196" s="14" t="s">
        <v>9</v>
      </c>
      <c r="V196" s="197"/>
    </row>
    <row r="197" spans="1:22" ht="18" hidden="1" customHeight="1">
      <c r="A197" s="180"/>
      <c r="B197" s="5"/>
      <c r="C197" s="47" t="s">
        <v>854</v>
      </c>
      <c r="E197" s="14"/>
      <c r="F197" s="18"/>
      <c r="G197" s="18"/>
      <c r="H197" s="291"/>
      <c r="I197" s="120"/>
      <c r="J197" s="291"/>
      <c r="K197" s="291"/>
      <c r="L197" s="14"/>
      <c r="M197" s="14"/>
      <c r="N197" s="14"/>
      <c r="O197" s="14"/>
      <c r="P197" s="14"/>
      <c r="Q197" s="120" t="s">
        <v>855</v>
      </c>
      <c r="R197" s="28" t="s">
        <v>138</v>
      </c>
      <c r="S197" s="641" t="e">
        <f>S195/S196*O181</f>
        <v>#DIV/0!</v>
      </c>
      <c r="T197" s="641"/>
      <c r="U197" s="14" t="s">
        <v>9</v>
      </c>
      <c r="V197" s="197"/>
    </row>
    <row r="198" spans="1:22" ht="18" hidden="1" customHeight="1">
      <c r="A198" s="180"/>
      <c r="B198" s="5"/>
      <c r="C198" s="47" t="s">
        <v>856</v>
      </c>
      <c r="D198" s="14"/>
      <c r="E198" s="14"/>
      <c r="F198" s="18"/>
      <c r="G198" s="18"/>
      <c r="H198" s="291"/>
      <c r="I198" s="120"/>
      <c r="J198" s="291"/>
      <c r="K198" s="291"/>
      <c r="L198" s="14"/>
      <c r="M198" s="14"/>
      <c r="N198" s="14"/>
      <c r="O198" s="14"/>
      <c r="P198" s="14"/>
      <c r="Q198" s="120" t="s">
        <v>700</v>
      </c>
      <c r="R198" s="28" t="s">
        <v>138</v>
      </c>
      <c r="S198" s="641">
        <f>J193/O181*O181</f>
        <v>0.66186129999999999</v>
      </c>
      <c r="T198" s="641"/>
      <c r="U198" s="204" t="s">
        <v>344</v>
      </c>
      <c r="V198" s="197"/>
    </row>
    <row r="199" spans="1:22" ht="18" hidden="1" customHeight="1">
      <c r="A199" s="180"/>
      <c r="B199" s="5"/>
      <c r="C199" s="47" t="s">
        <v>857</v>
      </c>
      <c r="Q199" s="120" t="s">
        <v>858</v>
      </c>
      <c r="R199" s="28" t="s">
        <v>138</v>
      </c>
      <c r="S199" s="650">
        <f>S111</f>
        <v>30000</v>
      </c>
      <c r="T199" s="651"/>
      <c r="U199" s="14" t="s">
        <v>9</v>
      </c>
      <c r="V199" s="197"/>
    </row>
    <row r="200" spans="1:22" ht="18" hidden="1" customHeight="1">
      <c r="A200" s="311"/>
      <c r="B200" s="291"/>
      <c r="C200" s="47" t="s">
        <v>859</v>
      </c>
      <c r="Q200" s="256" t="s">
        <v>860</v>
      </c>
      <c r="R200" s="28" t="s">
        <v>138</v>
      </c>
      <c r="S200" s="637" t="e">
        <f>S199/S196</f>
        <v>#DIV/0!</v>
      </c>
      <c r="T200" s="637"/>
      <c r="U200" s="14" t="s">
        <v>9</v>
      </c>
      <c r="V200" s="312"/>
    </row>
    <row r="201" spans="1:22" ht="18" hidden="1" customHeight="1">
      <c r="A201" s="96"/>
      <c r="B201" s="14"/>
      <c r="C201" s="14"/>
      <c r="D201" s="14"/>
      <c r="E201" s="14"/>
      <c r="F201" s="14"/>
      <c r="G201" s="14"/>
      <c r="H201" s="14"/>
      <c r="I201" s="14"/>
      <c r="J201" s="14"/>
      <c r="K201" s="14"/>
      <c r="L201" s="14"/>
      <c r="M201" s="14"/>
      <c r="N201" s="14"/>
      <c r="O201" s="14"/>
      <c r="P201" s="28"/>
      <c r="Q201" s="120"/>
      <c r="R201" s="14"/>
      <c r="S201" s="14"/>
      <c r="T201" s="14"/>
      <c r="U201" s="14"/>
      <c r="V201" s="197"/>
    </row>
    <row r="202" spans="1:22" ht="18" hidden="1" customHeight="1">
      <c r="A202" s="205" t="s">
        <v>766</v>
      </c>
      <c r="B202" s="14"/>
      <c r="C202" s="14"/>
      <c r="D202" s="14"/>
      <c r="E202" s="14"/>
      <c r="F202" s="14"/>
      <c r="G202" s="14"/>
      <c r="H202" s="14"/>
      <c r="K202" s="14"/>
      <c r="T202" s="14"/>
      <c r="U202" s="14"/>
      <c r="V202" s="197"/>
    </row>
    <row r="203" spans="1:22" ht="18" hidden="1" customHeight="1">
      <c r="A203" s="96"/>
      <c r="B203" s="14"/>
      <c r="C203" s="14"/>
      <c r="D203" s="14"/>
      <c r="E203" s="14"/>
      <c r="F203" s="14"/>
      <c r="G203" s="14"/>
      <c r="H203" s="14"/>
      <c r="K203" s="14"/>
      <c r="T203" s="14"/>
      <c r="U203" s="14"/>
      <c r="V203" s="197"/>
    </row>
    <row r="204" spans="1:22" ht="18" hidden="1" customHeight="1">
      <c r="A204" s="205" t="s">
        <v>861</v>
      </c>
      <c r="H204" s="28"/>
      <c r="I204" s="28"/>
      <c r="J204" s="28"/>
      <c r="K204" s="28"/>
      <c r="T204" s="14"/>
      <c r="U204" s="14"/>
      <c r="V204" s="197"/>
    </row>
    <row r="205" spans="1:22" ht="18" hidden="1" customHeight="1">
      <c r="A205" s="205"/>
      <c r="H205" s="28"/>
      <c r="I205" s="28"/>
      <c r="J205" s="28"/>
      <c r="K205" s="28"/>
      <c r="T205" s="14"/>
      <c r="U205" s="14"/>
      <c r="V205" s="197"/>
    </row>
    <row r="206" spans="1:22" ht="18" hidden="1" customHeight="1">
      <c r="A206" s="196"/>
      <c r="B206" s="638" t="s">
        <v>484</v>
      </c>
      <c r="C206" s="638"/>
      <c r="D206" s="28" t="s">
        <v>862</v>
      </c>
      <c r="E206" s="28">
        <v>0.5</v>
      </c>
      <c r="F206" s="28" t="s">
        <v>326</v>
      </c>
      <c r="G206" s="638" t="s">
        <v>855</v>
      </c>
      <c r="H206" s="638"/>
      <c r="I206" s="28" t="s">
        <v>683</v>
      </c>
      <c r="J206" s="638" t="s">
        <v>431</v>
      </c>
      <c r="K206" s="638"/>
      <c r="L206" s="28" t="s">
        <v>358</v>
      </c>
      <c r="M206" s="638" t="s">
        <v>700</v>
      </c>
      <c r="N206" s="638"/>
      <c r="O206" s="14" t="s">
        <v>361</v>
      </c>
      <c r="P206" s="14"/>
      <c r="Q206" s="14"/>
      <c r="R206" s="14"/>
      <c r="T206" s="14"/>
      <c r="U206" s="14"/>
      <c r="V206" s="197"/>
    </row>
    <row r="207" spans="1:22" ht="18" hidden="1" customHeight="1">
      <c r="A207" s="196"/>
      <c r="B207" s="14"/>
      <c r="C207" s="14"/>
      <c r="D207" s="102" t="s">
        <v>138</v>
      </c>
      <c r="E207" s="28">
        <v>0.5</v>
      </c>
      <c r="F207" s="28" t="s">
        <v>326</v>
      </c>
      <c r="G207" s="641" t="e">
        <f>S197</f>
        <v>#DIV/0!</v>
      </c>
      <c r="H207" s="638"/>
      <c r="I207" s="28" t="s">
        <v>683</v>
      </c>
      <c r="J207" s="638">
        <f>L183</f>
        <v>0</v>
      </c>
      <c r="K207" s="638"/>
      <c r="L207" s="28" t="s">
        <v>358</v>
      </c>
      <c r="M207" s="641">
        <f>S198</f>
        <v>0.66186129999999999</v>
      </c>
      <c r="N207" s="638"/>
      <c r="O207" s="14" t="s">
        <v>361</v>
      </c>
      <c r="S207" s="14"/>
      <c r="T207" s="14"/>
      <c r="U207" s="14"/>
      <c r="V207" s="197"/>
    </row>
    <row r="208" spans="1:22" ht="18" hidden="1" customHeight="1">
      <c r="A208" s="196"/>
      <c r="B208" s="14"/>
      <c r="C208" s="14"/>
      <c r="D208" s="102" t="s">
        <v>138</v>
      </c>
      <c r="E208" s="641" t="e">
        <f>E207*G207*(J207+M207)</f>
        <v>#DIV/0!</v>
      </c>
      <c r="F208" s="641"/>
      <c r="G208" s="223"/>
      <c r="H208" s="230"/>
      <c r="I208" s="14"/>
      <c r="J208" s="14"/>
      <c r="K208" s="14"/>
      <c r="L208" s="14"/>
      <c r="M208" s="14"/>
      <c r="N208" s="14"/>
      <c r="O208" s="14"/>
      <c r="P208" s="14"/>
      <c r="Q208" s="14"/>
      <c r="R208" s="14"/>
      <c r="V208" s="197"/>
    </row>
    <row r="209" spans="1:22" ht="18" hidden="1" customHeight="1">
      <c r="A209" s="196"/>
      <c r="B209" s="14"/>
      <c r="C209" s="14"/>
      <c r="D209" s="28"/>
      <c r="E209" s="230"/>
      <c r="F209" s="230"/>
      <c r="G209" s="223"/>
      <c r="H209" s="230"/>
      <c r="I209" s="14"/>
      <c r="J209" s="14"/>
      <c r="K209" s="14"/>
      <c r="L209" s="14"/>
      <c r="M209" s="14"/>
      <c r="N209" s="14"/>
      <c r="O209" s="14"/>
      <c r="P209" s="14"/>
      <c r="Q209" s="14"/>
      <c r="R209" s="14"/>
      <c r="V209" s="197"/>
    </row>
    <row r="210" spans="1:22" ht="18" hidden="1" customHeight="1">
      <c r="A210" s="205" t="s">
        <v>863</v>
      </c>
      <c r="B210" s="14"/>
      <c r="C210" s="14"/>
      <c r="D210" s="28"/>
      <c r="E210" s="230"/>
      <c r="F210" s="230"/>
      <c r="G210" s="223"/>
      <c r="H210" s="230"/>
      <c r="I210" s="14"/>
      <c r="J210" s="14"/>
      <c r="K210" s="14"/>
      <c r="L210" s="14"/>
      <c r="M210" s="14"/>
      <c r="N210" s="14"/>
      <c r="O210" s="14"/>
      <c r="P210" s="14"/>
      <c r="Q210" s="14"/>
      <c r="R210" s="14"/>
      <c r="V210" s="197"/>
    </row>
    <row r="211" spans="1:22" ht="18" hidden="1" customHeight="1">
      <c r="A211" s="196"/>
      <c r="B211" s="14"/>
      <c r="C211" s="14"/>
      <c r="D211" s="28"/>
      <c r="E211" s="230"/>
      <c r="F211" s="230"/>
      <c r="G211" s="223"/>
      <c r="H211" s="230"/>
      <c r="I211" s="14"/>
      <c r="J211" s="14"/>
      <c r="K211" s="14"/>
      <c r="L211" s="14"/>
      <c r="M211" s="14"/>
      <c r="N211" s="14"/>
      <c r="O211" s="14"/>
      <c r="P211" s="14"/>
      <c r="Q211" s="14"/>
      <c r="R211" s="14"/>
      <c r="V211" s="197"/>
    </row>
    <row r="212" spans="1:22" ht="18" hidden="1" customHeight="1">
      <c r="A212" s="196"/>
      <c r="B212" s="638" t="s">
        <v>484</v>
      </c>
      <c r="C212" s="638"/>
      <c r="D212" s="28" t="s">
        <v>862</v>
      </c>
      <c r="E212" s="638" t="s">
        <v>860</v>
      </c>
      <c r="F212" s="638"/>
      <c r="G212" s="28" t="s">
        <v>683</v>
      </c>
      <c r="H212" s="638" t="s">
        <v>431</v>
      </c>
      <c r="I212" s="638"/>
      <c r="J212" s="28" t="s">
        <v>358</v>
      </c>
      <c r="K212" s="638" t="s">
        <v>700</v>
      </c>
      <c r="L212" s="638"/>
      <c r="M212" s="14" t="s">
        <v>361</v>
      </c>
      <c r="P212" s="14"/>
      <c r="Q212" s="14"/>
      <c r="R212" s="14"/>
      <c r="V212" s="197"/>
    </row>
    <row r="213" spans="1:22" ht="18" hidden="1" customHeight="1">
      <c r="A213" s="196"/>
      <c r="B213" s="14"/>
      <c r="C213" s="14"/>
      <c r="D213" s="102" t="s">
        <v>138</v>
      </c>
      <c r="E213" s="641" t="e">
        <f>S200</f>
        <v>#DIV/0!</v>
      </c>
      <c r="F213" s="638"/>
      <c r="G213" s="28" t="s">
        <v>683</v>
      </c>
      <c r="H213" s="638">
        <f>L183</f>
        <v>0</v>
      </c>
      <c r="I213" s="638"/>
      <c r="J213" s="28" t="s">
        <v>358</v>
      </c>
      <c r="K213" s="641">
        <f>S198</f>
        <v>0.66186129999999999</v>
      </c>
      <c r="L213" s="638"/>
      <c r="M213" s="14" t="s">
        <v>361</v>
      </c>
      <c r="N213" s="14"/>
      <c r="O213" s="14"/>
      <c r="P213" s="14"/>
      <c r="Q213" s="14"/>
      <c r="R213" s="14"/>
      <c r="V213" s="197"/>
    </row>
    <row r="214" spans="1:22" ht="18" hidden="1" customHeight="1">
      <c r="A214" s="196"/>
      <c r="B214" s="14"/>
      <c r="C214" s="14"/>
      <c r="D214" s="102" t="s">
        <v>138</v>
      </c>
      <c r="E214" s="641" t="e">
        <f>E213*(H213+K213)</f>
        <v>#DIV/0!</v>
      </c>
      <c r="F214" s="641"/>
      <c r="G214" s="223"/>
      <c r="H214" s="230"/>
      <c r="I214" s="14"/>
      <c r="J214" s="14"/>
      <c r="K214" s="14"/>
      <c r="L214" s="14"/>
      <c r="M214" s="14"/>
      <c r="N214" s="14"/>
      <c r="O214" s="14"/>
      <c r="P214" s="14"/>
      <c r="Q214" s="14"/>
      <c r="R214" s="14"/>
      <c r="V214" s="197"/>
    </row>
    <row r="215" spans="1:22" ht="18" hidden="1" customHeight="1">
      <c r="A215" s="196"/>
      <c r="B215" s="14"/>
      <c r="C215" s="14"/>
      <c r="D215" s="102"/>
      <c r="E215" s="230"/>
      <c r="F215" s="230"/>
      <c r="G215" s="223"/>
      <c r="H215" s="230"/>
      <c r="I215" s="14"/>
      <c r="J215" s="14"/>
      <c r="K215" s="14"/>
      <c r="L215" s="14"/>
      <c r="M215" s="14"/>
      <c r="N215" s="14"/>
      <c r="O215" s="14"/>
      <c r="P215" s="14"/>
      <c r="Q215" s="14"/>
      <c r="R215" s="14"/>
      <c r="V215" s="197"/>
    </row>
    <row r="216" spans="1:22" ht="18" hidden="1" customHeight="1">
      <c r="A216" s="196"/>
      <c r="B216" s="14"/>
      <c r="C216" s="14"/>
      <c r="D216" s="102"/>
      <c r="E216" s="230"/>
      <c r="F216" s="230"/>
      <c r="G216" s="223"/>
      <c r="H216" s="230"/>
      <c r="I216" s="14"/>
      <c r="J216" s="14"/>
      <c r="K216" s="14"/>
      <c r="L216" s="14"/>
      <c r="M216" s="14"/>
      <c r="N216" s="14"/>
      <c r="O216" s="14"/>
      <c r="P216" s="14"/>
      <c r="Q216" s="14"/>
      <c r="R216" s="14"/>
      <c r="V216" s="197"/>
    </row>
    <row r="217" spans="1:22" ht="18" hidden="1" customHeight="1">
      <c r="A217" s="196"/>
      <c r="B217" s="14"/>
      <c r="C217" s="14"/>
      <c r="D217" s="102"/>
      <c r="E217" s="230"/>
      <c r="F217" s="230"/>
      <c r="G217" s="223"/>
      <c r="H217" s="230"/>
      <c r="I217" s="14"/>
      <c r="J217" s="14"/>
      <c r="K217" s="14"/>
      <c r="L217" s="14"/>
      <c r="M217" s="14"/>
      <c r="N217" s="14"/>
      <c r="O217" s="14"/>
      <c r="P217" s="14"/>
      <c r="Q217" s="14"/>
      <c r="R217" s="14"/>
      <c r="V217" s="197"/>
    </row>
    <row r="218" spans="1:22" ht="18" hidden="1" customHeight="1">
      <c r="A218" s="196"/>
      <c r="G218" s="223"/>
      <c r="H218" s="230"/>
      <c r="J218" s="28"/>
      <c r="K218" s="28"/>
      <c r="L218" s="28"/>
      <c r="M218" s="28"/>
      <c r="N218" s="28"/>
      <c r="O218" s="28"/>
      <c r="P218" s="28"/>
      <c r="Q218" s="28"/>
      <c r="R218" s="28"/>
      <c r="V218" s="197"/>
    </row>
    <row r="219" spans="1:22" ht="18" hidden="1" customHeight="1">
      <c r="A219" s="196"/>
      <c r="V219" s="197"/>
    </row>
    <row r="220" spans="1:22" ht="18" hidden="1" customHeight="1">
      <c r="A220" s="206"/>
      <c r="B220" s="207"/>
      <c r="C220" s="207"/>
      <c r="D220" s="207"/>
      <c r="E220" s="207"/>
      <c r="F220" s="207"/>
      <c r="G220" s="207"/>
      <c r="H220" s="207"/>
      <c r="I220" s="207"/>
      <c r="J220" s="207"/>
      <c r="K220" s="207"/>
      <c r="L220" s="207"/>
      <c r="M220" s="207"/>
      <c r="N220" s="207"/>
      <c r="O220" s="207"/>
      <c r="P220" s="207"/>
      <c r="Q220" s="236"/>
      <c r="R220" s="194"/>
      <c r="S220" s="237"/>
      <c r="T220" s="207"/>
      <c r="U220" s="207"/>
      <c r="V220" s="140" t="s">
        <v>563</v>
      </c>
    </row>
    <row r="221" spans="1:22" ht="18" hidden="1" customHeight="1">
      <c r="A221" s="141"/>
      <c r="B221" s="285"/>
      <c r="C221" s="285"/>
      <c r="D221" s="285"/>
      <c r="E221" s="285"/>
      <c r="F221" s="285"/>
      <c r="G221" s="285"/>
      <c r="H221" s="285"/>
      <c r="I221" s="285"/>
      <c r="J221" s="285"/>
      <c r="K221" s="285"/>
      <c r="L221" s="285"/>
      <c r="M221" s="285"/>
      <c r="N221" s="285"/>
      <c r="O221" s="285"/>
      <c r="P221" s="285"/>
      <c r="Q221" s="286"/>
      <c r="R221" s="145"/>
      <c r="S221" s="287"/>
      <c r="T221" s="285"/>
      <c r="U221" s="285"/>
      <c r="V221" s="288"/>
    </row>
    <row r="222" spans="1:22" ht="18" hidden="1" customHeight="1">
      <c r="A222" s="205" t="s">
        <v>864</v>
      </c>
      <c r="B222" s="209"/>
      <c r="C222" s="209"/>
      <c r="D222" s="209"/>
      <c r="E222" s="14"/>
      <c r="F222" s="14"/>
      <c r="G222" s="14"/>
      <c r="H222" s="14"/>
      <c r="I222" s="14"/>
      <c r="J222" s="14"/>
      <c r="K222" s="14"/>
      <c r="L222" s="14"/>
      <c r="M222" s="14"/>
      <c r="N222" s="14"/>
      <c r="O222" s="14"/>
      <c r="P222" s="27"/>
      <c r="Q222" s="28"/>
      <c r="T222" s="14"/>
      <c r="U222" s="14"/>
      <c r="V222" s="197"/>
    </row>
    <row r="223" spans="1:22" ht="18" hidden="1" customHeight="1">
      <c r="A223" s="205"/>
      <c r="B223" s="209"/>
      <c r="C223" s="209"/>
      <c r="D223" s="209"/>
      <c r="E223" s="14"/>
      <c r="F223" s="14"/>
      <c r="G223" s="14"/>
      <c r="H223" s="14"/>
      <c r="I223" s="14"/>
      <c r="J223" s="14"/>
      <c r="K223" s="14"/>
      <c r="L223" s="14"/>
      <c r="M223" s="14"/>
      <c r="N223" s="14"/>
      <c r="O223" s="14"/>
      <c r="P223" s="27"/>
      <c r="Q223" s="28"/>
      <c r="T223" s="14"/>
      <c r="U223" s="14"/>
      <c r="V223" s="197"/>
    </row>
    <row r="224" spans="1:22" ht="18" hidden="1" customHeight="1">
      <c r="A224" s="96"/>
      <c r="B224" s="209" t="s">
        <v>861</v>
      </c>
      <c r="C224" s="209"/>
      <c r="D224" s="14"/>
      <c r="E224" s="14"/>
      <c r="F224" s="14"/>
      <c r="G224" s="14"/>
      <c r="H224" s="14"/>
      <c r="I224" s="14"/>
      <c r="J224" s="14"/>
      <c r="K224" s="14"/>
      <c r="L224" s="14"/>
      <c r="M224" s="14"/>
      <c r="N224" s="14"/>
      <c r="O224" s="14"/>
      <c r="P224" s="14"/>
      <c r="Q224" s="14"/>
      <c r="R224" s="14"/>
      <c r="S224" s="14"/>
      <c r="T224" s="14"/>
      <c r="U224" s="14"/>
      <c r="V224" s="197"/>
    </row>
    <row r="225" spans="1:22" ht="18" hidden="1" customHeight="1">
      <c r="A225" s="96"/>
      <c r="B225" s="14"/>
      <c r="C225" s="14"/>
      <c r="D225" s="14"/>
      <c r="E225" s="14"/>
      <c r="F225" s="256" t="s">
        <v>486</v>
      </c>
      <c r="G225" s="28" t="e">
        <f>IF(E226&gt;H226, "&gt;","&lt;")</f>
        <v>#DIV/0!</v>
      </c>
      <c r="H225" s="14" t="s">
        <v>488</v>
      </c>
      <c r="I225" s="14"/>
      <c r="J225" s="14"/>
      <c r="K225" s="14"/>
      <c r="L225" s="14" t="s">
        <v>865</v>
      </c>
      <c r="M225" s="14"/>
      <c r="N225" s="14"/>
      <c r="O225" s="14"/>
      <c r="P225" s="14"/>
      <c r="Q225" s="14"/>
      <c r="R225" s="14"/>
      <c r="S225" s="14"/>
      <c r="T225" s="14"/>
      <c r="U225" s="14"/>
      <c r="V225" s="197"/>
    </row>
    <row r="226" spans="1:22" ht="18" hidden="1" customHeight="1">
      <c r="A226" s="96"/>
      <c r="B226" s="14"/>
      <c r="C226" s="14"/>
      <c r="D226" s="14"/>
      <c r="E226" s="959">
        <f>L184</f>
        <v>0</v>
      </c>
      <c r="F226" s="959"/>
      <c r="G226" s="28" t="e">
        <f>G225</f>
        <v>#DIV/0!</v>
      </c>
      <c r="H226" s="641" t="e">
        <f>E208</f>
        <v>#DIV/0!</v>
      </c>
      <c r="I226" s="641"/>
      <c r="J226" s="14"/>
      <c r="K226" s="14"/>
      <c r="L226" s="14"/>
      <c r="M226" s="14"/>
      <c r="N226" s="14"/>
      <c r="O226" s="14"/>
      <c r="P226" s="14"/>
      <c r="Q226" s="14"/>
      <c r="R226" s="14"/>
      <c r="S226" s="14"/>
      <c r="T226" s="14"/>
      <c r="U226" s="14"/>
      <c r="V226" s="197"/>
    </row>
    <row r="227" spans="1:22" ht="18" hidden="1" customHeight="1">
      <c r="A227" s="196"/>
      <c r="D227" s="223"/>
      <c r="E227" s="230"/>
      <c r="F227" s="211" t="s">
        <v>866</v>
      </c>
      <c r="G227" s="223"/>
      <c r="H227" s="293" t="s">
        <v>867</v>
      </c>
      <c r="J227" s="28" t="s">
        <v>868</v>
      </c>
      <c r="K227" s="18" t="e">
        <f>IF(G226="&gt;", "Satisfied", "Not Satisfied")</f>
        <v>#DIV/0!</v>
      </c>
      <c r="P227" s="14"/>
      <c r="Q227" s="14"/>
      <c r="R227" s="14"/>
      <c r="S227" s="14"/>
      <c r="T227" s="14"/>
      <c r="U227" s="14"/>
      <c r="V227" s="197"/>
    </row>
    <row r="228" spans="1:22" ht="18" hidden="1" customHeight="1">
      <c r="A228" s="96"/>
      <c r="B228" s="209" t="s">
        <v>863</v>
      </c>
      <c r="C228" s="209"/>
      <c r="D228" s="14"/>
      <c r="E228" s="14"/>
      <c r="F228" s="14"/>
      <c r="G228" s="14"/>
      <c r="H228" s="14"/>
      <c r="I228" s="14"/>
      <c r="J228" s="14"/>
      <c r="K228" s="14"/>
      <c r="L228" s="14"/>
      <c r="M228" s="14"/>
      <c r="N228" s="14"/>
      <c r="O228" s="14"/>
      <c r="P228" s="120"/>
      <c r="Q228" s="308"/>
      <c r="V228" s="197"/>
    </row>
    <row r="229" spans="1:22" ht="18" hidden="1" customHeight="1">
      <c r="A229" s="96"/>
      <c r="B229" s="14"/>
      <c r="C229" s="14"/>
      <c r="D229" s="14"/>
      <c r="E229" s="14"/>
      <c r="F229" s="256" t="s">
        <v>486</v>
      </c>
      <c r="G229" s="28" t="e">
        <f>IF(E230&gt;H230, "&gt;","&lt;")</f>
        <v>#DIV/0!</v>
      </c>
      <c r="H229" s="14" t="s">
        <v>488</v>
      </c>
      <c r="I229" s="14"/>
      <c r="J229" s="14"/>
      <c r="K229" s="14"/>
      <c r="L229" s="14" t="s">
        <v>869</v>
      </c>
      <c r="M229" s="14"/>
      <c r="N229" s="14"/>
      <c r="O229" s="14"/>
      <c r="P229" s="313"/>
      <c r="Q229" s="474"/>
      <c r="V229" s="197"/>
    </row>
    <row r="230" spans="1:22" ht="18" hidden="1" customHeight="1">
      <c r="A230" s="96"/>
      <c r="B230" s="14"/>
      <c r="C230" s="14"/>
      <c r="D230" s="14"/>
      <c r="E230" s="959">
        <f>L184</f>
        <v>0</v>
      </c>
      <c r="F230" s="959"/>
      <c r="G230" s="28" t="e">
        <f>G229</f>
        <v>#DIV/0!</v>
      </c>
      <c r="H230" s="641" t="e">
        <f>E214</f>
        <v>#DIV/0!</v>
      </c>
      <c r="I230" s="641"/>
      <c r="J230" s="14"/>
      <c r="K230" s="14"/>
      <c r="L230" s="14"/>
      <c r="M230" s="14"/>
      <c r="N230" s="14"/>
      <c r="O230" s="14"/>
      <c r="V230" s="197"/>
    </row>
    <row r="231" spans="1:22" ht="18" hidden="1" customHeight="1">
      <c r="A231" s="196"/>
      <c r="D231" s="223"/>
      <c r="E231" s="14"/>
      <c r="F231" s="211" t="s">
        <v>866</v>
      </c>
      <c r="G231" s="223"/>
      <c r="H231" s="293" t="s">
        <v>863</v>
      </c>
      <c r="J231" s="28" t="s">
        <v>868</v>
      </c>
      <c r="K231" s="18" t="e">
        <f>IF(G230="&gt;", "Satisfied", "Not Satisfied")</f>
        <v>#DIV/0!</v>
      </c>
      <c r="P231" s="244"/>
      <c r="Q231" s="244"/>
      <c r="R231" s="244"/>
      <c r="S231" s="244"/>
      <c r="T231" s="244"/>
      <c r="U231" s="244"/>
      <c r="V231" s="245"/>
    </row>
    <row r="232" spans="1:22" ht="18" hidden="1" customHeight="1">
      <c r="A232" s="196"/>
      <c r="H232" s="28"/>
      <c r="I232" s="28"/>
      <c r="J232" s="28"/>
      <c r="K232" s="28"/>
      <c r="L232" s="28"/>
      <c r="M232" s="28"/>
      <c r="N232" s="28"/>
      <c r="O232" s="28"/>
      <c r="P232" s="244"/>
      <c r="Q232" s="244"/>
      <c r="R232" s="244"/>
      <c r="S232" s="244"/>
      <c r="T232" s="244"/>
      <c r="U232" s="244"/>
      <c r="V232" s="245"/>
    </row>
    <row r="233" spans="1:22" ht="18" hidden="1" customHeight="1">
      <c r="A233" s="96"/>
      <c r="B233" s="14"/>
      <c r="C233" s="14"/>
      <c r="D233" s="14"/>
      <c r="E233" s="14"/>
      <c r="F233" s="256" t="s">
        <v>489</v>
      </c>
      <c r="G233" s="14"/>
      <c r="H233" s="18" t="e">
        <f>IF(AND(E226&gt;H226,E230&gt;H230),"Suitably Dimentioned","Under Dimentioned")</f>
        <v>#DIV/0!</v>
      </c>
      <c r="I233" s="18"/>
      <c r="J233" s="18"/>
      <c r="K233" s="18"/>
      <c r="L233" s="18"/>
      <c r="M233" s="18"/>
      <c r="N233" s="14"/>
      <c r="O233" s="14"/>
      <c r="V233" s="197"/>
    </row>
    <row r="234" spans="1:22" ht="18" hidden="1" customHeight="1">
      <c r="A234" s="196"/>
      <c r="B234" s="27"/>
      <c r="C234" s="27"/>
      <c r="D234" s="27"/>
      <c r="E234" s="28"/>
      <c r="F234" s="27"/>
      <c r="G234" s="28"/>
      <c r="H234" s="27"/>
      <c r="I234" s="28"/>
      <c r="J234" s="27"/>
      <c r="K234" s="27"/>
      <c r="L234" s="27"/>
      <c r="M234" s="27"/>
      <c r="V234" s="197"/>
    </row>
    <row r="235" spans="1:22" ht="18" hidden="1" customHeight="1">
      <c r="A235" s="196"/>
      <c r="C235" s="27"/>
      <c r="D235" s="257"/>
      <c r="E235" s="233"/>
      <c r="F235" s="257"/>
      <c r="G235" s="234"/>
      <c r="H235" s="257"/>
      <c r="I235" s="257"/>
      <c r="J235" s="257"/>
      <c r="K235" s="257"/>
      <c r="L235" s="257"/>
      <c r="M235" s="27"/>
      <c r="V235" s="197"/>
    </row>
    <row r="236" spans="1:22" ht="18" hidden="1" customHeight="1">
      <c r="A236" s="196"/>
      <c r="C236" s="27"/>
      <c r="D236" s="216"/>
      <c r="E236" s="216"/>
      <c r="G236" s="18"/>
      <c r="V236" s="197"/>
    </row>
    <row r="237" spans="1:22" ht="18" hidden="1" customHeight="1">
      <c r="A237" s="96"/>
      <c r="B237" s="14"/>
      <c r="C237" s="14"/>
      <c r="D237" s="14"/>
      <c r="E237" s="14"/>
      <c r="F237" s="14"/>
      <c r="G237" s="14"/>
      <c r="H237" s="14"/>
      <c r="I237" s="14"/>
      <c r="J237" s="14"/>
      <c r="K237" s="14"/>
      <c r="L237" s="14"/>
      <c r="M237" s="14"/>
      <c r="N237" s="14"/>
      <c r="O237" s="14"/>
      <c r="P237" s="14"/>
      <c r="Q237" s="120"/>
      <c r="R237" s="28"/>
      <c r="S237" s="558"/>
      <c r="T237" s="14"/>
      <c r="U237" s="14"/>
      <c r="V237" s="394"/>
    </row>
    <row r="238" spans="1:22" ht="18" hidden="1" customHeight="1">
      <c r="A238" s="96"/>
      <c r="B238" s="14"/>
      <c r="C238" s="14"/>
      <c r="D238" s="14"/>
      <c r="E238" s="14"/>
      <c r="F238" s="14"/>
      <c r="G238" s="14"/>
      <c r="H238" s="14"/>
      <c r="I238" s="14"/>
      <c r="J238" s="14"/>
      <c r="K238" s="14"/>
      <c r="L238" s="14"/>
      <c r="M238" s="14"/>
      <c r="N238" s="14"/>
      <c r="O238" s="14"/>
      <c r="P238" s="14"/>
      <c r="Q238" s="120"/>
      <c r="R238" s="28"/>
      <c r="S238" s="558"/>
      <c r="T238" s="14"/>
      <c r="U238" s="14"/>
      <c r="V238" s="394"/>
    </row>
    <row r="239" spans="1:22" ht="18" hidden="1" customHeight="1">
      <c r="A239" s="96"/>
      <c r="B239" s="14"/>
      <c r="C239" s="14"/>
      <c r="D239" s="14"/>
      <c r="E239" s="14"/>
      <c r="F239" s="14"/>
      <c r="G239" s="14"/>
      <c r="H239" s="14"/>
      <c r="I239" s="14"/>
      <c r="J239" s="14"/>
      <c r="K239" s="14"/>
      <c r="L239" s="14"/>
      <c r="M239" s="14"/>
      <c r="N239" s="14"/>
      <c r="O239" s="14"/>
      <c r="P239" s="14"/>
      <c r="Q239" s="120"/>
      <c r="R239" s="28"/>
      <c r="S239" s="558"/>
      <c r="T239" s="14"/>
      <c r="U239" s="14"/>
      <c r="V239" s="394"/>
    </row>
    <row r="240" spans="1:22" ht="18" hidden="1" customHeight="1">
      <c r="A240" s="96"/>
      <c r="B240" s="14"/>
      <c r="C240" s="14"/>
      <c r="D240" s="14"/>
      <c r="E240" s="14"/>
      <c r="F240" s="14"/>
      <c r="G240" s="14"/>
      <c r="H240" s="14"/>
      <c r="I240" s="14"/>
      <c r="J240" s="14"/>
      <c r="K240" s="14"/>
      <c r="L240" s="14"/>
      <c r="M240" s="14"/>
      <c r="N240" s="14"/>
      <c r="O240" s="14"/>
      <c r="P240" s="14"/>
      <c r="Q240" s="120"/>
      <c r="R240" s="28"/>
      <c r="S240" s="558"/>
      <c r="T240" s="14"/>
      <c r="U240" s="14"/>
      <c r="V240" s="394"/>
    </row>
    <row r="241" spans="1:22" ht="18" hidden="1" customHeight="1">
      <c r="A241" s="96"/>
      <c r="B241" s="14"/>
      <c r="C241" s="14"/>
      <c r="D241" s="14"/>
      <c r="E241" s="14"/>
      <c r="F241" s="14"/>
      <c r="G241" s="14"/>
      <c r="H241" s="14"/>
      <c r="I241" s="14"/>
      <c r="J241" s="14"/>
      <c r="K241" s="14"/>
      <c r="L241" s="14"/>
      <c r="M241" s="14"/>
      <c r="N241" s="14"/>
      <c r="O241" s="14"/>
      <c r="P241" s="14"/>
      <c r="Q241" s="120"/>
      <c r="R241" s="28"/>
      <c r="S241" s="558"/>
      <c r="T241" s="14"/>
      <c r="U241" s="14"/>
      <c r="V241" s="394"/>
    </row>
    <row r="242" spans="1:22" ht="18" hidden="1" customHeight="1">
      <c r="A242" s="96"/>
      <c r="B242" s="14"/>
      <c r="C242" s="14"/>
      <c r="D242" s="14"/>
      <c r="E242" s="14"/>
      <c r="F242" s="14"/>
      <c r="G242" s="14"/>
      <c r="H242" s="14"/>
      <c r="I242" s="14"/>
      <c r="J242" s="14"/>
      <c r="K242" s="14"/>
      <c r="L242" s="14"/>
      <c r="M242" s="14"/>
      <c r="N242" s="14"/>
      <c r="O242" s="14"/>
      <c r="P242" s="14"/>
      <c r="Q242" s="120"/>
      <c r="R242" s="28"/>
      <c r="S242" s="558"/>
      <c r="T242" s="14"/>
      <c r="U242" s="14"/>
      <c r="V242" s="394"/>
    </row>
    <row r="243" spans="1:22" ht="18" hidden="1" customHeight="1">
      <c r="A243" s="96"/>
      <c r="B243" s="14"/>
      <c r="C243" s="14"/>
      <c r="D243" s="14"/>
      <c r="E243" s="14"/>
      <c r="F243" s="14"/>
      <c r="G243" s="14"/>
      <c r="H243" s="14"/>
      <c r="I243" s="14"/>
      <c r="J243" s="14"/>
      <c r="K243" s="14"/>
      <c r="L243" s="14"/>
      <c r="M243" s="14"/>
      <c r="N243" s="14"/>
      <c r="O243" s="14"/>
      <c r="P243" s="14"/>
      <c r="Q243" s="120"/>
      <c r="R243" s="28"/>
      <c r="S243" s="558"/>
      <c r="T243" s="14"/>
      <c r="U243" s="14"/>
      <c r="V243" s="394"/>
    </row>
    <row r="244" spans="1:22" ht="18" hidden="1" customHeight="1">
      <c r="A244" s="96"/>
      <c r="B244" s="14"/>
      <c r="C244" s="14"/>
      <c r="D244" s="14"/>
      <c r="E244" s="14"/>
      <c r="F244" s="14"/>
      <c r="G244" s="14"/>
      <c r="H244" s="14"/>
      <c r="I244" s="14"/>
      <c r="J244" s="14"/>
      <c r="K244" s="14"/>
      <c r="L244" s="14"/>
      <c r="M244" s="14"/>
      <c r="N244" s="14"/>
      <c r="O244" s="14"/>
      <c r="P244" s="14"/>
      <c r="Q244" s="120"/>
      <c r="R244" s="28"/>
      <c r="S244" s="558"/>
      <c r="T244" s="14"/>
      <c r="U244" s="14"/>
      <c r="V244" s="394"/>
    </row>
    <row r="245" spans="1:22" ht="18" hidden="1" customHeight="1">
      <c r="A245" s="96"/>
      <c r="B245" s="14"/>
      <c r="C245" s="14"/>
      <c r="D245" s="14"/>
      <c r="E245" s="14"/>
      <c r="F245" s="14"/>
      <c r="G245" s="14"/>
      <c r="H245" s="14"/>
      <c r="I245" s="14"/>
      <c r="J245" s="14"/>
      <c r="K245" s="14"/>
      <c r="L245" s="14"/>
      <c r="M245" s="14"/>
      <c r="N245" s="14"/>
      <c r="O245" s="14"/>
      <c r="P245" s="14"/>
      <c r="Q245" s="120"/>
      <c r="R245" s="28"/>
      <c r="S245" s="558"/>
      <c r="T245" s="14"/>
      <c r="U245" s="14"/>
      <c r="V245" s="394"/>
    </row>
    <row r="246" spans="1:22" ht="18" hidden="1" customHeight="1">
      <c r="A246" s="96"/>
      <c r="B246" s="14"/>
      <c r="C246" s="14"/>
      <c r="D246" s="14"/>
      <c r="E246" s="14"/>
      <c r="F246" s="14"/>
      <c r="G246" s="14"/>
      <c r="H246" s="14"/>
      <c r="I246" s="14"/>
      <c r="J246" s="14"/>
      <c r="K246" s="14"/>
      <c r="L246" s="14"/>
      <c r="M246" s="14"/>
      <c r="N246" s="14"/>
      <c r="O246" s="14"/>
      <c r="P246" s="14"/>
      <c r="Q246" s="120"/>
      <c r="R246" s="28"/>
      <c r="S246" s="558"/>
      <c r="T246" s="14"/>
      <c r="U246" s="14"/>
      <c r="V246" s="394"/>
    </row>
    <row r="247" spans="1:22" ht="18" hidden="1" customHeight="1">
      <c r="A247" s="96"/>
      <c r="B247" s="14"/>
      <c r="C247" s="14"/>
      <c r="D247" s="14"/>
      <c r="E247" s="14"/>
      <c r="F247" s="14"/>
      <c r="G247" s="14"/>
      <c r="H247" s="14"/>
      <c r="I247" s="14"/>
      <c r="J247" s="14"/>
      <c r="K247" s="14"/>
      <c r="L247" s="14"/>
      <c r="M247" s="14"/>
      <c r="N247" s="14"/>
      <c r="O247" s="14"/>
      <c r="P247" s="14"/>
      <c r="Q247" s="120"/>
      <c r="R247" s="28"/>
      <c r="S247" s="558"/>
      <c r="T247" s="14"/>
      <c r="U247" s="14"/>
      <c r="V247" s="394"/>
    </row>
    <row r="248" spans="1:22" ht="18" hidden="1" customHeight="1">
      <c r="A248" s="96"/>
      <c r="B248" s="14"/>
      <c r="C248" s="14"/>
      <c r="D248" s="14"/>
      <c r="E248" s="14"/>
      <c r="F248" s="14"/>
      <c r="G248" s="14"/>
      <c r="H248" s="14"/>
      <c r="I248" s="14"/>
      <c r="J248" s="14"/>
      <c r="K248" s="14"/>
      <c r="L248" s="14"/>
      <c r="M248" s="14"/>
      <c r="N248" s="14"/>
      <c r="O248" s="14"/>
      <c r="P248" s="14"/>
      <c r="Q248" s="120"/>
      <c r="R248" s="28"/>
      <c r="S248" s="558"/>
      <c r="T248" s="14"/>
      <c r="U248" s="14"/>
      <c r="V248" s="394"/>
    </row>
    <row r="249" spans="1:22" ht="18" hidden="1" customHeight="1">
      <c r="A249" s="96"/>
      <c r="B249" s="14"/>
      <c r="C249" s="14"/>
      <c r="D249" s="14"/>
      <c r="E249" s="14"/>
      <c r="F249" s="14"/>
      <c r="G249" s="14"/>
      <c r="H249" s="14"/>
      <c r="I249" s="14"/>
      <c r="J249" s="14"/>
      <c r="K249" s="14"/>
      <c r="L249" s="14"/>
      <c r="M249" s="14"/>
      <c r="N249" s="14"/>
      <c r="O249" s="14"/>
      <c r="P249" s="14"/>
      <c r="Q249" s="120"/>
      <c r="R249" s="28"/>
      <c r="S249" s="558"/>
      <c r="T249" s="14"/>
      <c r="U249" s="14"/>
      <c r="V249" s="394"/>
    </row>
    <row r="250" spans="1:22" ht="18" hidden="1" customHeight="1">
      <c r="A250" s="96"/>
      <c r="B250" s="14"/>
      <c r="C250" s="14"/>
      <c r="D250" s="14"/>
      <c r="E250" s="14"/>
      <c r="F250" s="14"/>
      <c r="G250" s="14"/>
      <c r="H250" s="14"/>
      <c r="I250" s="14"/>
      <c r="J250" s="14"/>
      <c r="K250" s="14"/>
      <c r="L250" s="14"/>
      <c r="M250" s="14"/>
      <c r="N250" s="14"/>
      <c r="O250" s="14"/>
      <c r="P250" s="14"/>
      <c r="Q250" s="120"/>
      <c r="R250" s="28"/>
      <c r="S250" s="558"/>
      <c r="T250" s="14"/>
      <c r="U250" s="14"/>
      <c r="V250" s="394"/>
    </row>
    <row r="251" spans="1:22" ht="18" hidden="1" customHeight="1">
      <c r="A251" s="96"/>
      <c r="B251" s="14"/>
      <c r="C251" s="14"/>
      <c r="D251" s="14"/>
      <c r="E251" s="14"/>
      <c r="F251" s="14"/>
      <c r="G251" s="14"/>
      <c r="H251" s="14"/>
      <c r="I251" s="14"/>
      <c r="J251" s="14"/>
      <c r="K251" s="14"/>
      <c r="L251" s="14"/>
      <c r="M251" s="14"/>
      <c r="N251" s="14"/>
      <c r="O251" s="14"/>
      <c r="P251" s="14"/>
      <c r="Q251" s="120"/>
      <c r="R251" s="28"/>
      <c r="S251" s="558"/>
      <c r="T251" s="14"/>
      <c r="U251" s="14"/>
      <c r="V251" s="394"/>
    </row>
    <row r="252" spans="1:22" ht="18" hidden="1" customHeight="1">
      <c r="A252" s="96"/>
      <c r="B252" s="14"/>
      <c r="C252" s="14"/>
      <c r="D252" s="14"/>
      <c r="E252" s="14"/>
      <c r="F252" s="14"/>
      <c r="G252" s="14"/>
      <c r="H252" s="14"/>
      <c r="I252" s="14"/>
      <c r="J252" s="14"/>
      <c r="K252" s="14"/>
      <c r="L252" s="14"/>
      <c r="M252" s="14"/>
      <c r="N252" s="14"/>
      <c r="O252" s="14"/>
      <c r="P252" s="14"/>
      <c r="Q252" s="120"/>
      <c r="R252" s="28"/>
      <c r="S252" s="558"/>
      <c r="T252" s="14"/>
      <c r="U252" s="14"/>
      <c r="V252" s="394"/>
    </row>
    <row r="253" spans="1:22" ht="18" hidden="1" customHeight="1">
      <c r="A253" s="96"/>
      <c r="B253" s="14"/>
      <c r="C253" s="14"/>
      <c r="D253" s="14"/>
      <c r="E253" s="14"/>
      <c r="F253" s="14"/>
      <c r="G253" s="14"/>
      <c r="H253" s="14"/>
      <c r="I253" s="14"/>
      <c r="J253" s="14"/>
      <c r="K253" s="14"/>
      <c r="L253" s="14"/>
      <c r="M253" s="14"/>
      <c r="N253" s="14"/>
      <c r="O253" s="14"/>
      <c r="P253" s="14"/>
      <c r="Q253" s="120"/>
      <c r="R253" s="28"/>
      <c r="S253" s="558"/>
      <c r="T253" s="14"/>
      <c r="U253" s="14"/>
      <c r="V253" s="394"/>
    </row>
    <row r="254" spans="1:22" ht="18" hidden="1" customHeight="1">
      <c r="A254" s="96"/>
      <c r="B254" s="14"/>
      <c r="C254" s="14"/>
      <c r="D254" s="14"/>
      <c r="E254" s="14"/>
      <c r="F254" s="14"/>
      <c r="G254" s="14"/>
      <c r="H254" s="14"/>
      <c r="I254" s="14"/>
      <c r="J254" s="14"/>
      <c r="K254" s="14"/>
      <c r="L254" s="14"/>
      <c r="M254" s="14"/>
      <c r="N254" s="14"/>
      <c r="O254" s="14"/>
      <c r="P254" s="14"/>
      <c r="Q254" s="120"/>
      <c r="R254" s="28"/>
      <c r="S254" s="558"/>
      <c r="T254" s="14"/>
      <c r="U254" s="14"/>
      <c r="V254" s="394"/>
    </row>
    <row r="255" spans="1:22" ht="18" hidden="1" customHeight="1">
      <c r="A255" s="96"/>
      <c r="B255" s="14"/>
      <c r="C255" s="14"/>
      <c r="D255" s="14"/>
      <c r="E255" s="14"/>
      <c r="F255" s="14"/>
      <c r="G255" s="14"/>
      <c r="H255" s="14"/>
      <c r="I255" s="14"/>
      <c r="J255" s="14"/>
      <c r="K255" s="14"/>
      <c r="L255" s="14"/>
      <c r="M255" s="14"/>
      <c r="N255" s="14"/>
      <c r="O255" s="14"/>
      <c r="P255" s="14"/>
      <c r="Q255" s="120"/>
      <c r="R255" s="28"/>
      <c r="S255" s="558"/>
      <c r="T255" s="14"/>
      <c r="U255" s="14"/>
      <c r="V255" s="394"/>
    </row>
    <row r="256" spans="1:22" ht="18" hidden="1" customHeight="1">
      <c r="A256" s="96"/>
      <c r="B256" s="14"/>
      <c r="C256" s="14"/>
      <c r="D256" s="14"/>
      <c r="E256" s="14"/>
      <c r="F256" s="14"/>
      <c r="G256" s="14"/>
      <c r="H256" s="14"/>
      <c r="I256" s="14"/>
      <c r="J256" s="14"/>
      <c r="K256" s="14"/>
      <c r="L256" s="14"/>
      <c r="M256" s="14"/>
      <c r="N256" s="14"/>
      <c r="O256" s="14"/>
      <c r="P256" s="14"/>
      <c r="Q256" s="120"/>
      <c r="R256" s="28"/>
      <c r="S256" s="558"/>
      <c r="T256" s="14"/>
      <c r="U256" s="14"/>
      <c r="V256" s="394"/>
    </row>
    <row r="257" spans="1:22" ht="18" hidden="1" customHeight="1">
      <c r="A257" s="96"/>
      <c r="B257" s="14"/>
      <c r="C257" s="14"/>
      <c r="D257" s="14"/>
      <c r="E257" s="14"/>
      <c r="F257" s="14"/>
      <c r="G257" s="14"/>
      <c r="H257" s="14"/>
      <c r="I257" s="14"/>
      <c r="J257" s="14"/>
      <c r="K257" s="14"/>
      <c r="L257" s="14"/>
      <c r="M257" s="14"/>
      <c r="N257" s="14"/>
      <c r="O257" s="14"/>
      <c r="P257" s="14"/>
      <c r="Q257" s="120"/>
      <c r="R257" s="28"/>
      <c r="S257" s="558"/>
      <c r="T257" s="14"/>
      <c r="U257" s="14"/>
      <c r="V257" s="394"/>
    </row>
    <row r="258" spans="1:22" ht="18" hidden="1" customHeight="1">
      <c r="A258" s="96"/>
      <c r="B258" s="14"/>
      <c r="C258" s="14"/>
      <c r="D258" s="14"/>
      <c r="E258" s="14"/>
      <c r="F258" s="14"/>
      <c r="G258" s="14"/>
      <c r="H258" s="14"/>
      <c r="I258" s="14"/>
      <c r="J258" s="14"/>
      <c r="K258" s="14"/>
      <c r="L258" s="14"/>
      <c r="M258" s="14"/>
      <c r="N258" s="14"/>
      <c r="O258" s="14"/>
      <c r="P258" s="14"/>
      <c r="Q258" s="120"/>
      <c r="R258" s="28"/>
      <c r="S258" s="558"/>
      <c r="T258" s="14"/>
      <c r="U258" s="14"/>
      <c r="V258" s="394"/>
    </row>
    <row r="259" spans="1:22" ht="18" hidden="1" customHeight="1">
      <c r="A259" s="96"/>
      <c r="B259" s="14"/>
      <c r="C259" s="14"/>
      <c r="D259" s="14"/>
      <c r="E259" s="14"/>
      <c r="F259" s="14"/>
      <c r="G259" s="14"/>
      <c r="H259" s="14"/>
      <c r="I259" s="14"/>
      <c r="J259" s="14"/>
      <c r="K259" s="14"/>
      <c r="L259" s="14"/>
      <c r="M259" s="14"/>
      <c r="N259" s="14"/>
      <c r="O259" s="14"/>
      <c r="P259" s="14"/>
      <c r="Q259" s="120"/>
      <c r="R259" s="28"/>
      <c r="S259" s="558"/>
      <c r="T259" s="14"/>
      <c r="U259" s="14"/>
      <c r="V259" s="394"/>
    </row>
    <row r="260" spans="1:22" ht="18" hidden="1" customHeight="1">
      <c r="A260" s="96"/>
      <c r="B260" s="14"/>
      <c r="C260" s="14"/>
      <c r="D260" s="14"/>
      <c r="E260" s="14"/>
      <c r="F260" s="14"/>
      <c r="G260" s="14"/>
      <c r="H260" s="14"/>
      <c r="I260" s="14"/>
      <c r="J260" s="14"/>
      <c r="K260" s="14"/>
      <c r="L260" s="14"/>
      <c r="M260" s="14"/>
      <c r="N260" s="14"/>
      <c r="O260" s="14"/>
      <c r="P260" s="14"/>
      <c r="Q260" s="120"/>
      <c r="R260" s="28"/>
      <c r="S260" s="558"/>
      <c r="T260" s="14"/>
      <c r="U260" s="14"/>
      <c r="V260" s="394"/>
    </row>
    <row r="261" spans="1:22" ht="18" hidden="1" customHeight="1">
      <c r="A261" s="96"/>
      <c r="B261" s="14"/>
      <c r="C261" s="14"/>
      <c r="D261" s="14"/>
      <c r="E261" s="14"/>
      <c r="F261" s="14"/>
      <c r="G261" s="14"/>
      <c r="H261" s="14"/>
      <c r="I261" s="14"/>
      <c r="J261" s="14"/>
      <c r="K261" s="14"/>
      <c r="L261" s="14"/>
      <c r="M261" s="14"/>
      <c r="N261" s="14"/>
      <c r="O261" s="14"/>
      <c r="P261" s="14"/>
      <c r="Q261" s="120"/>
      <c r="R261" s="28"/>
      <c r="S261" s="558"/>
      <c r="T261" s="14"/>
      <c r="U261" s="14"/>
      <c r="V261" s="394"/>
    </row>
    <row r="262" spans="1:22" ht="18" hidden="1" customHeight="1">
      <c r="A262" s="96"/>
      <c r="B262" s="14"/>
      <c r="C262" s="14"/>
      <c r="D262" s="14"/>
      <c r="E262" s="14"/>
      <c r="F262" s="14"/>
      <c r="G262" s="14"/>
      <c r="H262" s="14"/>
      <c r="I262" s="14"/>
      <c r="J262" s="14"/>
      <c r="K262" s="14"/>
      <c r="L262" s="14"/>
      <c r="M262" s="14"/>
      <c r="N262" s="14"/>
      <c r="O262" s="14"/>
      <c r="P262" s="14"/>
      <c r="Q262" s="120"/>
      <c r="R262" s="28"/>
      <c r="S262" s="558"/>
      <c r="T262" s="14"/>
      <c r="U262" s="14"/>
      <c r="V262" s="394"/>
    </row>
    <row r="263" spans="1:22" ht="18" hidden="1" customHeight="1">
      <c r="A263" s="96"/>
      <c r="B263" s="14"/>
      <c r="C263" s="14"/>
      <c r="D263" s="14"/>
      <c r="E263" s="14"/>
      <c r="F263" s="14"/>
      <c r="G263" s="14"/>
      <c r="H263" s="14"/>
      <c r="I263" s="14"/>
      <c r="J263" s="14"/>
      <c r="K263" s="14"/>
      <c r="L263" s="14"/>
      <c r="M263" s="14"/>
      <c r="N263" s="14"/>
      <c r="O263" s="14"/>
      <c r="P263" s="14"/>
      <c r="Q263" s="120"/>
      <c r="R263" s="28"/>
      <c r="S263" s="558"/>
      <c r="T263" s="14"/>
      <c r="U263" s="14"/>
      <c r="V263" s="394"/>
    </row>
    <row r="264" spans="1:22" ht="18" hidden="1" customHeight="1">
      <c r="A264" s="206"/>
      <c r="B264" s="207"/>
      <c r="C264" s="207"/>
      <c r="D264" s="207"/>
      <c r="E264" s="207"/>
      <c r="F264" s="207"/>
      <c r="G264" s="207"/>
      <c r="H264" s="207"/>
      <c r="I264" s="207"/>
      <c r="J264" s="207"/>
      <c r="K264" s="207"/>
      <c r="L264" s="207"/>
      <c r="M264" s="207"/>
      <c r="N264" s="207"/>
      <c r="O264" s="207"/>
      <c r="P264" s="207"/>
      <c r="Q264" s="236"/>
      <c r="R264" s="194"/>
      <c r="S264" s="237"/>
      <c r="T264" s="207"/>
      <c r="U264" s="207"/>
      <c r="V264" s="140" t="s">
        <v>563</v>
      </c>
    </row>
    <row r="265" spans="1:22" ht="18" customHeight="1">
      <c r="A265" s="238"/>
      <c r="B265" s="239"/>
      <c r="C265" s="239"/>
      <c r="D265" s="239"/>
      <c r="E265" s="239"/>
      <c r="F265" s="239"/>
      <c r="G265" s="239"/>
      <c r="H265" s="239"/>
      <c r="I265" s="239"/>
      <c r="J265" s="239"/>
      <c r="K265" s="239"/>
      <c r="L265" s="239"/>
      <c r="M265" s="239"/>
      <c r="N265" s="239"/>
      <c r="O265" s="239"/>
      <c r="P265" s="239"/>
      <c r="Q265" s="239"/>
      <c r="R265" s="239"/>
      <c r="S265" s="239"/>
      <c r="T265" s="239"/>
      <c r="U265" s="239"/>
      <c r="V265" s="240"/>
    </row>
    <row r="266" spans="1:22" ht="18" customHeight="1">
      <c r="A266" s="274" t="s">
        <v>543</v>
      </c>
      <c r="B266" s="14"/>
      <c r="C266" s="14"/>
      <c r="D266" s="120"/>
      <c r="E266" s="120"/>
      <c r="F266" s="18"/>
      <c r="G266" s="18"/>
      <c r="H266" s="14"/>
      <c r="I266" s="14"/>
      <c r="J266" s="14"/>
      <c r="K266" s="14"/>
      <c r="L266" s="14"/>
      <c r="M266" s="14"/>
      <c r="N266" s="14"/>
      <c r="O266" s="14"/>
      <c r="P266" s="28"/>
      <c r="Q266" s="120"/>
      <c r="R266" s="47"/>
      <c r="S266" s="218"/>
      <c r="T266" s="271"/>
      <c r="U266" s="14"/>
      <c r="V266" s="97"/>
    </row>
    <row r="267" spans="1:22" ht="18" customHeight="1">
      <c r="A267" s="614" t="s">
        <v>97</v>
      </c>
      <c r="B267" s="620"/>
      <c r="C267" s="1081"/>
      <c r="D267" s="614" t="s">
        <v>98</v>
      </c>
      <c r="E267" s="1084"/>
      <c r="F267" s="1084"/>
      <c r="G267" s="1081"/>
      <c r="H267" s="614" t="s">
        <v>99</v>
      </c>
      <c r="I267" s="615"/>
      <c r="J267" s="614" t="s">
        <v>100</v>
      </c>
      <c r="K267" s="1081"/>
      <c r="L267" s="614" t="s">
        <v>513</v>
      </c>
      <c r="M267" s="620"/>
      <c r="N267" s="615" t="s">
        <v>567</v>
      </c>
      <c r="O267" s="614" t="s">
        <v>568</v>
      </c>
      <c r="P267" s="620"/>
      <c r="Q267" s="1081"/>
      <c r="R267" s="614" t="s">
        <v>569</v>
      </c>
      <c r="S267" s="1086"/>
      <c r="T267" s="1082"/>
      <c r="U267" s="614" t="s">
        <v>516</v>
      </c>
      <c r="V267" s="1069"/>
    </row>
    <row r="268" spans="1:22" ht="18" customHeight="1">
      <c r="A268" s="616"/>
      <c r="B268" s="621"/>
      <c r="C268" s="1082"/>
      <c r="D268" s="1085"/>
      <c r="E268" s="1086"/>
      <c r="F268" s="1086"/>
      <c r="G268" s="1082"/>
      <c r="H268" s="616"/>
      <c r="I268" s="617"/>
      <c r="J268" s="1085"/>
      <c r="K268" s="1082"/>
      <c r="L268" s="616"/>
      <c r="M268" s="621"/>
      <c r="N268" s="617"/>
      <c r="O268" s="616"/>
      <c r="P268" s="621"/>
      <c r="Q268" s="1082"/>
      <c r="R268" s="1085"/>
      <c r="S268" s="1086"/>
      <c r="T268" s="1082"/>
      <c r="U268" s="1070"/>
      <c r="V268" s="1071"/>
    </row>
    <row r="269" spans="1:22" ht="18" customHeight="1">
      <c r="A269" s="618"/>
      <c r="B269" s="622"/>
      <c r="C269" s="1083"/>
      <c r="D269" s="1087"/>
      <c r="E269" s="1088"/>
      <c r="F269" s="1088"/>
      <c r="G269" s="1083"/>
      <c r="H269" s="618"/>
      <c r="I269" s="619"/>
      <c r="J269" s="1087"/>
      <c r="K269" s="1083"/>
      <c r="L269" s="618"/>
      <c r="M269" s="622"/>
      <c r="N269" s="619"/>
      <c r="O269" s="618"/>
      <c r="P269" s="622"/>
      <c r="Q269" s="1083"/>
      <c r="R269" s="1087"/>
      <c r="S269" s="1088"/>
      <c r="T269" s="1083"/>
      <c r="U269" s="1072"/>
      <c r="V269" s="1073"/>
    </row>
    <row r="270" spans="1:22" ht="18" customHeight="1">
      <c r="A270" s="623" t="str">
        <f>B178</f>
        <v>T1</v>
      </c>
      <c r="B270" s="1079"/>
      <c r="C270" s="624" t="str">
        <f>D178</f>
        <v>Core5</v>
      </c>
      <c r="D270" s="624">
        <f>H181</f>
        <v>1500</v>
      </c>
      <c r="E270" s="624">
        <f>J181</f>
        <v>0</v>
      </c>
      <c r="F270" s="624">
        <f>L181</f>
        <v>0</v>
      </c>
      <c r="G270" s="624">
        <f>O181</f>
        <v>1</v>
      </c>
      <c r="H270" s="624">
        <f>'[6]CT-VT Burdens'!S20</f>
        <v>75</v>
      </c>
      <c r="I270" s="631">
        <f>'[6]CT-VT Burdens'!S11</f>
        <v>6</v>
      </c>
      <c r="J270" s="612" t="str">
        <f>L182</f>
        <v>X</v>
      </c>
      <c r="K270" s="612"/>
      <c r="L270" s="624">
        <f>H12</f>
        <v>6</v>
      </c>
      <c r="M270" s="624">
        <f>J95</f>
        <v>0</v>
      </c>
      <c r="N270" s="624">
        <f>L183</f>
        <v>0</v>
      </c>
      <c r="O270" s="624">
        <f>H13</f>
        <v>500</v>
      </c>
      <c r="P270" s="624">
        <f>J96</f>
        <v>0</v>
      </c>
      <c r="Q270" s="624">
        <f>L184</f>
        <v>0</v>
      </c>
      <c r="R270" s="624">
        <f>H14</f>
        <v>10</v>
      </c>
      <c r="S270" s="624">
        <f>J97</f>
        <v>0</v>
      </c>
      <c r="T270" s="624">
        <f>L185</f>
        <v>0</v>
      </c>
      <c r="U270" s="705" t="str">
        <f>T178</f>
        <v>P743</v>
      </c>
      <c r="V270" s="707"/>
    </row>
    <row r="271" spans="1:22" ht="18" customHeight="1">
      <c r="A271" s="623"/>
      <c r="B271" s="1079"/>
      <c r="C271" s="1076"/>
      <c r="D271" s="1076"/>
      <c r="E271" s="1076"/>
      <c r="F271" s="1076"/>
      <c r="G271" s="1076"/>
      <c r="H271" s="1076"/>
      <c r="I271" s="1076"/>
      <c r="J271" s="1078"/>
      <c r="K271" s="1078"/>
      <c r="L271" s="1076"/>
      <c r="M271" s="1076"/>
      <c r="N271" s="1076"/>
      <c r="O271" s="1076"/>
      <c r="P271" s="1076"/>
      <c r="Q271" s="1076"/>
      <c r="R271" s="1076"/>
      <c r="S271" s="1076"/>
      <c r="T271" s="1076"/>
      <c r="U271" s="705">
        <f>T179</f>
        <v>0</v>
      </c>
      <c r="V271" s="707"/>
    </row>
    <row r="272" spans="1:22" ht="18" customHeight="1">
      <c r="A272" s="623"/>
      <c r="B272" s="1079"/>
      <c r="C272" s="1077"/>
      <c r="D272" s="1077"/>
      <c r="E272" s="1077"/>
      <c r="F272" s="1077"/>
      <c r="G272" s="1077"/>
      <c r="H272" s="1077"/>
      <c r="I272" s="1077"/>
      <c r="J272" s="1078"/>
      <c r="K272" s="1078"/>
      <c r="L272" s="1077"/>
      <c r="M272" s="1077"/>
      <c r="N272" s="1077"/>
      <c r="O272" s="1077"/>
      <c r="P272" s="1077"/>
      <c r="Q272" s="1077"/>
      <c r="R272" s="1077"/>
      <c r="S272" s="1077"/>
      <c r="T272" s="1077"/>
      <c r="U272" s="1183">
        <f>T180</f>
        <v>0</v>
      </c>
      <c r="V272" s="70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206"/>
      <c r="B308" s="207"/>
      <c r="C308" s="207"/>
      <c r="D308" s="207"/>
      <c r="E308" s="207"/>
      <c r="F308" s="207"/>
      <c r="G308" s="207"/>
      <c r="H308" s="207"/>
      <c r="I308" s="207"/>
      <c r="J308" s="207"/>
      <c r="K308" s="207"/>
      <c r="L308" s="207"/>
      <c r="M308" s="207"/>
      <c r="N308" s="207"/>
      <c r="O308" s="207"/>
      <c r="P308" s="207"/>
      <c r="Q308" s="236"/>
      <c r="R308" s="194"/>
      <c r="S308" s="237"/>
      <c r="T308" s="207"/>
      <c r="U308" s="207"/>
      <c r="V308" s="140"/>
    </row>
  </sheetData>
  <mergeCells count="189">
    <mergeCell ref="O267:Q269"/>
    <mergeCell ref="R267:T269"/>
    <mergeCell ref="U267:V269"/>
    <mergeCell ref="A270:B270"/>
    <mergeCell ref="C270:C272"/>
    <mergeCell ref="D270:D272"/>
    <mergeCell ref="E270:E272"/>
    <mergeCell ref="F270:F272"/>
    <mergeCell ref="T270:T272"/>
    <mergeCell ref="U270:V270"/>
    <mergeCell ref="A271:B271"/>
    <mergeCell ref="U271:V271"/>
    <mergeCell ref="A272:B272"/>
    <mergeCell ref="U272:V272"/>
    <mergeCell ref="N270:N272"/>
    <mergeCell ref="O270:O272"/>
    <mergeCell ref="P270:P272"/>
    <mergeCell ref="Q270:Q272"/>
    <mergeCell ref="R270:R272"/>
    <mergeCell ref="S270:S272"/>
    <mergeCell ref="G270:G272"/>
    <mergeCell ref="H270:H272"/>
    <mergeCell ref="I270:I272"/>
    <mergeCell ref="J270:K272"/>
    <mergeCell ref="L270:L272"/>
    <mergeCell ref="M270:M272"/>
    <mergeCell ref="E214:F214"/>
    <mergeCell ref="E226:F226"/>
    <mergeCell ref="H226:I226"/>
    <mergeCell ref="E230:F230"/>
    <mergeCell ref="H230:I230"/>
    <mergeCell ref="J267:K269"/>
    <mergeCell ref="L267:N269"/>
    <mergeCell ref="A267:C269"/>
    <mergeCell ref="D267:G269"/>
    <mergeCell ref="H267:I269"/>
    <mergeCell ref="E208:F208"/>
    <mergeCell ref="B212:C212"/>
    <mergeCell ref="E212:F212"/>
    <mergeCell ref="H212:I212"/>
    <mergeCell ref="K212:L212"/>
    <mergeCell ref="E213:F213"/>
    <mergeCell ref="H213:I213"/>
    <mergeCell ref="K213:L213"/>
    <mergeCell ref="B206:C206"/>
    <mergeCell ref="G206:H206"/>
    <mergeCell ref="J206:K206"/>
    <mergeCell ref="M206:N206"/>
    <mergeCell ref="G207:H207"/>
    <mergeCell ref="J207:K207"/>
    <mergeCell ref="M207:N207"/>
    <mergeCell ref="S195:T195"/>
    <mergeCell ref="S196:T196"/>
    <mergeCell ref="S197:T197"/>
    <mergeCell ref="S198:T198"/>
    <mergeCell ref="S199:T199"/>
    <mergeCell ref="S200:T200"/>
    <mergeCell ref="L185:M185"/>
    <mergeCell ref="J189:K189"/>
    <mergeCell ref="J190:K190"/>
    <mergeCell ref="J191:K191"/>
    <mergeCell ref="J192:K192"/>
    <mergeCell ref="J193:K193"/>
    <mergeCell ref="H181:I181"/>
    <mergeCell ref="J181:K181"/>
    <mergeCell ref="L181:M181"/>
    <mergeCell ref="L182:M182"/>
    <mergeCell ref="L183:M183"/>
    <mergeCell ref="L184:M184"/>
    <mergeCell ref="T178:U178"/>
    <mergeCell ref="T179:U179"/>
    <mergeCell ref="H180:I180"/>
    <mergeCell ref="J180:K180"/>
    <mergeCell ref="L180:M180"/>
    <mergeCell ref="T180:U180"/>
    <mergeCell ref="E126:F126"/>
    <mergeCell ref="E138:F138"/>
    <mergeCell ref="H138:I138"/>
    <mergeCell ref="E142:F142"/>
    <mergeCell ref="H142:I142"/>
    <mergeCell ref="B178:C178"/>
    <mergeCell ref="D178:E178"/>
    <mergeCell ref="H178:M178"/>
    <mergeCell ref="E120:F120"/>
    <mergeCell ref="B124:C124"/>
    <mergeCell ref="E124:F124"/>
    <mergeCell ref="H124:I124"/>
    <mergeCell ref="K124:L124"/>
    <mergeCell ref="E125:F125"/>
    <mergeCell ref="H125:I125"/>
    <mergeCell ref="K125:L125"/>
    <mergeCell ref="B118:C118"/>
    <mergeCell ref="G118:H118"/>
    <mergeCell ref="J118:K118"/>
    <mergeCell ref="M118:N118"/>
    <mergeCell ref="G119:H119"/>
    <mergeCell ref="J119:K119"/>
    <mergeCell ref="M119:N119"/>
    <mergeCell ref="S107:T107"/>
    <mergeCell ref="S108:T108"/>
    <mergeCell ref="S109:T109"/>
    <mergeCell ref="S110:T110"/>
    <mergeCell ref="S111:T111"/>
    <mergeCell ref="S112:T112"/>
    <mergeCell ref="J97:K97"/>
    <mergeCell ref="J101:K101"/>
    <mergeCell ref="J102:K102"/>
    <mergeCell ref="J103:K103"/>
    <mergeCell ref="J104:K104"/>
    <mergeCell ref="J105:K105"/>
    <mergeCell ref="H93:I93"/>
    <mergeCell ref="J93:K93"/>
    <mergeCell ref="L93:M93"/>
    <mergeCell ref="J94:K94"/>
    <mergeCell ref="J95:K95"/>
    <mergeCell ref="J96:K96"/>
    <mergeCell ref="T90:U90"/>
    <mergeCell ref="T91:U91"/>
    <mergeCell ref="H92:I92"/>
    <mergeCell ref="J92:K92"/>
    <mergeCell ref="L92:M92"/>
    <mergeCell ref="T92:U92"/>
    <mergeCell ref="E43:F43"/>
    <mergeCell ref="E50:F50"/>
    <mergeCell ref="H50:I50"/>
    <mergeCell ref="E54:F54"/>
    <mergeCell ref="H54:I54"/>
    <mergeCell ref="B90:C90"/>
    <mergeCell ref="D90:E90"/>
    <mergeCell ref="H90:M90"/>
    <mergeCell ref="E37:F37"/>
    <mergeCell ref="B41:C41"/>
    <mergeCell ref="E41:F41"/>
    <mergeCell ref="H41:I41"/>
    <mergeCell ref="K41:L41"/>
    <mergeCell ref="E42:F42"/>
    <mergeCell ref="H42:I42"/>
    <mergeCell ref="K42:L42"/>
    <mergeCell ref="B35:C35"/>
    <mergeCell ref="G35:H35"/>
    <mergeCell ref="J35:K35"/>
    <mergeCell ref="M35:N35"/>
    <mergeCell ref="G36:H36"/>
    <mergeCell ref="J36:K36"/>
    <mergeCell ref="M36:N36"/>
    <mergeCell ref="S24:T24"/>
    <mergeCell ref="S25:T25"/>
    <mergeCell ref="S26:T26"/>
    <mergeCell ref="S27:T27"/>
    <mergeCell ref="S28:T28"/>
    <mergeCell ref="S29:T29"/>
    <mergeCell ref="H14:I14"/>
    <mergeCell ref="J18:K18"/>
    <mergeCell ref="J19:K19"/>
    <mergeCell ref="J20:K20"/>
    <mergeCell ref="J21:K21"/>
    <mergeCell ref="J22:K22"/>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60 G148 G236">
    <cfRule type="cellIs" dxfId="33" priority="2" stopIfTrue="1" operator="equal">
      <formula>"Under Dimentioned"</formula>
    </cfRule>
  </conditionalFormatting>
  <conditionalFormatting sqref="H57 H145 H233">
    <cfRule type="cellIs" dxfId="32" priority="1" stopIfTrue="1" operator="equal">
      <formula>"Under Dimentioned"</formula>
    </cfRule>
  </conditionalFormatting>
  <dataValidations count="2">
    <dataValidation type="list" allowBlank="1" showInputMessage="1" showErrorMessage="1" sqref="D90 D178" xr:uid="{56896430-E28E-4410-A489-A748295D4E01}">
      <formula1>"Core1,Core2,Core3"</formula1>
    </dataValidation>
    <dataValidation type="list" allowBlank="1" showInputMessage="1" showErrorMessage="1" sqref="D7:E7" xr:uid="{5B2B7352-808C-4ABF-8D49-96090741CE0D}">
      <formula1>"Core1,Core2,Core3,Core4,Core5"</formula1>
    </dataValidation>
  </dataValidations>
  <printOptions horizontalCentered="1" verticalCentered="1"/>
  <pageMargins left="0.51181102362204722" right="0.51181102362204722" top="0.51181102362204722" bottom="0.51181102362204722" header="0" footer="0"/>
  <pageSetup paperSize="9" scale="95" orientation="portrait" r:id="rId1"/>
  <headerFooter alignWithMargins="0"/>
  <rowBreaks count="1" manualBreakCount="1">
    <brk id="44" max="21" man="1"/>
  </row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FD4B9-6109-46B8-910F-3EECC90976C5}">
  <sheetPr codeName="Sheet225">
    <tabColor rgb="FFFFFF00"/>
  </sheetPr>
  <dimension ref="A1:AE89"/>
  <sheetViews>
    <sheetView showZeros="0" view="pageBreakPreview" topLeftCell="A24" zoomScaleNormal="100" zoomScaleSheetLayoutView="100" workbookViewId="0">
      <selection activeCell="K13" sqref="K13"/>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Title!H2</f>
        <v>ADEQUACY CHECK</v>
      </c>
      <c r="I2" s="730"/>
      <c r="J2" s="730"/>
      <c r="K2" s="730"/>
      <c r="L2" s="730"/>
      <c r="M2" s="730"/>
      <c r="N2" s="731"/>
      <c r="O2" s="702" t="str">
        <f>Title!O2</f>
        <v>Date</v>
      </c>
      <c r="P2" s="703"/>
      <c r="Q2" s="704"/>
      <c r="R2" s="732">
        <f>Title!R2</f>
        <v>46106</v>
      </c>
      <c r="S2" s="733"/>
      <c r="T2" s="733"/>
      <c r="U2" s="733"/>
      <c r="V2" s="734"/>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14"/>
      <c r="X4" s="14"/>
    </row>
    <row r="5" spans="1:24" ht="18" customHeight="1">
      <c r="A5" s="708" t="str">
        <f>Title!A5</f>
        <v>Prep. By</v>
      </c>
      <c r="B5" s="709"/>
      <c r="C5" s="25" t="str">
        <f>Title!C5</f>
        <v>AP</v>
      </c>
      <c r="D5" s="708" t="str">
        <f>Title!D5</f>
        <v>Checked By</v>
      </c>
      <c r="E5" s="710"/>
      <c r="F5" s="709"/>
      <c r="G5" s="25" t="str">
        <f>Title!G5</f>
        <v>RB</v>
      </c>
      <c r="H5" s="711" t="s">
        <v>927</v>
      </c>
      <c r="I5" s="712"/>
      <c r="J5" s="712"/>
      <c r="K5" s="712"/>
      <c r="L5" s="712"/>
      <c r="M5" s="712"/>
      <c r="N5" s="713"/>
      <c r="O5" s="714" t="str">
        <f>Title!O5</f>
        <v>Contractor</v>
      </c>
      <c r="P5" s="715"/>
      <c r="Q5" s="716"/>
      <c r="R5" s="705" t="str">
        <f>Title!R5</f>
        <v>HITACHI</v>
      </c>
      <c r="S5" s="706"/>
      <c r="T5" s="706"/>
      <c r="U5" s="706"/>
      <c r="V5" s="707"/>
      <c r="W5" s="14"/>
      <c r="X5" s="14"/>
    </row>
    <row r="6" spans="1:24" ht="18" customHeight="1">
      <c r="A6" s="196"/>
      <c r="V6" s="197"/>
    </row>
    <row r="7" spans="1:24" ht="18" customHeight="1">
      <c r="A7" s="196"/>
      <c r="B7" s="656" t="s">
        <v>120</v>
      </c>
      <c r="C7" s="657"/>
      <c r="D7" s="656" t="s">
        <v>118</v>
      </c>
      <c r="E7" s="657"/>
      <c r="F7" s="267"/>
      <c r="H7" s="639" t="s">
        <v>945</v>
      </c>
      <c r="I7" s="639"/>
      <c r="J7" s="639"/>
      <c r="K7" s="639"/>
      <c r="L7" s="639"/>
      <c r="M7" s="639"/>
      <c r="P7" s="198"/>
      <c r="R7" s="267"/>
      <c r="S7" s="199" t="s">
        <v>398</v>
      </c>
      <c r="T7" s="1051" t="s">
        <v>255</v>
      </c>
      <c r="U7" s="1052"/>
      <c r="V7" s="197"/>
    </row>
    <row r="8" spans="1:24" ht="18" customHeight="1">
      <c r="A8" s="196"/>
      <c r="B8" s="571"/>
      <c r="C8" s="571"/>
      <c r="D8" s="580"/>
      <c r="E8" s="580"/>
      <c r="F8" s="267"/>
      <c r="T8" s="1051"/>
      <c r="U8" s="1052"/>
      <c r="V8" s="197"/>
    </row>
    <row r="9" spans="1:24" ht="18" customHeight="1">
      <c r="A9" s="196"/>
      <c r="H9" s="662" t="s">
        <v>401</v>
      </c>
      <c r="I9" s="662"/>
      <c r="J9" s="701" t="s">
        <v>402</v>
      </c>
      <c r="K9" s="701"/>
      <c r="L9" s="701" t="s">
        <v>403</v>
      </c>
      <c r="M9" s="701"/>
      <c r="T9" s="1051"/>
      <c r="U9" s="1052"/>
      <c r="V9" s="197"/>
    </row>
    <row r="10" spans="1:24" ht="18" customHeight="1">
      <c r="A10" s="196"/>
      <c r="B10" s="47" t="s">
        <v>404</v>
      </c>
      <c r="H10" s="692">
        <v>2500</v>
      </c>
      <c r="I10" s="693"/>
      <c r="J10" s="656" t="s">
        <v>7</v>
      </c>
      <c r="K10" s="657"/>
      <c r="L10" s="656" t="s">
        <v>7</v>
      </c>
      <c r="M10" s="657"/>
      <c r="N10" s="203" t="s">
        <v>353</v>
      </c>
      <c r="O10" s="125">
        <v>1</v>
      </c>
      <c r="P10" s="27" t="s">
        <v>9</v>
      </c>
      <c r="T10" s="1051"/>
      <c r="U10" s="1052"/>
      <c r="V10" s="197"/>
    </row>
    <row r="11" spans="1:24" ht="18" customHeight="1">
      <c r="A11" s="196"/>
      <c r="B11" s="47" t="s">
        <v>405</v>
      </c>
      <c r="H11" s="656" t="s">
        <v>938</v>
      </c>
      <c r="I11" s="657"/>
      <c r="T11" s="1053"/>
      <c r="U11" s="1053"/>
      <c r="V11" s="197"/>
    </row>
    <row r="12" spans="1:24" ht="18" customHeight="1">
      <c r="A12" s="196"/>
      <c r="B12" s="47" t="s">
        <v>407</v>
      </c>
      <c r="G12" s="120" t="s">
        <v>508</v>
      </c>
      <c r="H12" s="656">
        <v>5</v>
      </c>
      <c r="I12" s="657"/>
      <c r="J12" s="204" t="s">
        <v>344</v>
      </c>
      <c r="T12" s="307"/>
      <c r="U12" s="18"/>
      <c r="V12" s="197"/>
    </row>
    <row r="13" spans="1:24" ht="18" customHeight="1">
      <c r="A13" s="196"/>
      <c r="B13" s="30" t="s">
        <v>579</v>
      </c>
      <c r="G13" s="120" t="s">
        <v>580</v>
      </c>
      <c r="H13" s="656">
        <v>5</v>
      </c>
      <c r="I13" s="657"/>
      <c r="T13" s="307"/>
      <c r="U13" s="18"/>
      <c r="V13" s="197"/>
      <c r="W13" s="30" t="str">
        <f>J47</f>
        <v>Suitable Dimensions</v>
      </c>
    </row>
    <row r="14" spans="1:24" ht="18" customHeight="1">
      <c r="A14" s="196"/>
      <c r="B14" s="47" t="s">
        <v>573</v>
      </c>
      <c r="G14" s="120" t="s">
        <v>504</v>
      </c>
      <c r="H14" s="656">
        <v>10</v>
      </c>
      <c r="I14" s="657"/>
      <c r="J14" s="30"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686"/>
      <c r="K19" s="687"/>
      <c r="L19" s="210" t="s">
        <v>168</v>
      </c>
      <c r="P19" s="256"/>
      <c r="V19" s="197"/>
    </row>
    <row r="20" spans="1:31" ht="18" customHeight="1">
      <c r="A20" s="196"/>
      <c r="B20" s="96" t="s">
        <v>416</v>
      </c>
      <c r="C20" s="14"/>
      <c r="D20" s="47">
        <f>T9</f>
        <v>0</v>
      </c>
      <c r="E20" s="14"/>
      <c r="G20" s="211"/>
      <c r="H20" s="27"/>
      <c r="I20" s="101" t="s">
        <v>138</v>
      </c>
      <c r="J20" s="688"/>
      <c r="K20" s="689"/>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688"/>
      <c r="K21" s="689"/>
      <c r="L21" s="214" t="s">
        <v>168</v>
      </c>
      <c r="O21" s="27" t="s">
        <v>138</v>
      </c>
      <c r="P21" s="27">
        <f>O10</f>
        <v>1</v>
      </c>
      <c r="Q21" s="27" t="s">
        <v>326</v>
      </c>
      <c r="R21" s="27">
        <f>O10</f>
        <v>1</v>
      </c>
      <c r="S21" s="27" t="s">
        <v>326</v>
      </c>
      <c r="T21" s="27">
        <f>H12</f>
        <v>5</v>
      </c>
      <c r="V21" s="197"/>
    </row>
    <row r="22" spans="1:31" ht="18" customHeight="1">
      <c r="A22" s="196"/>
      <c r="B22" s="196" t="s">
        <v>423</v>
      </c>
      <c r="C22" s="14"/>
      <c r="D22" s="47"/>
      <c r="E22" s="14"/>
      <c r="H22" s="27"/>
      <c r="I22" s="101" t="s">
        <v>138</v>
      </c>
      <c r="J22" s="690">
        <f>'CT-VT Burdens'!S22</f>
        <v>1.44186744</v>
      </c>
      <c r="K22" s="691"/>
      <c r="L22" s="309" t="s">
        <v>168</v>
      </c>
      <c r="O22" s="27" t="s">
        <v>138</v>
      </c>
      <c r="P22" s="637">
        <f>P21*R21*T21</f>
        <v>5</v>
      </c>
      <c r="Q22" s="639"/>
      <c r="R22" s="27" t="s">
        <v>168</v>
      </c>
      <c r="S22" s="27"/>
      <c r="T22" s="27"/>
      <c r="V22" s="197"/>
    </row>
    <row r="23" spans="1:31" ht="18" customHeight="1">
      <c r="A23" s="196"/>
      <c r="B23" s="1" t="s">
        <v>424</v>
      </c>
      <c r="C23" s="2"/>
      <c r="D23" s="2"/>
      <c r="E23" s="2"/>
      <c r="F23" s="208"/>
      <c r="G23" s="208"/>
      <c r="H23" s="236" t="s">
        <v>523</v>
      </c>
      <c r="I23" s="195" t="s">
        <v>138</v>
      </c>
      <c r="J23" s="648">
        <f>SUM(J18:K22)</f>
        <v>1.44986744</v>
      </c>
      <c r="K23" s="649"/>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86">
        <f>H10</f>
        <v>2500</v>
      </c>
      <c r="Q25" s="986"/>
      <c r="R25" s="204" t="s">
        <v>9</v>
      </c>
      <c r="V25" s="197"/>
    </row>
    <row r="26" spans="1:31" ht="18" customHeight="1">
      <c r="A26" s="196"/>
      <c r="B26" s="47" t="s">
        <v>558</v>
      </c>
      <c r="C26" s="47"/>
      <c r="D26" s="47"/>
      <c r="E26" s="47"/>
      <c r="H26" s="27"/>
      <c r="I26" s="28"/>
      <c r="J26" s="211"/>
      <c r="L26" s="47"/>
      <c r="N26" s="120" t="s">
        <v>583</v>
      </c>
      <c r="O26" s="28" t="s">
        <v>138</v>
      </c>
      <c r="P26" s="986">
        <f>H12</f>
        <v>5</v>
      </c>
      <c r="Q26" s="986"/>
      <c r="R26" s="316" t="s">
        <v>168</v>
      </c>
      <c r="V26" s="197"/>
    </row>
    <row r="27" spans="1:31" ht="18" customHeight="1">
      <c r="A27" s="196"/>
      <c r="B27" s="47" t="s">
        <v>559</v>
      </c>
      <c r="C27" s="47"/>
      <c r="D27" s="47"/>
      <c r="E27" s="47"/>
      <c r="H27" s="27"/>
      <c r="I27" s="28"/>
      <c r="J27" s="211"/>
      <c r="L27" s="47"/>
      <c r="N27" s="120" t="s">
        <v>584</v>
      </c>
      <c r="O27" s="28" t="s">
        <v>138</v>
      </c>
      <c r="P27" s="960">
        <f>J23</f>
        <v>1.44986744</v>
      </c>
      <c r="Q27" s="986"/>
      <c r="R27" s="316" t="s">
        <v>168</v>
      </c>
      <c r="V27" s="197"/>
    </row>
    <row r="28" spans="1:31" ht="18" customHeight="1">
      <c r="A28" s="196"/>
      <c r="B28" s="47" t="s">
        <v>560</v>
      </c>
      <c r="C28" s="47"/>
      <c r="D28" s="47"/>
      <c r="E28" s="47"/>
      <c r="H28" s="27"/>
      <c r="I28" s="28"/>
      <c r="J28" s="211"/>
      <c r="L28" s="47"/>
      <c r="N28" s="120" t="s">
        <v>522</v>
      </c>
      <c r="O28" s="28" t="s">
        <v>138</v>
      </c>
      <c r="P28" s="986">
        <f>O10</f>
        <v>1</v>
      </c>
      <c r="Q28" s="986"/>
      <c r="R28" s="204" t="s">
        <v>9</v>
      </c>
      <c r="V28" s="197"/>
    </row>
    <row r="29" spans="1:31" ht="18" customHeight="1">
      <c r="A29" s="196"/>
      <c r="B29" s="47" t="s">
        <v>585</v>
      </c>
      <c r="C29" s="47"/>
      <c r="D29" s="47"/>
      <c r="E29" s="47"/>
      <c r="H29" s="27"/>
      <c r="I29" s="28"/>
      <c r="J29" s="211"/>
      <c r="L29" s="47"/>
      <c r="N29" s="256" t="s">
        <v>586</v>
      </c>
      <c r="O29" s="28" t="s">
        <v>138</v>
      </c>
      <c r="P29" s="986">
        <f>H13</f>
        <v>5</v>
      </c>
      <c r="Q29" s="986"/>
      <c r="R29" s="204"/>
      <c r="V29" s="197"/>
    </row>
    <row r="30" spans="1:31" ht="18" customHeight="1">
      <c r="A30" s="196"/>
      <c r="B30" s="308" t="s">
        <v>587</v>
      </c>
      <c r="C30" s="47"/>
      <c r="D30" s="47"/>
      <c r="E30" s="47"/>
      <c r="H30" s="27"/>
      <c r="I30" s="28"/>
      <c r="J30" s="211"/>
      <c r="L30" s="47"/>
      <c r="N30" s="256"/>
      <c r="O30" s="28" t="s">
        <v>138</v>
      </c>
      <c r="P30" s="960">
        <v>20</v>
      </c>
      <c r="Q30" s="960"/>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656">
        <v>20</v>
      </c>
      <c r="T32" s="657"/>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637">
        <f>J23</f>
        <v>1.44986744</v>
      </c>
      <c r="K35" s="639"/>
      <c r="L35" s="28"/>
      <c r="M35" s="637"/>
      <c r="N35" s="639"/>
      <c r="V35" s="197"/>
    </row>
    <row r="36" spans="1:22" ht="18" customHeight="1">
      <c r="A36" s="196"/>
      <c r="I36" s="28"/>
      <c r="J36" s="637"/>
      <c r="K36" s="639"/>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548">
        <f>P29</f>
        <v>5</v>
      </c>
      <c r="K38" s="257" t="s">
        <v>565</v>
      </c>
      <c r="L38" s="313">
        <f>P22</f>
        <v>5</v>
      </c>
      <c r="M38" s="257" t="s">
        <v>358</v>
      </c>
      <c r="N38" s="254">
        <f>H14</f>
        <v>10</v>
      </c>
      <c r="O38" s="257" t="s">
        <v>550</v>
      </c>
      <c r="P38" s="313">
        <f>P22</f>
        <v>5</v>
      </c>
      <c r="Q38" s="257" t="s">
        <v>358</v>
      </c>
      <c r="R38" s="313">
        <f>J23</f>
        <v>1.44986744</v>
      </c>
      <c r="S38" s="308" t="s">
        <v>361</v>
      </c>
      <c r="V38" s="197"/>
    </row>
    <row r="39" spans="1:22" ht="18" customHeight="1">
      <c r="A39" s="196"/>
      <c r="I39" s="27" t="s">
        <v>138</v>
      </c>
      <c r="J39" s="640">
        <f>J38*((L38+N38)/(P38+R38))</f>
        <v>11.628145957678782</v>
      </c>
      <c r="K39" s="640"/>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639">
        <f>H14</f>
        <v>10</v>
      </c>
      <c r="H43" s="639"/>
      <c r="I43" s="27" t="str">
        <f>IF(G43&gt;J43,"&gt;","&lt;")</f>
        <v>&gt;</v>
      </c>
      <c r="J43" s="637">
        <f>J35</f>
        <v>1.44986744</v>
      </c>
      <c r="K43" s="639"/>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637">
        <f>P30</f>
        <v>20</v>
      </c>
      <c r="H46" s="637"/>
      <c r="I46" s="27" t="str">
        <f>IF(G46&gt;J46,"&gt;","&lt;")</f>
        <v>&gt;</v>
      </c>
      <c r="J46" s="637">
        <f>J39</f>
        <v>11.628145957678782</v>
      </c>
      <c r="K46" s="637"/>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302"/>
      <c r="B48" s="208"/>
      <c r="C48" s="208"/>
      <c r="D48" s="2"/>
      <c r="E48" s="208"/>
      <c r="F48" s="208"/>
      <c r="G48" s="208"/>
      <c r="H48" s="318"/>
      <c r="I48" s="208"/>
      <c r="J48" s="527"/>
      <c r="K48" s="208"/>
      <c r="L48" s="208"/>
      <c r="M48" s="208"/>
      <c r="N48" s="208"/>
      <c r="O48" s="319"/>
      <c r="P48" s="320"/>
      <c r="Q48" s="320"/>
      <c r="R48" s="321"/>
      <c r="S48" s="208"/>
      <c r="T48" s="208"/>
      <c r="U48" s="208"/>
      <c r="V48" s="303"/>
    </row>
    <row r="49" spans="1:22" ht="18" customHeight="1">
      <c r="A49" s="238"/>
      <c r="B49" s="239"/>
      <c r="C49" s="239"/>
      <c r="D49" s="146"/>
      <c r="E49" s="239"/>
      <c r="F49" s="239"/>
      <c r="G49" s="239"/>
      <c r="H49" s="605"/>
      <c r="I49" s="239"/>
      <c r="J49" s="570"/>
      <c r="K49" s="239"/>
      <c r="L49" s="239"/>
      <c r="M49" s="239"/>
      <c r="N49" s="239"/>
      <c r="O49" s="323"/>
      <c r="P49" s="528"/>
      <c r="Q49" s="528"/>
      <c r="R49" s="606"/>
      <c r="S49" s="239"/>
      <c r="T49" s="239"/>
      <c r="U49" s="239"/>
      <c r="V49" s="240"/>
    </row>
    <row r="50" spans="1:22" ht="18" customHeight="1">
      <c r="A50" s="274" t="s">
        <v>512</v>
      </c>
      <c r="B50" s="7"/>
      <c r="C50" s="7"/>
      <c r="D50" s="124"/>
      <c r="E50" s="124"/>
      <c r="F50" s="115"/>
      <c r="G50" s="115"/>
      <c r="H50" s="7"/>
      <c r="I50" s="7"/>
      <c r="J50" s="7"/>
      <c r="K50" s="14"/>
      <c r="L50" s="14"/>
      <c r="M50" s="14"/>
      <c r="N50" s="14"/>
      <c r="O50" s="14"/>
      <c r="P50" s="28"/>
      <c r="Q50" s="120"/>
      <c r="R50" s="47"/>
      <c r="S50" s="218"/>
      <c r="T50" s="271"/>
      <c r="U50" s="14"/>
      <c r="V50" s="97"/>
    </row>
    <row r="51" spans="1:22" ht="18" customHeight="1">
      <c r="A51" s="614" t="s">
        <v>97</v>
      </c>
      <c r="B51" s="620"/>
      <c r="C51" s="615"/>
      <c r="D51" s="614" t="s">
        <v>98</v>
      </c>
      <c r="E51" s="620"/>
      <c r="F51" s="615"/>
      <c r="G51" s="614" t="s">
        <v>99</v>
      </c>
      <c r="H51" s="615"/>
      <c r="I51" s="614" t="s">
        <v>100</v>
      </c>
      <c r="J51" s="615"/>
      <c r="K51" s="614" t="s">
        <v>513</v>
      </c>
      <c r="L51" s="615"/>
      <c r="M51" s="614" t="s">
        <v>114</v>
      </c>
      <c r="N51" s="615"/>
      <c r="O51" s="614"/>
      <c r="P51" s="615"/>
      <c r="Q51" s="614" t="s">
        <v>516</v>
      </c>
      <c r="R51" s="615"/>
      <c r="S51" s="614" t="s">
        <v>105</v>
      </c>
      <c r="T51" s="620"/>
      <c r="U51" s="620"/>
      <c r="V51" s="615"/>
    </row>
    <row r="52" spans="1:22" ht="18" customHeight="1">
      <c r="A52" s="616"/>
      <c r="B52" s="621"/>
      <c r="C52" s="617"/>
      <c r="D52" s="616"/>
      <c r="E52" s="621"/>
      <c r="F52" s="617"/>
      <c r="G52" s="616"/>
      <c r="H52" s="617"/>
      <c r="I52" s="616"/>
      <c r="J52" s="617"/>
      <c r="K52" s="616"/>
      <c r="L52" s="617"/>
      <c r="M52" s="616"/>
      <c r="N52" s="617"/>
      <c r="O52" s="616"/>
      <c r="P52" s="617"/>
      <c r="Q52" s="616"/>
      <c r="R52" s="617"/>
      <c r="S52" s="616"/>
      <c r="T52" s="621"/>
      <c r="U52" s="621"/>
      <c r="V52" s="617"/>
    </row>
    <row r="53" spans="1:22" ht="18" customHeight="1">
      <c r="A53" s="616"/>
      <c r="B53" s="621"/>
      <c r="C53" s="617"/>
      <c r="D53" s="616"/>
      <c r="E53" s="621"/>
      <c r="F53" s="617"/>
      <c r="G53" s="616"/>
      <c r="H53" s="617"/>
      <c r="I53" s="616"/>
      <c r="J53" s="617"/>
      <c r="K53" s="616"/>
      <c r="L53" s="617"/>
      <c r="M53" s="616"/>
      <c r="N53" s="617"/>
      <c r="O53" s="616"/>
      <c r="P53" s="617"/>
      <c r="Q53" s="616"/>
      <c r="R53" s="617"/>
      <c r="S53" s="616"/>
      <c r="T53" s="621"/>
      <c r="U53" s="621"/>
      <c r="V53" s="617"/>
    </row>
    <row r="54" spans="1:22" ht="18" customHeight="1">
      <c r="A54" s="618"/>
      <c r="B54" s="622"/>
      <c r="C54" s="619"/>
      <c r="D54" s="618"/>
      <c r="E54" s="622"/>
      <c r="F54" s="619"/>
      <c r="G54" s="618"/>
      <c r="H54" s="619"/>
      <c r="I54" s="618"/>
      <c r="J54" s="619"/>
      <c r="K54" s="618"/>
      <c r="L54" s="619"/>
      <c r="M54" s="618"/>
      <c r="N54" s="619"/>
      <c r="O54" s="618"/>
      <c r="P54" s="619"/>
      <c r="Q54" s="618"/>
      <c r="R54" s="619"/>
      <c r="S54" s="618"/>
      <c r="T54" s="622"/>
      <c r="U54" s="622"/>
      <c r="V54" s="619"/>
    </row>
    <row r="55" spans="1:22" ht="18" customHeight="1">
      <c r="A55" s="623" t="str">
        <f>B7</f>
        <v>T1</v>
      </c>
      <c r="B55" s="623" t="str">
        <f>D7</f>
        <v>Core6</v>
      </c>
      <c r="C55" s="623"/>
      <c r="D55" s="613">
        <f>H10</f>
        <v>2500</v>
      </c>
      <c r="E55" s="613"/>
      <c r="F55" s="624">
        <f>O10</f>
        <v>1</v>
      </c>
      <c r="G55" s="627">
        <f>'CT-VT Burdens'!S19</f>
        <v>80</v>
      </c>
      <c r="H55" s="630">
        <f>'CT-VT Burdens'!S10</f>
        <v>2.5</v>
      </c>
      <c r="I55" s="783" t="str">
        <f>H11</f>
        <v>0.2S</v>
      </c>
      <c r="J55" s="783"/>
      <c r="K55" s="612">
        <f>H12</f>
        <v>5</v>
      </c>
      <c r="L55" s="612"/>
      <c r="M55" s="612">
        <f>H14</f>
        <v>10</v>
      </c>
      <c r="N55" s="612"/>
      <c r="O55" s="613" t="s">
        <v>7</v>
      </c>
      <c r="P55" s="613"/>
      <c r="Q55" s="629" t="str">
        <f>CONCATENATE(T7," ",T8," ",T9," ",T10)</f>
        <v xml:space="preserve">XC-RACK   </v>
      </c>
      <c r="R55" s="629"/>
      <c r="S55" s="628" t="str">
        <f>J47</f>
        <v>Suitable Dimensions</v>
      </c>
      <c r="T55" s="628"/>
      <c r="U55" s="628"/>
      <c r="V55" s="628"/>
    </row>
    <row r="56" spans="1:22" ht="18" customHeight="1">
      <c r="A56" s="623"/>
      <c r="B56" s="623"/>
      <c r="C56" s="623"/>
      <c r="D56" s="613" t="str">
        <f>J10</f>
        <v>-</v>
      </c>
      <c r="E56" s="613"/>
      <c r="F56" s="625"/>
      <c r="G56" s="627"/>
      <c r="H56" s="630"/>
      <c r="I56" s="783"/>
      <c r="J56" s="783"/>
      <c r="K56" s="785" t="s">
        <v>7</v>
      </c>
      <c r="L56" s="612"/>
      <c r="M56" s="785" t="s">
        <v>7</v>
      </c>
      <c r="N56" s="612"/>
      <c r="O56" s="613" t="s">
        <v>7</v>
      </c>
      <c r="P56" s="613"/>
      <c r="Q56" s="629"/>
      <c r="R56" s="629"/>
      <c r="S56" s="961" t="s">
        <v>7</v>
      </c>
      <c r="T56" s="628"/>
      <c r="U56" s="628"/>
      <c r="V56" s="628"/>
    </row>
    <row r="57" spans="1:22" ht="18" customHeight="1">
      <c r="A57" s="623"/>
      <c r="B57" s="623"/>
      <c r="C57" s="623"/>
      <c r="D57" s="613" t="s">
        <v>7</v>
      </c>
      <c r="E57" s="613"/>
      <c r="F57" s="626"/>
      <c r="G57" s="627"/>
      <c r="H57" s="630"/>
      <c r="I57" s="783"/>
      <c r="J57" s="783"/>
      <c r="K57" s="612" t="s">
        <v>7</v>
      </c>
      <c r="L57" s="612"/>
      <c r="M57" s="612" t="s">
        <v>7</v>
      </c>
      <c r="N57" s="612"/>
      <c r="O57" s="613" t="s">
        <v>7</v>
      </c>
      <c r="P57" s="613"/>
      <c r="Q57" s="629"/>
      <c r="R57" s="629"/>
      <c r="S57" s="628" t="s">
        <v>7</v>
      </c>
      <c r="T57" s="628"/>
      <c r="U57" s="628"/>
      <c r="V57" s="628"/>
    </row>
    <row r="58" spans="1:22" ht="18" customHeight="1">
      <c r="A58" s="277"/>
      <c r="B58" s="251"/>
      <c r="C58" s="251"/>
      <c r="D58" s="251"/>
      <c r="E58" s="251"/>
      <c r="F58" s="251"/>
      <c r="G58" s="251"/>
      <c r="H58" s="251"/>
      <c r="I58" s="251"/>
      <c r="J58" s="93"/>
      <c r="K58" s="93"/>
      <c r="L58" s="251"/>
      <c r="M58" s="251"/>
      <c r="N58" s="251"/>
      <c r="O58" s="251"/>
      <c r="P58" s="251"/>
      <c r="Q58" s="251"/>
      <c r="R58" s="251"/>
      <c r="S58" s="251"/>
      <c r="T58" s="251"/>
      <c r="U58" s="103"/>
      <c r="V58" s="322"/>
    </row>
    <row r="59" spans="1:22" ht="18" customHeight="1">
      <c r="A59" s="277"/>
      <c r="B59" s="251"/>
      <c r="C59" s="251"/>
      <c r="D59" s="251"/>
      <c r="E59" s="251"/>
      <c r="F59" s="251"/>
      <c r="G59" s="251"/>
      <c r="H59" s="251"/>
      <c r="I59" s="251"/>
      <c r="J59" s="93"/>
      <c r="K59" s="93"/>
      <c r="L59" s="251"/>
      <c r="M59" s="251"/>
      <c r="N59" s="251"/>
      <c r="O59" s="251"/>
      <c r="P59" s="251"/>
      <c r="Q59" s="251"/>
      <c r="R59" s="251"/>
      <c r="S59" s="251"/>
      <c r="T59" s="251"/>
      <c r="U59" s="103"/>
      <c r="V59" s="322"/>
    </row>
    <row r="60" spans="1:22" ht="18" customHeight="1">
      <c r="A60" s="277"/>
      <c r="B60" s="251"/>
      <c r="C60" s="251"/>
      <c r="D60" s="251"/>
      <c r="E60" s="251"/>
      <c r="F60" s="251"/>
      <c r="G60" s="251"/>
      <c r="H60" s="251"/>
      <c r="I60" s="251"/>
      <c r="J60" s="93"/>
      <c r="K60" s="93"/>
      <c r="L60" s="251"/>
      <c r="M60" s="251"/>
      <c r="N60" s="251"/>
      <c r="O60" s="251"/>
      <c r="P60" s="251"/>
      <c r="Q60" s="251"/>
      <c r="R60" s="251"/>
      <c r="S60" s="251"/>
      <c r="T60" s="251"/>
      <c r="U60" s="103"/>
      <c r="V60" s="322"/>
    </row>
    <row r="61" spans="1:22" ht="18" customHeight="1">
      <c r="A61" s="277"/>
      <c r="B61" s="251"/>
      <c r="C61" s="251"/>
      <c r="D61" s="251"/>
      <c r="E61" s="251"/>
      <c r="F61" s="251"/>
      <c r="G61" s="251"/>
      <c r="H61" s="251"/>
      <c r="I61" s="251"/>
      <c r="J61" s="93"/>
      <c r="K61" s="93"/>
      <c r="L61" s="251"/>
      <c r="M61" s="251"/>
      <c r="N61" s="251"/>
      <c r="O61" s="251"/>
      <c r="P61" s="251"/>
      <c r="Q61" s="251"/>
      <c r="R61" s="251"/>
      <c r="S61" s="251"/>
      <c r="T61" s="251"/>
      <c r="U61" s="103"/>
      <c r="V61" s="322"/>
    </row>
    <row r="62" spans="1:22" ht="18" customHeight="1">
      <c r="A62" s="277"/>
      <c r="B62" s="251"/>
      <c r="C62" s="251"/>
      <c r="D62" s="251"/>
      <c r="E62" s="251"/>
      <c r="F62" s="251"/>
      <c r="G62" s="251"/>
      <c r="H62" s="251"/>
      <c r="I62" s="251"/>
      <c r="J62" s="93"/>
      <c r="K62" s="93"/>
      <c r="L62" s="251"/>
      <c r="M62" s="251"/>
      <c r="N62" s="251"/>
      <c r="O62" s="251"/>
      <c r="P62" s="251"/>
      <c r="Q62" s="251"/>
      <c r="R62" s="251"/>
      <c r="S62" s="251"/>
      <c r="T62" s="251"/>
      <c r="U62" s="103"/>
      <c r="V62" s="322"/>
    </row>
    <row r="63" spans="1:22" ht="18" customHeight="1">
      <c r="A63" s="277"/>
      <c r="B63" s="251"/>
      <c r="C63" s="251"/>
      <c r="D63" s="251"/>
      <c r="E63" s="251"/>
      <c r="F63" s="251"/>
      <c r="G63" s="251"/>
      <c r="H63" s="251"/>
      <c r="I63" s="251"/>
      <c r="J63" s="93"/>
      <c r="K63" s="93"/>
      <c r="L63" s="251"/>
      <c r="M63" s="251"/>
      <c r="N63" s="251"/>
      <c r="O63" s="251"/>
      <c r="P63" s="251"/>
      <c r="Q63" s="251"/>
      <c r="R63" s="251"/>
      <c r="S63" s="251"/>
      <c r="T63" s="251"/>
      <c r="U63" s="103"/>
      <c r="V63" s="322"/>
    </row>
    <row r="64" spans="1:22" ht="18" customHeight="1">
      <c r="A64" s="277"/>
      <c r="B64" s="251"/>
      <c r="C64" s="251"/>
      <c r="D64" s="251"/>
      <c r="E64" s="251"/>
      <c r="F64" s="251"/>
      <c r="G64" s="251"/>
      <c r="H64" s="251"/>
      <c r="I64" s="251"/>
      <c r="J64" s="93"/>
      <c r="K64" s="93"/>
      <c r="L64" s="251"/>
      <c r="M64" s="251"/>
      <c r="N64" s="251"/>
      <c r="O64" s="251"/>
      <c r="P64" s="251"/>
      <c r="Q64" s="251"/>
      <c r="R64" s="251"/>
      <c r="S64" s="251"/>
      <c r="T64" s="251"/>
      <c r="U64" s="103"/>
      <c r="V64" s="322"/>
    </row>
    <row r="65" spans="1:22" ht="18" customHeight="1">
      <c r="A65" s="277"/>
      <c r="B65" s="251"/>
      <c r="C65" s="251"/>
      <c r="D65" s="251"/>
      <c r="E65" s="251"/>
      <c r="F65" s="251"/>
      <c r="G65" s="251"/>
      <c r="H65" s="251"/>
      <c r="I65" s="251"/>
      <c r="J65" s="93"/>
      <c r="K65" s="93"/>
      <c r="L65" s="251"/>
      <c r="M65" s="251"/>
      <c r="N65" s="251"/>
      <c r="O65" s="251"/>
      <c r="P65" s="251"/>
      <c r="Q65" s="251"/>
      <c r="R65" s="251"/>
      <c r="S65" s="251"/>
      <c r="T65" s="251"/>
      <c r="U65" s="103"/>
      <c r="V65" s="322"/>
    </row>
    <row r="66" spans="1:22" ht="18" customHeight="1">
      <c r="A66" s="277"/>
      <c r="B66" s="251"/>
      <c r="C66" s="251"/>
      <c r="D66" s="251"/>
      <c r="E66" s="251"/>
      <c r="F66" s="251"/>
      <c r="G66" s="251"/>
      <c r="H66" s="251"/>
      <c r="I66" s="251"/>
      <c r="J66" s="93"/>
      <c r="K66" s="93"/>
      <c r="L66" s="251"/>
      <c r="M66" s="251"/>
      <c r="N66" s="251"/>
      <c r="O66" s="251"/>
      <c r="P66" s="251"/>
      <c r="Q66" s="251"/>
      <c r="R66" s="251"/>
      <c r="S66" s="251"/>
      <c r="T66" s="251"/>
      <c r="U66" s="103"/>
      <c r="V66" s="322"/>
    </row>
    <row r="67" spans="1:22" ht="18" customHeight="1">
      <c r="A67" s="277"/>
      <c r="B67" s="251"/>
      <c r="C67" s="251"/>
      <c r="D67" s="251"/>
      <c r="E67" s="251"/>
      <c r="F67" s="251"/>
      <c r="G67" s="251"/>
      <c r="H67" s="251"/>
      <c r="I67" s="251"/>
      <c r="J67" s="93"/>
      <c r="K67" s="93"/>
      <c r="L67" s="251"/>
      <c r="M67" s="251"/>
      <c r="N67" s="251"/>
      <c r="O67" s="251"/>
      <c r="P67" s="251"/>
      <c r="Q67" s="251"/>
      <c r="R67" s="251"/>
      <c r="S67" s="251"/>
      <c r="T67" s="251"/>
      <c r="U67" s="103"/>
      <c r="V67" s="322"/>
    </row>
    <row r="68" spans="1:22" ht="18" customHeight="1">
      <c r="A68" s="277"/>
      <c r="B68" s="251"/>
      <c r="C68" s="251"/>
      <c r="D68" s="251"/>
      <c r="E68" s="251"/>
      <c r="F68" s="251"/>
      <c r="G68" s="251"/>
      <c r="H68" s="251"/>
      <c r="I68" s="251"/>
      <c r="J68" s="93"/>
      <c r="K68" s="93"/>
      <c r="L68" s="251"/>
      <c r="M68" s="251"/>
      <c r="N68" s="251"/>
      <c r="O68" s="251"/>
      <c r="P68" s="251"/>
      <c r="Q68" s="251"/>
      <c r="R68" s="251"/>
      <c r="S68" s="251"/>
      <c r="T68" s="251"/>
      <c r="U68" s="103"/>
      <c r="V68" s="322"/>
    </row>
    <row r="69" spans="1:22" ht="18" customHeight="1">
      <c r="A69" s="277"/>
      <c r="B69" s="251"/>
      <c r="C69" s="251"/>
      <c r="D69" s="251"/>
      <c r="E69" s="251"/>
      <c r="F69" s="251"/>
      <c r="G69" s="251"/>
      <c r="H69" s="251"/>
      <c r="I69" s="251"/>
      <c r="J69" s="93"/>
      <c r="K69" s="93"/>
      <c r="L69" s="251"/>
      <c r="M69" s="251"/>
      <c r="N69" s="251"/>
      <c r="O69" s="251"/>
      <c r="P69" s="251"/>
      <c r="Q69" s="251"/>
      <c r="R69" s="251"/>
      <c r="S69" s="251"/>
      <c r="T69" s="251"/>
      <c r="U69" s="103"/>
      <c r="V69" s="322"/>
    </row>
    <row r="70" spans="1:22" ht="18" customHeight="1">
      <c r="A70" s="277"/>
      <c r="B70" s="251"/>
      <c r="C70" s="251"/>
      <c r="D70" s="251"/>
      <c r="E70" s="251"/>
      <c r="F70" s="251"/>
      <c r="G70" s="251"/>
      <c r="H70" s="251"/>
      <c r="I70" s="251"/>
      <c r="J70" s="93"/>
      <c r="K70" s="93"/>
      <c r="L70" s="251"/>
      <c r="M70" s="251"/>
      <c r="N70" s="251"/>
      <c r="O70" s="251"/>
      <c r="P70" s="251"/>
      <c r="Q70" s="251"/>
      <c r="R70" s="251"/>
      <c r="S70" s="251"/>
      <c r="T70" s="251"/>
      <c r="U70" s="103"/>
      <c r="V70" s="322"/>
    </row>
    <row r="71" spans="1:22" ht="18" customHeight="1">
      <c r="A71" s="277"/>
      <c r="B71" s="251"/>
      <c r="C71" s="251"/>
      <c r="D71" s="251"/>
      <c r="E71" s="251"/>
      <c r="F71" s="251"/>
      <c r="G71" s="251"/>
      <c r="H71" s="251"/>
      <c r="I71" s="251"/>
      <c r="J71" s="93"/>
      <c r="K71" s="93"/>
      <c r="L71" s="251"/>
      <c r="M71" s="251"/>
      <c r="N71" s="251"/>
      <c r="O71" s="251"/>
      <c r="P71" s="251"/>
      <c r="Q71" s="251"/>
      <c r="R71" s="251"/>
      <c r="S71" s="251"/>
      <c r="T71" s="251"/>
      <c r="U71" s="103"/>
      <c r="V71" s="322"/>
    </row>
    <row r="72" spans="1:22" ht="18" customHeight="1">
      <c r="A72" s="277"/>
      <c r="B72" s="251"/>
      <c r="C72" s="251"/>
      <c r="D72" s="251"/>
      <c r="E72" s="251"/>
      <c r="F72" s="251"/>
      <c r="G72" s="251"/>
      <c r="H72" s="251"/>
      <c r="I72" s="251"/>
      <c r="J72" s="93"/>
      <c r="K72" s="93"/>
      <c r="L72" s="251"/>
      <c r="M72" s="251"/>
      <c r="N72" s="251"/>
      <c r="O72" s="251"/>
      <c r="P72" s="251"/>
      <c r="Q72" s="251"/>
      <c r="R72" s="251"/>
      <c r="S72" s="251"/>
      <c r="T72" s="251"/>
      <c r="U72" s="103"/>
      <c r="V72" s="322"/>
    </row>
    <row r="73" spans="1:22" ht="18" customHeight="1">
      <c r="A73" s="277"/>
      <c r="B73" s="251"/>
      <c r="C73" s="251"/>
      <c r="D73" s="251"/>
      <c r="E73" s="251"/>
      <c r="F73" s="251"/>
      <c r="G73" s="251"/>
      <c r="H73" s="251"/>
      <c r="I73" s="251"/>
      <c r="J73" s="93"/>
      <c r="K73" s="93"/>
      <c r="L73" s="251"/>
      <c r="M73" s="251"/>
      <c r="N73" s="251"/>
      <c r="O73" s="251"/>
      <c r="P73" s="251"/>
      <c r="Q73" s="251"/>
      <c r="R73" s="251"/>
      <c r="S73" s="251"/>
      <c r="T73" s="251"/>
      <c r="U73" s="103"/>
      <c r="V73" s="322"/>
    </row>
    <row r="74" spans="1:22" ht="18" customHeight="1">
      <c r="A74" s="277"/>
      <c r="B74" s="251"/>
      <c r="C74" s="251"/>
      <c r="D74" s="251"/>
      <c r="E74" s="251"/>
      <c r="F74" s="251"/>
      <c r="G74" s="251"/>
      <c r="H74" s="251"/>
      <c r="I74" s="251"/>
      <c r="J74" s="93"/>
      <c r="K74" s="93"/>
      <c r="L74" s="251"/>
      <c r="M74" s="251"/>
      <c r="N74" s="251"/>
      <c r="O74" s="251"/>
      <c r="P74" s="251"/>
      <c r="Q74" s="251"/>
      <c r="R74" s="251"/>
      <c r="S74" s="251"/>
      <c r="T74" s="251"/>
      <c r="U74" s="103"/>
      <c r="V74" s="322"/>
    </row>
    <row r="75" spans="1:22" ht="18" customHeight="1">
      <c r="A75" s="277"/>
      <c r="B75" s="251"/>
      <c r="C75" s="251"/>
      <c r="D75" s="251"/>
      <c r="E75" s="251"/>
      <c r="F75" s="251"/>
      <c r="G75" s="251"/>
      <c r="H75" s="251"/>
      <c r="I75" s="251"/>
      <c r="J75" s="93"/>
      <c r="K75" s="93"/>
      <c r="L75" s="251"/>
      <c r="M75" s="251"/>
      <c r="N75" s="251"/>
      <c r="O75" s="251"/>
      <c r="P75" s="251"/>
      <c r="Q75" s="251"/>
      <c r="R75" s="251"/>
      <c r="S75" s="251"/>
      <c r="T75" s="251"/>
      <c r="U75" s="103"/>
      <c r="V75" s="322"/>
    </row>
    <row r="76" spans="1:22" ht="18" customHeight="1">
      <c r="A76" s="277"/>
      <c r="B76" s="251"/>
      <c r="C76" s="251"/>
      <c r="D76" s="251"/>
      <c r="E76" s="251"/>
      <c r="F76" s="251"/>
      <c r="G76" s="251"/>
      <c r="H76" s="251"/>
      <c r="I76" s="251"/>
      <c r="J76" s="93"/>
      <c r="K76" s="93"/>
      <c r="L76" s="251"/>
      <c r="M76" s="251"/>
      <c r="N76" s="251"/>
      <c r="O76" s="251"/>
      <c r="P76" s="251"/>
      <c r="Q76" s="251"/>
      <c r="R76" s="251"/>
      <c r="S76" s="251"/>
      <c r="T76" s="251"/>
      <c r="U76" s="103"/>
      <c r="V76" s="322"/>
    </row>
    <row r="77" spans="1:22" ht="18" customHeight="1">
      <c r="A77" s="277"/>
      <c r="B77" s="251"/>
      <c r="C77" s="251"/>
      <c r="D77" s="251"/>
      <c r="E77" s="251"/>
      <c r="F77" s="251"/>
      <c r="G77" s="251"/>
      <c r="H77" s="251"/>
      <c r="I77" s="251"/>
      <c r="J77" s="93"/>
      <c r="K77" s="93"/>
      <c r="L77" s="251"/>
      <c r="M77" s="251"/>
      <c r="N77" s="251"/>
      <c r="O77" s="251"/>
      <c r="P77" s="251"/>
      <c r="Q77" s="251"/>
      <c r="R77" s="251"/>
      <c r="S77" s="251"/>
      <c r="T77" s="251"/>
      <c r="U77" s="103"/>
      <c r="V77" s="322"/>
    </row>
    <row r="78" spans="1:22" ht="18" customHeight="1">
      <c r="A78" s="277"/>
      <c r="B78" s="251"/>
      <c r="C78" s="251"/>
      <c r="D78" s="251"/>
      <c r="E78" s="251"/>
      <c r="F78" s="251"/>
      <c r="G78" s="251"/>
      <c r="H78" s="251"/>
      <c r="I78" s="251"/>
      <c r="J78" s="93"/>
      <c r="K78" s="93"/>
      <c r="L78" s="251"/>
      <c r="M78" s="251"/>
      <c r="N78" s="251"/>
      <c r="O78" s="251"/>
      <c r="P78" s="251"/>
      <c r="Q78" s="251"/>
      <c r="R78" s="251"/>
      <c r="S78" s="251"/>
      <c r="T78" s="251"/>
      <c r="U78" s="103"/>
      <c r="V78" s="322"/>
    </row>
    <row r="79" spans="1:22" ht="18" customHeight="1">
      <c r="A79" s="277"/>
      <c r="B79" s="251"/>
      <c r="C79" s="251"/>
      <c r="D79" s="251"/>
      <c r="E79" s="251"/>
      <c r="F79" s="251"/>
      <c r="G79" s="251"/>
      <c r="H79" s="251"/>
      <c r="I79" s="251"/>
      <c r="J79" s="93"/>
      <c r="K79" s="93"/>
      <c r="L79" s="251"/>
      <c r="M79" s="251"/>
      <c r="N79" s="251"/>
      <c r="O79" s="251"/>
      <c r="P79" s="251"/>
      <c r="Q79" s="251"/>
      <c r="R79" s="251"/>
      <c r="S79" s="251"/>
      <c r="T79" s="251"/>
      <c r="U79" s="103"/>
      <c r="V79" s="322"/>
    </row>
    <row r="80" spans="1:22" ht="18" customHeight="1">
      <c r="A80" s="277"/>
      <c r="B80" s="251"/>
      <c r="C80" s="251"/>
      <c r="D80" s="251"/>
      <c r="E80" s="251"/>
      <c r="F80" s="251"/>
      <c r="G80" s="251"/>
      <c r="H80" s="251"/>
      <c r="I80" s="251"/>
      <c r="J80" s="93"/>
      <c r="K80" s="93"/>
      <c r="L80" s="251"/>
      <c r="M80" s="251"/>
      <c r="N80" s="251"/>
      <c r="O80" s="251"/>
      <c r="P80" s="251"/>
      <c r="Q80" s="251"/>
      <c r="R80" s="251"/>
      <c r="S80" s="251"/>
      <c r="T80" s="251"/>
      <c r="U80" s="103"/>
      <c r="V80" s="322"/>
    </row>
    <row r="81" spans="1:22" ht="18" customHeight="1">
      <c r="A81" s="277"/>
      <c r="B81" s="251"/>
      <c r="C81" s="251"/>
      <c r="D81" s="251"/>
      <c r="E81" s="251"/>
      <c r="F81" s="251"/>
      <c r="G81" s="251"/>
      <c r="H81" s="251"/>
      <c r="I81" s="251"/>
      <c r="J81" s="93"/>
      <c r="K81" s="93"/>
      <c r="L81" s="251"/>
      <c r="M81" s="251"/>
      <c r="N81" s="251"/>
      <c r="O81" s="251"/>
      <c r="P81" s="251"/>
      <c r="Q81" s="251"/>
      <c r="R81" s="251"/>
      <c r="S81" s="251"/>
      <c r="T81" s="251"/>
      <c r="U81" s="103"/>
      <c r="V81" s="322"/>
    </row>
    <row r="82" spans="1:22" ht="18" customHeight="1">
      <c r="A82" s="277"/>
      <c r="B82" s="251"/>
      <c r="C82" s="251"/>
      <c r="D82" s="251"/>
      <c r="E82" s="251"/>
      <c r="F82" s="251"/>
      <c r="G82" s="251"/>
      <c r="H82" s="251"/>
      <c r="I82" s="251"/>
      <c r="J82" s="93"/>
      <c r="K82" s="93"/>
      <c r="L82" s="251"/>
      <c r="M82" s="251"/>
      <c r="N82" s="251"/>
      <c r="O82" s="251"/>
      <c r="P82" s="251"/>
      <c r="Q82" s="251"/>
      <c r="R82" s="251"/>
      <c r="S82" s="251"/>
      <c r="T82" s="251"/>
      <c r="U82" s="103"/>
      <c r="V82" s="322"/>
    </row>
    <row r="83" spans="1:22" ht="18" customHeight="1">
      <c r="A83" s="277"/>
      <c r="B83" s="251"/>
      <c r="C83" s="251"/>
      <c r="D83" s="251"/>
      <c r="E83" s="251"/>
      <c r="F83" s="251"/>
      <c r="G83" s="251"/>
      <c r="H83" s="251"/>
      <c r="I83" s="251"/>
      <c r="J83" s="93"/>
      <c r="K83" s="93"/>
      <c r="L83" s="251"/>
      <c r="M83" s="251"/>
      <c r="N83" s="251"/>
      <c r="O83" s="251"/>
      <c r="P83" s="251"/>
      <c r="Q83" s="251"/>
      <c r="R83" s="251"/>
      <c r="S83" s="251"/>
      <c r="T83" s="251"/>
      <c r="U83" s="103"/>
      <c r="V83" s="322"/>
    </row>
    <row r="84" spans="1:22" ht="18" customHeight="1">
      <c r="A84" s="277"/>
      <c r="B84" s="251"/>
      <c r="C84" s="251"/>
      <c r="D84" s="251"/>
      <c r="E84" s="251"/>
      <c r="F84" s="251"/>
      <c r="G84" s="251"/>
      <c r="H84" s="251"/>
      <c r="I84" s="251"/>
      <c r="J84" s="93"/>
      <c r="K84" s="93"/>
      <c r="L84" s="251"/>
      <c r="M84" s="251"/>
      <c r="N84" s="251"/>
      <c r="O84" s="251"/>
      <c r="P84" s="251"/>
      <c r="Q84" s="251"/>
      <c r="R84" s="251"/>
      <c r="S84" s="251"/>
      <c r="T84" s="251"/>
      <c r="U84" s="103"/>
      <c r="V84" s="322"/>
    </row>
    <row r="85" spans="1:22" ht="18" customHeight="1">
      <c r="A85" s="277"/>
      <c r="B85" s="251"/>
      <c r="C85" s="251"/>
      <c r="D85" s="251"/>
      <c r="E85" s="251"/>
      <c r="F85" s="251"/>
      <c r="G85" s="251"/>
      <c r="H85" s="251"/>
      <c r="I85" s="251"/>
      <c r="J85" s="93"/>
      <c r="K85" s="93"/>
      <c r="L85" s="251"/>
      <c r="M85" s="251"/>
      <c r="N85" s="251"/>
      <c r="O85" s="251"/>
      <c r="P85" s="251"/>
      <c r="Q85" s="251"/>
      <c r="R85" s="251"/>
      <c r="S85" s="251"/>
      <c r="T85" s="251"/>
      <c r="U85" s="103"/>
      <c r="V85" s="322"/>
    </row>
    <row r="86" spans="1:22" ht="18" customHeight="1">
      <c r="A86" s="277"/>
      <c r="B86" s="251"/>
      <c r="C86" s="251"/>
      <c r="D86" s="251"/>
      <c r="E86" s="251"/>
      <c r="F86" s="251"/>
      <c r="G86" s="251"/>
      <c r="H86" s="251"/>
      <c r="I86" s="251"/>
      <c r="J86" s="93"/>
      <c r="K86" s="93"/>
      <c r="L86" s="251"/>
      <c r="M86" s="251"/>
      <c r="N86" s="251"/>
      <c r="O86" s="251"/>
      <c r="P86" s="251"/>
      <c r="Q86" s="251"/>
      <c r="R86" s="251"/>
      <c r="S86" s="251"/>
      <c r="T86" s="251"/>
      <c r="U86" s="103"/>
      <c r="V86" s="322"/>
    </row>
    <row r="87" spans="1:22" ht="18" customHeight="1">
      <c r="A87" s="277"/>
      <c r="B87" s="251"/>
      <c r="C87" s="251"/>
      <c r="D87" s="251"/>
      <c r="E87" s="251"/>
      <c r="F87" s="251"/>
      <c r="G87" s="251"/>
      <c r="H87" s="251"/>
      <c r="I87" s="251"/>
      <c r="J87" s="93"/>
      <c r="K87" s="93"/>
      <c r="L87" s="251"/>
      <c r="M87" s="251"/>
      <c r="N87" s="251"/>
      <c r="O87" s="251"/>
      <c r="P87" s="251"/>
      <c r="Q87" s="251"/>
      <c r="R87" s="251"/>
      <c r="S87" s="251"/>
      <c r="T87" s="251"/>
      <c r="U87" s="103"/>
      <c r="V87" s="322"/>
    </row>
    <row r="88" spans="1:22" ht="18" customHeight="1">
      <c r="A88" s="196"/>
      <c r="V88" s="197"/>
    </row>
    <row r="89" spans="1:22" s="14" customFormat="1" ht="18" customHeight="1">
      <c r="A89" s="206"/>
      <c r="B89" s="207"/>
      <c r="C89" s="207"/>
      <c r="D89" s="207"/>
      <c r="E89" s="207"/>
      <c r="F89" s="207"/>
      <c r="G89" s="207"/>
      <c r="H89" s="207"/>
      <c r="I89" s="207"/>
      <c r="J89" s="207"/>
      <c r="K89" s="207"/>
      <c r="L89" s="207"/>
      <c r="M89" s="207"/>
      <c r="N89" s="207"/>
      <c r="O89" s="207"/>
      <c r="P89" s="207"/>
      <c r="Q89" s="236"/>
      <c r="R89" s="194"/>
      <c r="S89" s="237"/>
      <c r="T89" s="207"/>
      <c r="U89" s="207"/>
      <c r="V89" s="140"/>
    </row>
  </sheetData>
  <mergeCells count="88">
    <mergeCell ref="H3:N4"/>
    <mergeCell ref="O3:Q3"/>
    <mergeCell ref="R3:V3"/>
    <mergeCell ref="T10:U10"/>
    <mergeCell ref="H11:I11"/>
    <mergeCell ref="T11:U11"/>
    <mergeCell ref="T7:U7"/>
    <mergeCell ref="T8:U8"/>
    <mergeCell ref="H9:I9"/>
    <mergeCell ref="J9:K9"/>
    <mergeCell ref="L9:M9"/>
    <mergeCell ref="T9:U9"/>
    <mergeCell ref="B7:C7"/>
    <mergeCell ref="D7:E7"/>
    <mergeCell ref="O4:Q4"/>
    <mergeCell ref="R4:V4"/>
    <mergeCell ref="A5:B5"/>
    <mergeCell ref="D5:F5"/>
    <mergeCell ref="H5:N5"/>
    <mergeCell ref="O5:Q5"/>
    <mergeCell ref="R5:V5"/>
    <mergeCell ref="A1:G4"/>
    <mergeCell ref="H1:N1"/>
    <mergeCell ref="O1:Q1"/>
    <mergeCell ref="R1:V1"/>
    <mergeCell ref="H2:N2"/>
    <mergeCell ref="O2:Q2"/>
    <mergeCell ref="R2:V2"/>
    <mergeCell ref="J20:K20"/>
    <mergeCell ref="H10:I10"/>
    <mergeCell ref="J10:K10"/>
    <mergeCell ref="L10:M10"/>
    <mergeCell ref="H7:M7"/>
    <mergeCell ref="H12:I12"/>
    <mergeCell ref="H13:I13"/>
    <mergeCell ref="H14:I14"/>
    <mergeCell ref="J18:K18"/>
    <mergeCell ref="J19:K19"/>
    <mergeCell ref="P26:Q26"/>
    <mergeCell ref="P27:Q27"/>
    <mergeCell ref="P28:Q28"/>
    <mergeCell ref="P29:Q29"/>
    <mergeCell ref="P30:Q30"/>
    <mergeCell ref="J21:K21"/>
    <mergeCell ref="J22:K22"/>
    <mergeCell ref="P22:Q22"/>
    <mergeCell ref="J23:K23"/>
    <mergeCell ref="P25:Q25"/>
    <mergeCell ref="S32:T32"/>
    <mergeCell ref="M51:N54"/>
    <mergeCell ref="J36:K36"/>
    <mergeCell ref="J39:K39"/>
    <mergeCell ref="G43:H43"/>
    <mergeCell ref="J43:K43"/>
    <mergeCell ref="G46:H46"/>
    <mergeCell ref="J46:K46"/>
    <mergeCell ref="O51:P54"/>
    <mergeCell ref="Q51:R54"/>
    <mergeCell ref="S51:V54"/>
    <mergeCell ref="J35:K35"/>
    <mergeCell ref="M35:N35"/>
    <mergeCell ref="A51:C54"/>
    <mergeCell ref="D51:F54"/>
    <mergeCell ref="G51:H54"/>
    <mergeCell ref="I51:J54"/>
    <mergeCell ref="K51:L54"/>
    <mergeCell ref="S57:V57"/>
    <mergeCell ref="I55:J57"/>
    <mergeCell ref="K55:L55"/>
    <mergeCell ref="M55:N55"/>
    <mergeCell ref="O55:P55"/>
    <mergeCell ref="Q55:R57"/>
    <mergeCell ref="S55:V55"/>
    <mergeCell ref="S56:V56"/>
    <mergeCell ref="A55:A57"/>
    <mergeCell ref="B55:C57"/>
    <mergeCell ref="D55:E55"/>
    <mergeCell ref="F55:F57"/>
    <mergeCell ref="G55:G57"/>
    <mergeCell ref="H55:H57"/>
    <mergeCell ref="D56:E56"/>
    <mergeCell ref="K56:L56"/>
    <mergeCell ref="M56:N56"/>
    <mergeCell ref="O56:P56"/>
    <mergeCell ref="D57:E57"/>
    <mergeCell ref="K57:L57"/>
    <mergeCell ref="M57:N57"/>
    <mergeCell ref="O57:P57"/>
  </mergeCells>
  <conditionalFormatting sqref="I47:J49">
    <cfRule type="cellIs" dxfId="31" priority="2" stopIfTrue="1" operator="equal">
      <formula>"Not suitable"</formula>
    </cfRule>
  </conditionalFormatting>
  <conditionalFormatting sqref="S43 S46">
    <cfRule type="cellIs" dxfId="30" priority="1" stopIfTrue="1" operator="equal">
      <formula>"Not satisfied"</formula>
    </cfRule>
  </conditionalFormatting>
  <dataValidations count="3">
    <dataValidation type="list" allowBlank="1" showInputMessage="1" showErrorMessage="1" sqref="WVL982954:WVM982955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450:E65451 IZ65450:JA65451 SV65450:SW65451 ACR65450:ACS65451 AMN65450:AMO65451 AWJ65450:AWK65451 BGF65450:BGG65451 BQB65450:BQC65451 BZX65450:BZY65451 CJT65450:CJU65451 CTP65450:CTQ65451 DDL65450:DDM65451 DNH65450:DNI65451 DXD65450:DXE65451 EGZ65450:EHA65451 EQV65450:EQW65451 FAR65450:FAS65451 FKN65450:FKO65451 FUJ65450:FUK65451 GEF65450:GEG65451 GOB65450:GOC65451 GXX65450:GXY65451 HHT65450:HHU65451 HRP65450:HRQ65451 IBL65450:IBM65451 ILH65450:ILI65451 IVD65450:IVE65451 JEZ65450:JFA65451 JOV65450:JOW65451 JYR65450:JYS65451 KIN65450:KIO65451 KSJ65450:KSK65451 LCF65450:LCG65451 LMB65450:LMC65451 LVX65450:LVY65451 MFT65450:MFU65451 MPP65450:MPQ65451 MZL65450:MZM65451 NJH65450:NJI65451 NTD65450:NTE65451 OCZ65450:ODA65451 OMV65450:OMW65451 OWR65450:OWS65451 PGN65450:PGO65451 PQJ65450:PQK65451 QAF65450:QAG65451 QKB65450:QKC65451 QTX65450:QTY65451 RDT65450:RDU65451 RNP65450:RNQ65451 RXL65450:RXM65451 SHH65450:SHI65451 SRD65450:SRE65451 TAZ65450:TBA65451 TKV65450:TKW65451 TUR65450:TUS65451 UEN65450:UEO65451 UOJ65450:UOK65451 UYF65450:UYG65451 VIB65450:VIC65451 VRX65450:VRY65451 WBT65450:WBU65451 WLP65450:WLQ65451 WVL65450:WVM65451 D130986:E130987 IZ130986:JA130987 SV130986:SW130987 ACR130986:ACS130987 AMN130986:AMO130987 AWJ130986:AWK130987 BGF130986:BGG130987 BQB130986:BQC130987 BZX130986:BZY130987 CJT130986:CJU130987 CTP130986:CTQ130987 DDL130986:DDM130987 DNH130986:DNI130987 DXD130986:DXE130987 EGZ130986:EHA130987 EQV130986:EQW130987 FAR130986:FAS130987 FKN130986:FKO130987 FUJ130986:FUK130987 GEF130986:GEG130987 GOB130986:GOC130987 GXX130986:GXY130987 HHT130986:HHU130987 HRP130986:HRQ130987 IBL130986:IBM130987 ILH130986:ILI130987 IVD130986:IVE130987 JEZ130986:JFA130987 JOV130986:JOW130987 JYR130986:JYS130987 KIN130986:KIO130987 KSJ130986:KSK130987 LCF130986:LCG130987 LMB130986:LMC130987 LVX130986:LVY130987 MFT130986:MFU130987 MPP130986:MPQ130987 MZL130986:MZM130987 NJH130986:NJI130987 NTD130986:NTE130987 OCZ130986:ODA130987 OMV130986:OMW130987 OWR130986:OWS130987 PGN130986:PGO130987 PQJ130986:PQK130987 QAF130986:QAG130987 QKB130986:QKC130987 QTX130986:QTY130987 RDT130986:RDU130987 RNP130986:RNQ130987 RXL130986:RXM130987 SHH130986:SHI130987 SRD130986:SRE130987 TAZ130986:TBA130987 TKV130986:TKW130987 TUR130986:TUS130987 UEN130986:UEO130987 UOJ130986:UOK130987 UYF130986:UYG130987 VIB130986:VIC130987 VRX130986:VRY130987 WBT130986:WBU130987 WLP130986:WLQ130987 WVL130986:WVM130987 D196522:E196523 IZ196522:JA196523 SV196522:SW196523 ACR196522:ACS196523 AMN196522:AMO196523 AWJ196522:AWK196523 BGF196522:BGG196523 BQB196522:BQC196523 BZX196522:BZY196523 CJT196522:CJU196523 CTP196522:CTQ196523 DDL196522:DDM196523 DNH196522:DNI196523 DXD196522:DXE196523 EGZ196522:EHA196523 EQV196522:EQW196523 FAR196522:FAS196523 FKN196522:FKO196523 FUJ196522:FUK196523 GEF196522:GEG196523 GOB196522:GOC196523 GXX196522:GXY196523 HHT196522:HHU196523 HRP196522:HRQ196523 IBL196522:IBM196523 ILH196522:ILI196523 IVD196522:IVE196523 JEZ196522:JFA196523 JOV196522:JOW196523 JYR196522:JYS196523 KIN196522:KIO196523 KSJ196522:KSK196523 LCF196522:LCG196523 LMB196522:LMC196523 LVX196522:LVY196523 MFT196522:MFU196523 MPP196522:MPQ196523 MZL196522:MZM196523 NJH196522:NJI196523 NTD196522:NTE196523 OCZ196522:ODA196523 OMV196522:OMW196523 OWR196522:OWS196523 PGN196522:PGO196523 PQJ196522:PQK196523 QAF196522:QAG196523 QKB196522:QKC196523 QTX196522:QTY196523 RDT196522:RDU196523 RNP196522:RNQ196523 RXL196522:RXM196523 SHH196522:SHI196523 SRD196522:SRE196523 TAZ196522:TBA196523 TKV196522:TKW196523 TUR196522:TUS196523 UEN196522:UEO196523 UOJ196522:UOK196523 UYF196522:UYG196523 VIB196522:VIC196523 VRX196522:VRY196523 WBT196522:WBU196523 WLP196522:WLQ196523 WVL196522:WVM196523 D262058:E262059 IZ262058:JA262059 SV262058:SW262059 ACR262058:ACS262059 AMN262058:AMO262059 AWJ262058:AWK262059 BGF262058:BGG262059 BQB262058:BQC262059 BZX262058:BZY262059 CJT262058:CJU262059 CTP262058:CTQ262059 DDL262058:DDM262059 DNH262058:DNI262059 DXD262058:DXE262059 EGZ262058:EHA262059 EQV262058:EQW262059 FAR262058:FAS262059 FKN262058:FKO262059 FUJ262058:FUK262059 GEF262058:GEG262059 GOB262058:GOC262059 GXX262058:GXY262059 HHT262058:HHU262059 HRP262058:HRQ262059 IBL262058:IBM262059 ILH262058:ILI262059 IVD262058:IVE262059 JEZ262058:JFA262059 JOV262058:JOW262059 JYR262058:JYS262059 KIN262058:KIO262059 KSJ262058:KSK262059 LCF262058:LCG262059 LMB262058:LMC262059 LVX262058:LVY262059 MFT262058:MFU262059 MPP262058:MPQ262059 MZL262058:MZM262059 NJH262058:NJI262059 NTD262058:NTE262059 OCZ262058:ODA262059 OMV262058:OMW262059 OWR262058:OWS262059 PGN262058:PGO262059 PQJ262058:PQK262059 QAF262058:QAG262059 QKB262058:QKC262059 QTX262058:QTY262059 RDT262058:RDU262059 RNP262058:RNQ262059 RXL262058:RXM262059 SHH262058:SHI262059 SRD262058:SRE262059 TAZ262058:TBA262059 TKV262058:TKW262059 TUR262058:TUS262059 UEN262058:UEO262059 UOJ262058:UOK262059 UYF262058:UYG262059 VIB262058:VIC262059 VRX262058:VRY262059 WBT262058:WBU262059 WLP262058:WLQ262059 WVL262058:WVM262059 D327594:E327595 IZ327594:JA327595 SV327594:SW327595 ACR327594:ACS327595 AMN327594:AMO327595 AWJ327594:AWK327595 BGF327594:BGG327595 BQB327594:BQC327595 BZX327594:BZY327595 CJT327594:CJU327595 CTP327594:CTQ327595 DDL327594:DDM327595 DNH327594:DNI327595 DXD327594:DXE327595 EGZ327594:EHA327595 EQV327594:EQW327595 FAR327594:FAS327595 FKN327594:FKO327595 FUJ327594:FUK327595 GEF327594:GEG327595 GOB327594:GOC327595 GXX327594:GXY327595 HHT327594:HHU327595 HRP327594:HRQ327595 IBL327594:IBM327595 ILH327594:ILI327595 IVD327594:IVE327595 JEZ327594:JFA327595 JOV327594:JOW327595 JYR327594:JYS327595 KIN327594:KIO327595 KSJ327594:KSK327595 LCF327594:LCG327595 LMB327594:LMC327595 LVX327594:LVY327595 MFT327594:MFU327595 MPP327594:MPQ327595 MZL327594:MZM327595 NJH327594:NJI327595 NTD327594:NTE327595 OCZ327594:ODA327595 OMV327594:OMW327595 OWR327594:OWS327595 PGN327594:PGO327595 PQJ327594:PQK327595 QAF327594:QAG327595 QKB327594:QKC327595 QTX327594:QTY327595 RDT327594:RDU327595 RNP327594:RNQ327595 RXL327594:RXM327595 SHH327594:SHI327595 SRD327594:SRE327595 TAZ327594:TBA327595 TKV327594:TKW327595 TUR327594:TUS327595 UEN327594:UEO327595 UOJ327594:UOK327595 UYF327594:UYG327595 VIB327594:VIC327595 VRX327594:VRY327595 WBT327594:WBU327595 WLP327594:WLQ327595 WVL327594:WVM327595 D393130:E393131 IZ393130:JA393131 SV393130:SW393131 ACR393130:ACS393131 AMN393130:AMO393131 AWJ393130:AWK393131 BGF393130:BGG393131 BQB393130:BQC393131 BZX393130:BZY393131 CJT393130:CJU393131 CTP393130:CTQ393131 DDL393130:DDM393131 DNH393130:DNI393131 DXD393130:DXE393131 EGZ393130:EHA393131 EQV393130:EQW393131 FAR393130:FAS393131 FKN393130:FKO393131 FUJ393130:FUK393131 GEF393130:GEG393131 GOB393130:GOC393131 GXX393130:GXY393131 HHT393130:HHU393131 HRP393130:HRQ393131 IBL393130:IBM393131 ILH393130:ILI393131 IVD393130:IVE393131 JEZ393130:JFA393131 JOV393130:JOW393131 JYR393130:JYS393131 KIN393130:KIO393131 KSJ393130:KSK393131 LCF393130:LCG393131 LMB393130:LMC393131 LVX393130:LVY393131 MFT393130:MFU393131 MPP393130:MPQ393131 MZL393130:MZM393131 NJH393130:NJI393131 NTD393130:NTE393131 OCZ393130:ODA393131 OMV393130:OMW393131 OWR393130:OWS393131 PGN393130:PGO393131 PQJ393130:PQK393131 QAF393130:QAG393131 QKB393130:QKC393131 QTX393130:QTY393131 RDT393130:RDU393131 RNP393130:RNQ393131 RXL393130:RXM393131 SHH393130:SHI393131 SRD393130:SRE393131 TAZ393130:TBA393131 TKV393130:TKW393131 TUR393130:TUS393131 UEN393130:UEO393131 UOJ393130:UOK393131 UYF393130:UYG393131 VIB393130:VIC393131 VRX393130:VRY393131 WBT393130:WBU393131 WLP393130:WLQ393131 WVL393130:WVM393131 D458666:E458667 IZ458666:JA458667 SV458666:SW458667 ACR458666:ACS458667 AMN458666:AMO458667 AWJ458666:AWK458667 BGF458666:BGG458667 BQB458666:BQC458667 BZX458666:BZY458667 CJT458666:CJU458667 CTP458666:CTQ458667 DDL458666:DDM458667 DNH458666:DNI458667 DXD458666:DXE458667 EGZ458666:EHA458667 EQV458666:EQW458667 FAR458666:FAS458667 FKN458666:FKO458667 FUJ458666:FUK458667 GEF458666:GEG458667 GOB458666:GOC458667 GXX458666:GXY458667 HHT458666:HHU458667 HRP458666:HRQ458667 IBL458666:IBM458667 ILH458666:ILI458667 IVD458666:IVE458667 JEZ458666:JFA458667 JOV458666:JOW458667 JYR458666:JYS458667 KIN458666:KIO458667 KSJ458666:KSK458667 LCF458666:LCG458667 LMB458666:LMC458667 LVX458666:LVY458667 MFT458666:MFU458667 MPP458666:MPQ458667 MZL458666:MZM458667 NJH458666:NJI458667 NTD458666:NTE458667 OCZ458666:ODA458667 OMV458666:OMW458667 OWR458666:OWS458667 PGN458666:PGO458667 PQJ458666:PQK458667 QAF458666:QAG458667 QKB458666:QKC458667 QTX458666:QTY458667 RDT458666:RDU458667 RNP458666:RNQ458667 RXL458666:RXM458667 SHH458666:SHI458667 SRD458666:SRE458667 TAZ458666:TBA458667 TKV458666:TKW458667 TUR458666:TUS458667 UEN458666:UEO458667 UOJ458666:UOK458667 UYF458666:UYG458667 VIB458666:VIC458667 VRX458666:VRY458667 WBT458666:WBU458667 WLP458666:WLQ458667 WVL458666:WVM458667 D524202:E524203 IZ524202:JA524203 SV524202:SW524203 ACR524202:ACS524203 AMN524202:AMO524203 AWJ524202:AWK524203 BGF524202:BGG524203 BQB524202:BQC524203 BZX524202:BZY524203 CJT524202:CJU524203 CTP524202:CTQ524203 DDL524202:DDM524203 DNH524202:DNI524203 DXD524202:DXE524203 EGZ524202:EHA524203 EQV524202:EQW524203 FAR524202:FAS524203 FKN524202:FKO524203 FUJ524202:FUK524203 GEF524202:GEG524203 GOB524202:GOC524203 GXX524202:GXY524203 HHT524202:HHU524203 HRP524202:HRQ524203 IBL524202:IBM524203 ILH524202:ILI524203 IVD524202:IVE524203 JEZ524202:JFA524203 JOV524202:JOW524203 JYR524202:JYS524203 KIN524202:KIO524203 KSJ524202:KSK524203 LCF524202:LCG524203 LMB524202:LMC524203 LVX524202:LVY524203 MFT524202:MFU524203 MPP524202:MPQ524203 MZL524202:MZM524203 NJH524202:NJI524203 NTD524202:NTE524203 OCZ524202:ODA524203 OMV524202:OMW524203 OWR524202:OWS524203 PGN524202:PGO524203 PQJ524202:PQK524203 QAF524202:QAG524203 QKB524202:QKC524203 QTX524202:QTY524203 RDT524202:RDU524203 RNP524202:RNQ524203 RXL524202:RXM524203 SHH524202:SHI524203 SRD524202:SRE524203 TAZ524202:TBA524203 TKV524202:TKW524203 TUR524202:TUS524203 UEN524202:UEO524203 UOJ524202:UOK524203 UYF524202:UYG524203 VIB524202:VIC524203 VRX524202:VRY524203 WBT524202:WBU524203 WLP524202:WLQ524203 WVL524202:WVM524203 D589738:E589739 IZ589738:JA589739 SV589738:SW589739 ACR589738:ACS589739 AMN589738:AMO589739 AWJ589738:AWK589739 BGF589738:BGG589739 BQB589738:BQC589739 BZX589738:BZY589739 CJT589738:CJU589739 CTP589738:CTQ589739 DDL589738:DDM589739 DNH589738:DNI589739 DXD589738:DXE589739 EGZ589738:EHA589739 EQV589738:EQW589739 FAR589738:FAS589739 FKN589738:FKO589739 FUJ589738:FUK589739 GEF589738:GEG589739 GOB589738:GOC589739 GXX589738:GXY589739 HHT589738:HHU589739 HRP589738:HRQ589739 IBL589738:IBM589739 ILH589738:ILI589739 IVD589738:IVE589739 JEZ589738:JFA589739 JOV589738:JOW589739 JYR589738:JYS589739 KIN589738:KIO589739 KSJ589738:KSK589739 LCF589738:LCG589739 LMB589738:LMC589739 LVX589738:LVY589739 MFT589738:MFU589739 MPP589738:MPQ589739 MZL589738:MZM589739 NJH589738:NJI589739 NTD589738:NTE589739 OCZ589738:ODA589739 OMV589738:OMW589739 OWR589738:OWS589739 PGN589738:PGO589739 PQJ589738:PQK589739 QAF589738:QAG589739 QKB589738:QKC589739 QTX589738:QTY589739 RDT589738:RDU589739 RNP589738:RNQ589739 RXL589738:RXM589739 SHH589738:SHI589739 SRD589738:SRE589739 TAZ589738:TBA589739 TKV589738:TKW589739 TUR589738:TUS589739 UEN589738:UEO589739 UOJ589738:UOK589739 UYF589738:UYG589739 VIB589738:VIC589739 VRX589738:VRY589739 WBT589738:WBU589739 WLP589738:WLQ589739 WVL589738:WVM589739 D655274:E655275 IZ655274:JA655275 SV655274:SW655275 ACR655274:ACS655275 AMN655274:AMO655275 AWJ655274:AWK655275 BGF655274:BGG655275 BQB655274:BQC655275 BZX655274:BZY655275 CJT655274:CJU655275 CTP655274:CTQ655275 DDL655274:DDM655275 DNH655274:DNI655275 DXD655274:DXE655275 EGZ655274:EHA655275 EQV655274:EQW655275 FAR655274:FAS655275 FKN655274:FKO655275 FUJ655274:FUK655275 GEF655274:GEG655275 GOB655274:GOC655275 GXX655274:GXY655275 HHT655274:HHU655275 HRP655274:HRQ655275 IBL655274:IBM655275 ILH655274:ILI655275 IVD655274:IVE655275 JEZ655274:JFA655275 JOV655274:JOW655275 JYR655274:JYS655275 KIN655274:KIO655275 KSJ655274:KSK655275 LCF655274:LCG655275 LMB655274:LMC655275 LVX655274:LVY655275 MFT655274:MFU655275 MPP655274:MPQ655275 MZL655274:MZM655275 NJH655274:NJI655275 NTD655274:NTE655275 OCZ655274:ODA655275 OMV655274:OMW655275 OWR655274:OWS655275 PGN655274:PGO655275 PQJ655274:PQK655275 QAF655274:QAG655275 QKB655274:QKC655275 QTX655274:QTY655275 RDT655274:RDU655275 RNP655274:RNQ655275 RXL655274:RXM655275 SHH655274:SHI655275 SRD655274:SRE655275 TAZ655274:TBA655275 TKV655274:TKW655275 TUR655274:TUS655275 UEN655274:UEO655275 UOJ655274:UOK655275 UYF655274:UYG655275 VIB655274:VIC655275 VRX655274:VRY655275 WBT655274:WBU655275 WLP655274:WLQ655275 WVL655274:WVM655275 D720810:E720811 IZ720810:JA720811 SV720810:SW720811 ACR720810:ACS720811 AMN720810:AMO720811 AWJ720810:AWK720811 BGF720810:BGG720811 BQB720810:BQC720811 BZX720810:BZY720811 CJT720810:CJU720811 CTP720810:CTQ720811 DDL720810:DDM720811 DNH720810:DNI720811 DXD720810:DXE720811 EGZ720810:EHA720811 EQV720810:EQW720811 FAR720810:FAS720811 FKN720810:FKO720811 FUJ720810:FUK720811 GEF720810:GEG720811 GOB720810:GOC720811 GXX720810:GXY720811 HHT720810:HHU720811 HRP720810:HRQ720811 IBL720810:IBM720811 ILH720810:ILI720811 IVD720810:IVE720811 JEZ720810:JFA720811 JOV720810:JOW720811 JYR720810:JYS720811 KIN720810:KIO720811 KSJ720810:KSK720811 LCF720810:LCG720811 LMB720810:LMC720811 LVX720810:LVY720811 MFT720810:MFU720811 MPP720810:MPQ720811 MZL720810:MZM720811 NJH720810:NJI720811 NTD720810:NTE720811 OCZ720810:ODA720811 OMV720810:OMW720811 OWR720810:OWS720811 PGN720810:PGO720811 PQJ720810:PQK720811 QAF720810:QAG720811 QKB720810:QKC720811 QTX720810:QTY720811 RDT720810:RDU720811 RNP720810:RNQ720811 RXL720810:RXM720811 SHH720810:SHI720811 SRD720810:SRE720811 TAZ720810:TBA720811 TKV720810:TKW720811 TUR720810:TUS720811 UEN720810:UEO720811 UOJ720810:UOK720811 UYF720810:UYG720811 VIB720810:VIC720811 VRX720810:VRY720811 WBT720810:WBU720811 WLP720810:WLQ720811 WVL720810:WVM720811 D786346:E786347 IZ786346:JA786347 SV786346:SW786347 ACR786346:ACS786347 AMN786346:AMO786347 AWJ786346:AWK786347 BGF786346:BGG786347 BQB786346:BQC786347 BZX786346:BZY786347 CJT786346:CJU786347 CTP786346:CTQ786347 DDL786346:DDM786347 DNH786346:DNI786347 DXD786346:DXE786347 EGZ786346:EHA786347 EQV786346:EQW786347 FAR786346:FAS786347 FKN786346:FKO786347 FUJ786346:FUK786347 GEF786346:GEG786347 GOB786346:GOC786347 GXX786346:GXY786347 HHT786346:HHU786347 HRP786346:HRQ786347 IBL786346:IBM786347 ILH786346:ILI786347 IVD786346:IVE786347 JEZ786346:JFA786347 JOV786346:JOW786347 JYR786346:JYS786347 KIN786346:KIO786347 KSJ786346:KSK786347 LCF786346:LCG786347 LMB786346:LMC786347 LVX786346:LVY786347 MFT786346:MFU786347 MPP786346:MPQ786347 MZL786346:MZM786347 NJH786346:NJI786347 NTD786346:NTE786347 OCZ786346:ODA786347 OMV786346:OMW786347 OWR786346:OWS786347 PGN786346:PGO786347 PQJ786346:PQK786347 QAF786346:QAG786347 QKB786346:QKC786347 QTX786346:QTY786347 RDT786346:RDU786347 RNP786346:RNQ786347 RXL786346:RXM786347 SHH786346:SHI786347 SRD786346:SRE786347 TAZ786346:TBA786347 TKV786346:TKW786347 TUR786346:TUS786347 UEN786346:UEO786347 UOJ786346:UOK786347 UYF786346:UYG786347 VIB786346:VIC786347 VRX786346:VRY786347 WBT786346:WBU786347 WLP786346:WLQ786347 WVL786346:WVM786347 D851882:E851883 IZ851882:JA851883 SV851882:SW851883 ACR851882:ACS851883 AMN851882:AMO851883 AWJ851882:AWK851883 BGF851882:BGG851883 BQB851882:BQC851883 BZX851882:BZY851883 CJT851882:CJU851883 CTP851882:CTQ851883 DDL851882:DDM851883 DNH851882:DNI851883 DXD851882:DXE851883 EGZ851882:EHA851883 EQV851882:EQW851883 FAR851882:FAS851883 FKN851882:FKO851883 FUJ851882:FUK851883 GEF851882:GEG851883 GOB851882:GOC851883 GXX851882:GXY851883 HHT851882:HHU851883 HRP851882:HRQ851883 IBL851882:IBM851883 ILH851882:ILI851883 IVD851882:IVE851883 JEZ851882:JFA851883 JOV851882:JOW851883 JYR851882:JYS851883 KIN851882:KIO851883 KSJ851882:KSK851883 LCF851882:LCG851883 LMB851882:LMC851883 LVX851882:LVY851883 MFT851882:MFU851883 MPP851882:MPQ851883 MZL851882:MZM851883 NJH851882:NJI851883 NTD851882:NTE851883 OCZ851882:ODA851883 OMV851882:OMW851883 OWR851882:OWS851883 PGN851882:PGO851883 PQJ851882:PQK851883 QAF851882:QAG851883 QKB851882:QKC851883 QTX851882:QTY851883 RDT851882:RDU851883 RNP851882:RNQ851883 RXL851882:RXM851883 SHH851882:SHI851883 SRD851882:SRE851883 TAZ851882:TBA851883 TKV851882:TKW851883 TUR851882:TUS851883 UEN851882:UEO851883 UOJ851882:UOK851883 UYF851882:UYG851883 VIB851882:VIC851883 VRX851882:VRY851883 WBT851882:WBU851883 WLP851882:WLQ851883 WVL851882:WVM851883 D917418:E917419 IZ917418:JA917419 SV917418:SW917419 ACR917418:ACS917419 AMN917418:AMO917419 AWJ917418:AWK917419 BGF917418:BGG917419 BQB917418:BQC917419 BZX917418:BZY917419 CJT917418:CJU917419 CTP917418:CTQ917419 DDL917418:DDM917419 DNH917418:DNI917419 DXD917418:DXE917419 EGZ917418:EHA917419 EQV917418:EQW917419 FAR917418:FAS917419 FKN917418:FKO917419 FUJ917418:FUK917419 GEF917418:GEG917419 GOB917418:GOC917419 GXX917418:GXY917419 HHT917418:HHU917419 HRP917418:HRQ917419 IBL917418:IBM917419 ILH917418:ILI917419 IVD917418:IVE917419 JEZ917418:JFA917419 JOV917418:JOW917419 JYR917418:JYS917419 KIN917418:KIO917419 KSJ917418:KSK917419 LCF917418:LCG917419 LMB917418:LMC917419 LVX917418:LVY917419 MFT917418:MFU917419 MPP917418:MPQ917419 MZL917418:MZM917419 NJH917418:NJI917419 NTD917418:NTE917419 OCZ917418:ODA917419 OMV917418:OMW917419 OWR917418:OWS917419 PGN917418:PGO917419 PQJ917418:PQK917419 QAF917418:QAG917419 QKB917418:QKC917419 QTX917418:QTY917419 RDT917418:RDU917419 RNP917418:RNQ917419 RXL917418:RXM917419 SHH917418:SHI917419 SRD917418:SRE917419 TAZ917418:TBA917419 TKV917418:TKW917419 TUR917418:TUS917419 UEN917418:UEO917419 UOJ917418:UOK917419 UYF917418:UYG917419 VIB917418:VIC917419 VRX917418:VRY917419 WBT917418:WBU917419 WLP917418:WLQ917419 WVL917418:WVM917419 D982954:E982955 IZ982954:JA982955 SV982954:SW982955 ACR982954:ACS982955 AMN982954:AMO982955 AWJ982954:AWK982955 BGF982954:BGG982955 BQB982954:BQC982955 BZX982954:BZY982955 CJT982954:CJU982955 CTP982954:CTQ982955 DDL982954:DDM982955 DNH982954:DNI982955 DXD982954:DXE982955 EGZ982954:EHA982955 EQV982954:EQW982955 FAR982954:FAS982955 FKN982954:FKO982955 FUJ982954:FUK982955 GEF982954:GEG982955 GOB982954:GOC982955 GXX982954:GXY982955 HHT982954:HHU982955 HRP982954:HRQ982955 IBL982954:IBM982955 ILH982954:ILI982955 IVD982954:IVE982955 JEZ982954:JFA982955 JOV982954:JOW982955 JYR982954:JYS982955 KIN982954:KIO982955 KSJ982954:KSK982955 LCF982954:LCG982955 LMB982954:LMC982955 LVX982954:LVY982955 MFT982954:MFU982955 MPP982954:MPQ982955 MZL982954:MZM982955 NJH982954:NJI982955 NTD982954:NTE982955 OCZ982954:ODA982955 OMV982954:OMW982955 OWR982954:OWS982955 PGN982954:PGO982955 PQJ982954:PQK982955 QAF982954:QAG982955 QKB982954:QKC982955 QTX982954:QTY982955 RDT982954:RDU982955 RNP982954:RNQ982955 RXL982954:RXM982955 SHH982954:SHI982955 SRD982954:SRE982955 TAZ982954:TBA982955 TKV982954:TKW982955 TUR982954:TUS982955 UEN982954:UEO982955 UOJ982954:UOK982955 UYF982954:UYG982955 VIB982954:VIC982955 VRX982954:VRY982955 WBT982954:WBU982955 WLP982954:WLQ982955 D8:E8" xr:uid="{78DCE7AE-763C-42EA-9D58-D7DD1C21925E}">
      <formula1>"Core1,Core2,Core3,Core4,Core5"</formula1>
    </dataValidation>
    <dataValidation type="list" allowBlank="1" showInputMessage="1" showErrorMessage="1" sqref="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65494 IZ65494 SV65494 ACR65494 AMN65494 AWJ65494 BGF65494 BQB65494 BZX65494 CJT65494 CTP65494 DDL65494 DNH65494 DXD65494 EGZ65494 EQV65494 FAR65494 FKN65494 FUJ65494 GEF65494 GOB65494 GXX65494 HHT65494 HRP65494 IBL65494 ILH65494 IVD65494 JEZ65494 JOV65494 JYR65494 KIN65494 KSJ65494 LCF65494 LMB65494 LVX65494 MFT65494 MPP65494 MZL65494 NJH65494 NTD65494 OCZ65494 OMV65494 OWR65494 PGN65494 PQJ65494 QAF65494 QKB65494 QTX65494 RDT65494 RNP65494 RXL65494 SHH65494 SRD65494 TAZ65494 TKV65494 TUR65494 UEN65494 UOJ65494 UYF65494 VIB65494 VRX65494 WBT65494 WLP65494 WVL65494 D131030 IZ131030 SV131030 ACR131030 AMN131030 AWJ131030 BGF131030 BQB131030 BZX131030 CJT131030 CTP131030 DDL131030 DNH131030 DXD131030 EGZ131030 EQV131030 FAR131030 FKN131030 FUJ131030 GEF131030 GOB131030 GXX131030 HHT131030 HRP131030 IBL131030 ILH131030 IVD131030 JEZ131030 JOV131030 JYR131030 KIN131030 KSJ131030 LCF131030 LMB131030 LVX131030 MFT131030 MPP131030 MZL131030 NJH131030 NTD131030 OCZ131030 OMV131030 OWR131030 PGN131030 PQJ131030 QAF131030 QKB131030 QTX131030 RDT131030 RNP131030 RXL131030 SHH131030 SRD131030 TAZ131030 TKV131030 TUR131030 UEN131030 UOJ131030 UYF131030 VIB131030 VRX131030 WBT131030 WLP131030 WVL131030 D196566 IZ196566 SV196566 ACR196566 AMN196566 AWJ196566 BGF196566 BQB196566 BZX196566 CJT196566 CTP196566 DDL196566 DNH196566 DXD196566 EGZ196566 EQV196566 FAR196566 FKN196566 FUJ196566 GEF196566 GOB196566 GXX196566 HHT196566 HRP196566 IBL196566 ILH196566 IVD196566 JEZ196566 JOV196566 JYR196566 KIN196566 KSJ196566 LCF196566 LMB196566 LVX196566 MFT196566 MPP196566 MZL196566 NJH196566 NTD196566 OCZ196566 OMV196566 OWR196566 PGN196566 PQJ196566 QAF196566 QKB196566 QTX196566 RDT196566 RNP196566 RXL196566 SHH196566 SRD196566 TAZ196566 TKV196566 TUR196566 UEN196566 UOJ196566 UYF196566 VIB196566 VRX196566 WBT196566 WLP196566 WVL196566 D262102 IZ262102 SV262102 ACR262102 AMN262102 AWJ262102 BGF262102 BQB262102 BZX262102 CJT262102 CTP262102 DDL262102 DNH262102 DXD262102 EGZ262102 EQV262102 FAR262102 FKN262102 FUJ262102 GEF262102 GOB262102 GXX262102 HHT262102 HRP262102 IBL262102 ILH262102 IVD262102 JEZ262102 JOV262102 JYR262102 KIN262102 KSJ262102 LCF262102 LMB262102 LVX262102 MFT262102 MPP262102 MZL262102 NJH262102 NTD262102 OCZ262102 OMV262102 OWR262102 PGN262102 PQJ262102 QAF262102 QKB262102 QTX262102 RDT262102 RNP262102 RXL262102 SHH262102 SRD262102 TAZ262102 TKV262102 TUR262102 UEN262102 UOJ262102 UYF262102 VIB262102 VRX262102 WBT262102 WLP262102 WVL262102 D327638 IZ327638 SV327638 ACR327638 AMN327638 AWJ327638 BGF327638 BQB327638 BZX327638 CJT327638 CTP327638 DDL327638 DNH327638 DXD327638 EGZ327638 EQV327638 FAR327638 FKN327638 FUJ327638 GEF327638 GOB327638 GXX327638 HHT327638 HRP327638 IBL327638 ILH327638 IVD327638 JEZ327638 JOV327638 JYR327638 KIN327638 KSJ327638 LCF327638 LMB327638 LVX327638 MFT327638 MPP327638 MZL327638 NJH327638 NTD327638 OCZ327638 OMV327638 OWR327638 PGN327638 PQJ327638 QAF327638 QKB327638 QTX327638 RDT327638 RNP327638 RXL327638 SHH327638 SRD327638 TAZ327638 TKV327638 TUR327638 UEN327638 UOJ327638 UYF327638 VIB327638 VRX327638 WBT327638 WLP327638 WVL327638 D393174 IZ393174 SV393174 ACR393174 AMN393174 AWJ393174 BGF393174 BQB393174 BZX393174 CJT393174 CTP393174 DDL393174 DNH393174 DXD393174 EGZ393174 EQV393174 FAR393174 FKN393174 FUJ393174 GEF393174 GOB393174 GXX393174 HHT393174 HRP393174 IBL393174 ILH393174 IVD393174 JEZ393174 JOV393174 JYR393174 KIN393174 KSJ393174 LCF393174 LMB393174 LVX393174 MFT393174 MPP393174 MZL393174 NJH393174 NTD393174 OCZ393174 OMV393174 OWR393174 PGN393174 PQJ393174 QAF393174 QKB393174 QTX393174 RDT393174 RNP393174 RXL393174 SHH393174 SRD393174 TAZ393174 TKV393174 TUR393174 UEN393174 UOJ393174 UYF393174 VIB393174 VRX393174 WBT393174 WLP393174 WVL393174 D458710 IZ458710 SV458710 ACR458710 AMN458710 AWJ458710 BGF458710 BQB458710 BZX458710 CJT458710 CTP458710 DDL458710 DNH458710 DXD458710 EGZ458710 EQV458710 FAR458710 FKN458710 FUJ458710 GEF458710 GOB458710 GXX458710 HHT458710 HRP458710 IBL458710 ILH458710 IVD458710 JEZ458710 JOV458710 JYR458710 KIN458710 KSJ458710 LCF458710 LMB458710 LVX458710 MFT458710 MPP458710 MZL458710 NJH458710 NTD458710 OCZ458710 OMV458710 OWR458710 PGN458710 PQJ458710 QAF458710 QKB458710 QTX458710 RDT458710 RNP458710 RXL458710 SHH458710 SRD458710 TAZ458710 TKV458710 TUR458710 UEN458710 UOJ458710 UYF458710 VIB458710 VRX458710 WBT458710 WLP458710 WVL458710 D524246 IZ524246 SV524246 ACR524246 AMN524246 AWJ524246 BGF524246 BQB524246 BZX524246 CJT524246 CTP524246 DDL524246 DNH524246 DXD524246 EGZ524246 EQV524246 FAR524246 FKN524246 FUJ524246 GEF524246 GOB524246 GXX524246 HHT524246 HRP524246 IBL524246 ILH524246 IVD524246 JEZ524246 JOV524246 JYR524246 KIN524246 KSJ524246 LCF524246 LMB524246 LVX524246 MFT524246 MPP524246 MZL524246 NJH524246 NTD524246 OCZ524246 OMV524246 OWR524246 PGN524246 PQJ524246 QAF524246 QKB524246 QTX524246 RDT524246 RNP524246 RXL524246 SHH524246 SRD524246 TAZ524246 TKV524246 TUR524246 UEN524246 UOJ524246 UYF524246 VIB524246 VRX524246 WBT524246 WLP524246 WVL524246 D589782 IZ589782 SV589782 ACR589782 AMN589782 AWJ589782 BGF589782 BQB589782 BZX589782 CJT589782 CTP589782 DDL589782 DNH589782 DXD589782 EGZ589782 EQV589782 FAR589782 FKN589782 FUJ589782 GEF589782 GOB589782 GXX589782 HHT589782 HRP589782 IBL589782 ILH589782 IVD589782 JEZ589782 JOV589782 JYR589782 KIN589782 KSJ589782 LCF589782 LMB589782 LVX589782 MFT589782 MPP589782 MZL589782 NJH589782 NTD589782 OCZ589782 OMV589782 OWR589782 PGN589782 PQJ589782 QAF589782 QKB589782 QTX589782 RDT589782 RNP589782 RXL589782 SHH589782 SRD589782 TAZ589782 TKV589782 TUR589782 UEN589782 UOJ589782 UYF589782 VIB589782 VRX589782 WBT589782 WLP589782 WVL589782 D655318 IZ655318 SV655318 ACR655318 AMN655318 AWJ655318 BGF655318 BQB655318 BZX655318 CJT655318 CTP655318 DDL655318 DNH655318 DXD655318 EGZ655318 EQV655318 FAR655318 FKN655318 FUJ655318 GEF655318 GOB655318 GXX655318 HHT655318 HRP655318 IBL655318 ILH655318 IVD655318 JEZ655318 JOV655318 JYR655318 KIN655318 KSJ655318 LCF655318 LMB655318 LVX655318 MFT655318 MPP655318 MZL655318 NJH655318 NTD655318 OCZ655318 OMV655318 OWR655318 PGN655318 PQJ655318 QAF655318 QKB655318 QTX655318 RDT655318 RNP655318 RXL655318 SHH655318 SRD655318 TAZ655318 TKV655318 TUR655318 UEN655318 UOJ655318 UYF655318 VIB655318 VRX655318 WBT655318 WLP655318 WVL655318 D720854 IZ720854 SV720854 ACR720854 AMN720854 AWJ720854 BGF720854 BQB720854 BZX720854 CJT720854 CTP720854 DDL720854 DNH720854 DXD720854 EGZ720854 EQV720854 FAR720854 FKN720854 FUJ720854 GEF720854 GOB720854 GXX720854 HHT720854 HRP720854 IBL720854 ILH720854 IVD720854 JEZ720854 JOV720854 JYR720854 KIN720854 KSJ720854 LCF720854 LMB720854 LVX720854 MFT720854 MPP720854 MZL720854 NJH720854 NTD720854 OCZ720854 OMV720854 OWR720854 PGN720854 PQJ720854 QAF720854 QKB720854 QTX720854 RDT720854 RNP720854 RXL720854 SHH720854 SRD720854 TAZ720854 TKV720854 TUR720854 UEN720854 UOJ720854 UYF720854 VIB720854 VRX720854 WBT720854 WLP720854 WVL720854 D786390 IZ786390 SV786390 ACR786390 AMN786390 AWJ786390 BGF786390 BQB786390 BZX786390 CJT786390 CTP786390 DDL786390 DNH786390 DXD786390 EGZ786390 EQV786390 FAR786390 FKN786390 FUJ786390 GEF786390 GOB786390 GXX786390 HHT786390 HRP786390 IBL786390 ILH786390 IVD786390 JEZ786390 JOV786390 JYR786390 KIN786390 KSJ786390 LCF786390 LMB786390 LVX786390 MFT786390 MPP786390 MZL786390 NJH786390 NTD786390 OCZ786390 OMV786390 OWR786390 PGN786390 PQJ786390 QAF786390 QKB786390 QTX786390 RDT786390 RNP786390 RXL786390 SHH786390 SRD786390 TAZ786390 TKV786390 TUR786390 UEN786390 UOJ786390 UYF786390 VIB786390 VRX786390 WBT786390 WLP786390 WVL786390 D851926 IZ851926 SV851926 ACR851926 AMN851926 AWJ851926 BGF851926 BQB851926 BZX851926 CJT851926 CTP851926 DDL851926 DNH851926 DXD851926 EGZ851926 EQV851926 FAR851926 FKN851926 FUJ851926 GEF851926 GOB851926 GXX851926 HHT851926 HRP851926 IBL851926 ILH851926 IVD851926 JEZ851926 JOV851926 JYR851926 KIN851926 KSJ851926 LCF851926 LMB851926 LVX851926 MFT851926 MPP851926 MZL851926 NJH851926 NTD851926 OCZ851926 OMV851926 OWR851926 PGN851926 PQJ851926 QAF851926 QKB851926 QTX851926 RDT851926 RNP851926 RXL851926 SHH851926 SRD851926 TAZ851926 TKV851926 TUR851926 UEN851926 UOJ851926 UYF851926 VIB851926 VRX851926 WBT851926 WLP851926 WVL851926 D917462 IZ917462 SV917462 ACR917462 AMN917462 AWJ917462 BGF917462 BQB917462 BZX917462 CJT917462 CTP917462 DDL917462 DNH917462 DXD917462 EGZ917462 EQV917462 FAR917462 FKN917462 FUJ917462 GEF917462 GOB917462 GXX917462 HHT917462 HRP917462 IBL917462 ILH917462 IVD917462 JEZ917462 JOV917462 JYR917462 KIN917462 KSJ917462 LCF917462 LMB917462 LVX917462 MFT917462 MPP917462 MZL917462 NJH917462 NTD917462 OCZ917462 OMV917462 OWR917462 PGN917462 PQJ917462 QAF917462 QKB917462 QTX917462 RDT917462 RNP917462 RXL917462 SHH917462 SRD917462 TAZ917462 TKV917462 TUR917462 UEN917462 UOJ917462 UYF917462 VIB917462 VRX917462 WBT917462 WLP917462 WVL917462 D982998 IZ982998 SV982998 ACR982998 AMN982998 AWJ982998 BGF982998 BQB982998 BZX982998 CJT982998 CTP982998 DDL982998 DNH982998 DXD982998 EGZ982998 EQV982998 FAR982998 FKN982998 FUJ982998 GEF982998 GOB982998 GXX982998 HHT982998 HRP982998 IBL982998 ILH982998 IVD982998 JEZ982998 JOV982998 JYR982998 KIN982998 KSJ982998 LCF982998 LMB982998 LVX982998 MFT982998 MPP982998 MZL982998 NJH982998 NTD982998 OCZ982998 OMV982998 OWR982998 PGN982998 PQJ982998 QAF982998 QKB982998 QTX982998 RDT982998 RNP982998 RXL982998 SHH982998 SRD982998 TAZ982998 TKV982998 TUR982998 UEN982998 UOJ982998 UYF982998 VIB982998 VRX982998 WBT982998 WLP982998 WVL982998" xr:uid="{11459132-E771-4002-9462-8742929172B6}">
      <formula1>"Core1,Core2,Core3"</formula1>
    </dataValidation>
    <dataValidation type="list" allowBlank="1" showInputMessage="1" showErrorMessage="1" sqref="D7:E7" xr:uid="{F5904629-4EE0-4F41-B2C9-E14BB672AEE2}">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1" manualBreakCount="1">
    <brk id="48" max="21" man="1"/>
  </row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B08CC-391E-4FAA-8B11-BA562E34E7BD}">
  <sheetPr>
    <tabColor rgb="FFFFFF00"/>
  </sheetPr>
  <dimension ref="A1:AE89"/>
  <sheetViews>
    <sheetView showZeros="0" view="pageBreakPreview" topLeftCell="A21" zoomScaleNormal="100" zoomScaleSheetLayoutView="100" workbookViewId="0">
      <selection activeCell="K13" sqref="K13"/>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Title!H2</f>
        <v>ADEQUACY CHECK</v>
      </c>
      <c r="I2" s="730"/>
      <c r="J2" s="730"/>
      <c r="K2" s="730"/>
      <c r="L2" s="730"/>
      <c r="M2" s="730"/>
      <c r="N2" s="731"/>
      <c r="O2" s="702" t="str">
        <f>Title!O2</f>
        <v>Date</v>
      </c>
      <c r="P2" s="703"/>
      <c r="Q2" s="704"/>
      <c r="R2" s="732">
        <f>Title!R2</f>
        <v>46106</v>
      </c>
      <c r="S2" s="733"/>
      <c r="T2" s="733"/>
      <c r="U2" s="733"/>
      <c r="V2" s="734"/>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14"/>
      <c r="X4" s="14"/>
    </row>
    <row r="5" spans="1:24" ht="18" customHeight="1">
      <c r="A5" s="708" t="str">
        <f>Title!A5</f>
        <v>Prep. By</v>
      </c>
      <c r="B5" s="709"/>
      <c r="C5" s="25" t="str">
        <f>Title!C5</f>
        <v>AP</v>
      </c>
      <c r="D5" s="708" t="str">
        <f>Title!D5</f>
        <v>Checked By</v>
      </c>
      <c r="E5" s="710"/>
      <c r="F5" s="709"/>
      <c r="G5" s="25" t="str">
        <f>Title!G5</f>
        <v>RB</v>
      </c>
      <c r="H5" s="711" t="s">
        <v>927</v>
      </c>
      <c r="I5" s="712"/>
      <c r="J5" s="712"/>
      <c r="K5" s="712"/>
      <c r="L5" s="712"/>
      <c r="M5" s="712"/>
      <c r="N5" s="713"/>
      <c r="O5" s="714" t="str">
        <f>Title!O5</f>
        <v>Contractor</v>
      </c>
      <c r="P5" s="715"/>
      <c r="Q5" s="716"/>
      <c r="R5" s="705" t="str">
        <f>Title!R5</f>
        <v>HITACHI</v>
      </c>
      <c r="S5" s="706"/>
      <c r="T5" s="706"/>
      <c r="U5" s="706"/>
      <c r="V5" s="707"/>
      <c r="W5" s="14"/>
      <c r="X5" s="14"/>
    </row>
    <row r="6" spans="1:24" ht="18" customHeight="1">
      <c r="A6" s="196"/>
      <c r="V6" s="197"/>
    </row>
    <row r="7" spans="1:24" ht="18" customHeight="1">
      <c r="A7" s="196"/>
      <c r="B7" s="656" t="s">
        <v>120</v>
      </c>
      <c r="C7" s="657"/>
      <c r="D7" s="656" t="s">
        <v>944</v>
      </c>
      <c r="E7" s="657"/>
      <c r="F7" s="267"/>
      <c r="H7" s="639" t="s">
        <v>946</v>
      </c>
      <c r="I7" s="639"/>
      <c r="J7" s="639"/>
      <c r="K7" s="639"/>
      <c r="L7" s="639"/>
      <c r="M7" s="639"/>
      <c r="P7" s="198"/>
      <c r="R7" s="267"/>
      <c r="S7" s="199" t="s">
        <v>398</v>
      </c>
      <c r="T7" s="1051" t="s">
        <v>255</v>
      </c>
      <c r="U7" s="1052"/>
      <c r="V7" s="197"/>
    </row>
    <row r="8" spans="1:24" ht="18" customHeight="1">
      <c r="A8" s="196"/>
      <c r="B8" s="571"/>
      <c r="C8" s="571"/>
      <c r="D8" s="571"/>
      <c r="E8" s="571"/>
      <c r="F8" s="267"/>
      <c r="T8" s="1051"/>
      <c r="U8" s="1052"/>
      <c r="V8" s="197"/>
    </row>
    <row r="9" spans="1:24" ht="18" customHeight="1">
      <c r="A9" s="196"/>
      <c r="H9" s="662" t="s">
        <v>401</v>
      </c>
      <c r="I9" s="662"/>
      <c r="J9" s="701" t="s">
        <v>402</v>
      </c>
      <c r="K9" s="701"/>
      <c r="L9" s="701" t="s">
        <v>403</v>
      </c>
      <c r="M9" s="701"/>
      <c r="T9" s="1051"/>
      <c r="U9" s="1052"/>
      <c r="V9" s="197"/>
    </row>
    <row r="10" spans="1:24" ht="18" customHeight="1">
      <c r="A10" s="196"/>
      <c r="B10" s="47" t="s">
        <v>404</v>
      </c>
      <c r="H10" s="692">
        <v>2000</v>
      </c>
      <c r="I10" s="693"/>
      <c r="J10" s="656" t="s">
        <v>7</v>
      </c>
      <c r="K10" s="657"/>
      <c r="L10" s="656" t="s">
        <v>7</v>
      </c>
      <c r="M10" s="657"/>
      <c r="N10" s="203" t="s">
        <v>353</v>
      </c>
      <c r="O10" s="125">
        <v>1</v>
      </c>
      <c r="P10" s="27" t="s">
        <v>9</v>
      </c>
      <c r="T10" s="1051"/>
      <c r="U10" s="1052"/>
      <c r="V10" s="197"/>
    </row>
    <row r="11" spans="1:24" ht="18" customHeight="1">
      <c r="A11" s="196"/>
      <c r="B11" s="47" t="s">
        <v>405</v>
      </c>
      <c r="H11" s="656" t="s">
        <v>938</v>
      </c>
      <c r="I11" s="657"/>
      <c r="T11" s="1053"/>
      <c r="U11" s="1053"/>
      <c r="V11" s="197"/>
    </row>
    <row r="12" spans="1:24" ht="18" customHeight="1">
      <c r="A12" s="196"/>
      <c r="B12" s="47" t="s">
        <v>407</v>
      </c>
      <c r="G12" s="120" t="s">
        <v>508</v>
      </c>
      <c r="H12" s="656">
        <v>5</v>
      </c>
      <c r="I12" s="657"/>
      <c r="J12" s="204" t="s">
        <v>344</v>
      </c>
      <c r="T12" s="307"/>
      <c r="U12" s="18"/>
      <c r="V12" s="197"/>
    </row>
    <row r="13" spans="1:24" ht="18" customHeight="1">
      <c r="A13" s="196"/>
      <c r="B13" s="30" t="s">
        <v>579</v>
      </c>
      <c r="G13" s="120" t="s">
        <v>580</v>
      </c>
      <c r="H13" s="656">
        <v>5</v>
      </c>
      <c r="I13" s="657"/>
      <c r="T13" s="307"/>
      <c r="U13" s="18"/>
      <c r="V13" s="197"/>
      <c r="W13" s="30" t="str">
        <f>J46</f>
        <v>Suitable Dimensions</v>
      </c>
    </row>
    <row r="14" spans="1:24" ht="18" customHeight="1">
      <c r="A14" s="196"/>
      <c r="B14" s="47" t="s">
        <v>573</v>
      </c>
      <c r="G14" s="120" t="s">
        <v>504</v>
      </c>
      <c r="H14" s="656">
        <v>10</v>
      </c>
      <c r="I14" s="657"/>
      <c r="J14" s="30"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686"/>
      <c r="K19" s="687"/>
      <c r="L19" s="210" t="s">
        <v>168</v>
      </c>
      <c r="P19" s="256"/>
      <c r="V19" s="197"/>
    </row>
    <row r="20" spans="1:31" ht="18" customHeight="1">
      <c r="A20" s="196"/>
      <c r="B20" s="96" t="s">
        <v>416</v>
      </c>
      <c r="C20" s="14"/>
      <c r="D20" s="47">
        <f>T9</f>
        <v>0</v>
      </c>
      <c r="E20" s="14"/>
      <c r="G20" s="211"/>
      <c r="H20" s="27"/>
      <c r="I20" s="101" t="s">
        <v>138</v>
      </c>
      <c r="J20" s="688"/>
      <c r="K20" s="689"/>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688"/>
      <c r="K21" s="689"/>
      <c r="L21" s="214" t="s">
        <v>168</v>
      </c>
      <c r="O21" s="27" t="s">
        <v>138</v>
      </c>
      <c r="P21" s="27">
        <f>O10</f>
        <v>1</v>
      </c>
      <c r="Q21" s="27" t="s">
        <v>326</v>
      </c>
      <c r="R21" s="27">
        <f>O10</f>
        <v>1</v>
      </c>
      <c r="S21" s="27" t="s">
        <v>326</v>
      </c>
      <c r="T21" s="27">
        <f>H12</f>
        <v>5</v>
      </c>
      <c r="V21" s="197"/>
    </row>
    <row r="22" spans="1:31" ht="18" customHeight="1">
      <c r="A22" s="196"/>
      <c r="B22" s="196" t="s">
        <v>423</v>
      </c>
      <c r="C22" s="14"/>
      <c r="D22" s="47"/>
      <c r="E22" s="14"/>
      <c r="H22" s="27"/>
      <c r="I22" s="101" t="s">
        <v>138</v>
      </c>
      <c r="J22" s="690">
        <f>'CT-VT Burdens'!S22</f>
        <v>1.44186744</v>
      </c>
      <c r="K22" s="691"/>
      <c r="L22" s="309" t="s">
        <v>168</v>
      </c>
      <c r="O22" s="27" t="s">
        <v>138</v>
      </c>
      <c r="P22" s="637">
        <f>P21*R21*T21</f>
        <v>5</v>
      </c>
      <c r="Q22" s="639"/>
      <c r="R22" s="27" t="s">
        <v>168</v>
      </c>
      <c r="S22" s="27"/>
      <c r="T22" s="27"/>
      <c r="V22" s="197"/>
    </row>
    <row r="23" spans="1:31" ht="18" customHeight="1">
      <c r="A23" s="196"/>
      <c r="B23" s="1" t="s">
        <v>424</v>
      </c>
      <c r="C23" s="2"/>
      <c r="D23" s="2"/>
      <c r="E23" s="2"/>
      <c r="F23" s="208"/>
      <c r="G23" s="208"/>
      <c r="H23" s="236" t="s">
        <v>523</v>
      </c>
      <c r="I23" s="195" t="s">
        <v>138</v>
      </c>
      <c r="J23" s="648">
        <f>SUM(J18:K22)</f>
        <v>1.44986744</v>
      </c>
      <c r="K23" s="649"/>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86">
        <f>H10</f>
        <v>2000</v>
      </c>
      <c r="Q25" s="986"/>
      <c r="R25" s="204" t="s">
        <v>9</v>
      </c>
      <c r="V25" s="197"/>
    </row>
    <row r="26" spans="1:31" ht="18" customHeight="1">
      <c r="A26" s="196"/>
      <c r="B26" s="47" t="s">
        <v>558</v>
      </c>
      <c r="C26" s="47"/>
      <c r="D26" s="47"/>
      <c r="E26" s="47"/>
      <c r="H26" s="27"/>
      <c r="I26" s="28"/>
      <c r="J26" s="211"/>
      <c r="L26" s="47"/>
      <c r="N26" s="120" t="s">
        <v>583</v>
      </c>
      <c r="O26" s="28" t="s">
        <v>138</v>
      </c>
      <c r="P26" s="986">
        <f>H12</f>
        <v>5</v>
      </c>
      <c r="Q26" s="986"/>
      <c r="R26" s="316" t="s">
        <v>168</v>
      </c>
      <c r="V26" s="197"/>
    </row>
    <row r="27" spans="1:31" ht="18" customHeight="1">
      <c r="A27" s="196"/>
      <c r="B27" s="47" t="s">
        <v>559</v>
      </c>
      <c r="C27" s="47"/>
      <c r="D27" s="47"/>
      <c r="E27" s="47"/>
      <c r="H27" s="27"/>
      <c r="I27" s="28"/>
      <c r="J27" s="211"/>
      <c r="L27" s="47"/>
      <c r="N27" s="120" t="s">
        <v>584</v>
      </c>
      <c r="O27" s="28" t="s">
        <v>138</v>
      </c>
      <c r="P27" s="960">
        <f>J23</f>
        <v>1.44986744</v>
      </c>
      <c r="Q27" s="986"/>
      <c r="R27" s="316" t="s">
        <v>168</v>
      </c>
      <c r="V27" s="197"/>
    </row>
    <row r="28" spans="1:31" ht="18" customHeight="1">
      <c r="A28" s="196"/>
      <c r="B28" s="47" t="s">
        <v>560</v>
      </c>
      <c r="C28" s="47"/>
      <c r="D28" s="47"/>
      <c r="E28" s="47"/>
      <c r="H28" s="27"/>
      <c r="I28" s="28"/>
      <c r="J28" s="211"/>
      <c r="L28" s="47"/>
      <c r="N28" s="120" t="s">
        <v>522</v>
      </c>
      <c r="O28" s="28" t="s">
        <v>138</v>
      </c>
      <c r="P28" s="986">
        <f>O10</f>
        <v>1</v>
      </c>
      <c r="Q28" s="986"/>
      <c r="R28" s="204" t="s">
        <v>9</v>
      </c>
      <c r="V28" s="197"/>
    </row>
    <row r="29" spans="1:31" ht="18" customHeight="1">
      <c r="A29" s="196"/>
      <c r="B29" s="47" t="s">
        <v>585</v>
      </c>
      <c r="C29" s="47"/>
      <c r="D29" s="47"/>
      <c r="E29" s="47"/>
      <c r="H29" s="27"/>
      <c r="I29" s="28"/>
      <c r="J29" s="211"/>
      <c r="L29" s="47"/>
      <c r="N29" s="256" t="s">
        <v>586</v>
      </c>
      <c r="O29" s="28" t="s">
        <v>138</v>
      </c>
      <c r="P29" s="986">
        <f>H13</f>
        <v>5</v>
      </c>
      <c r="Q29" s="986"/>
      <c r="R29" s="204"/>
      <c r="V29" s="197"/>
    </row>
    <row r="30" spans="1:31" ht="18" customHeight="1">
      <c r="A30" s="196"/>
      <c r="B30" s="308" t="s">
        <v>587</v>
      </c>
      <c r="C30" s="47"/>
      <c r="D30" s="47"/>
      <c r="E30" s="47"/>
      <c r="H30" s="27"/>
      <c r="I30" s="28"/>
      <c r="J30" s="211"/>
      <c r="L30" s="47"/>
      <c r="N30" s="256"/>
      <c r="O30" s="28" t="s">
        <v>138</v>
      </c>
      <c r="P30" s="960">
        <v>20</v>
      </c>
      <c r="Q30" s="960"/>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656">
        <v>20</v>
      </c>
      <c r="T32" s="657"/>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637">
        <f>J23</f>
        <v>1.44986744</v>
      </c>
      <c r="K35" s="639"/>
      <c r="L35" s="28"/>
      <c r="M35" s="637"/>
      <c r="N35" s="639"/>
      <c r="V35" s="197"/>
    </row>
    <row r="36" spans="1:22" ht="18" customHeight="1">
      <c r="A36" s="196"/>
      <c r="I36" s="28"/>
      <c r="J36" s="637"/>
      <c r="K36" s="639"/>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548">
        <f>P29</f>
        <v>5</v>
      </c>
      <c r="K38" s="257" t="s">
        <v>565</v>
      </c>
      <c r="L38" s="313">
        <f>P22</f>
        <v>5</v>
      </c>
      <c r="M38" s="257" t="s">
        <v>358</v>
      </c>
      <c r="N38" s="254">
        <f>H14</f>
        <v>10</v>
      </c>
      <c r="O38" s="257" t="s">
        <v>550</v>
      </c>
      <c r="P38" s="313">
        <f>P22</f>
        <v>5</v>
      </c>
      <c r="Q38" s="257" t="s">
        <v>358</v>
      </c>
      <c r="R38" s="313">
        <f>J23</f>
        <v>1.44986744</v>
      </c>
      <c r="S38" s="308" t="s">
        <v>361</v>
      </c>
      <c r="V38" s="197"/>
    </row>
    <row r="39" spans="1:22" ht="18" customHeight="1">
      <c r="A39" s="196"/>
      <c r="I39" s="27" t="s">
        <v>138</v>
      </c>
      <c r="J39" s="640">
        <f>J38*((L38+N38)/(P38+R38))</f>
        <v>11.628145957678782</v>
      </c>
      <c r="K39" s="640"/>
      <c r="L39" s="254"/>
      <c r="M39" s="254"/>
      <c r="N39" s="254"/>
      <c r="O39" s="254"/>
      <c r="P39" s="254"/>
      <c r="Q39" s="254"/>
      <c r="R39" s="254"/>
      <c r="V39" s="197"/>
    </row>
    <row r="40" spans="1:22" ht="18" customHeight="1">
      <c r="A40" s="96" t="s">
        <v>595</v>
      </c>
      <c r="I40" s="28"/>
      <c r="J40" s="223"/>
      <c r="K40" s="27"/>
      <c r="V40" s="197"/>
    </row>
    <row r="41" spans="1:22" ht="18" customHeight="1">
      <c r="A41" s="196"/>
      <c r="B41" s="28">
        <v>1</v>
      </c>
      <c r="D41" s="14"/>
      <c r="H41" s="120" t="s">
        <v>503</v>
      </c>
      <c r="I41" s="28" t="s">
        <v>487</v>
      </c>
      <c r="J41" s="47" t="s">
        <v>116</v>
      </c>
      <c r="S41" s="14" t="s">
        <v>596</v>
      </c>
      <c r="V41" s="197"/>
    </row>
    <row r="42" spans="1:22" ht="18" customHeight="1">
      <c r="A42" s="196"/>
      <c r="G42" s="639">
        <f>H14</f>
        <v>10</v>
      </c>
      <c r="H42" s="639"/>
      <c r="I42" s="27" t="str">
        <f>IF(G42&gt;J42,"&gt;","&lt;")</f>
        <v>&gt;</v>
      </c>
      <c r="J42" s="637">
        <f>J35</f>
        <v>1.44986744</v>
      </c>
      <c r="K42" s="639"/>
      <c r="S42" s="198" t="str">
        <f>IF(G42&gt;J42,"Satisfied","Not satisfied")</f>
        <v>Satisfied</v>
      </c>
      <c r="V42" s="197"/>
    </row>
    <row r="43" spans="1:22" ht="18" customHeight="1">
      <c r="A43" s="196"/>
      <c r="D43" s="14"/>
      <c r="H43" s="120"/>
      <c r="I43" s="27"/>
      <c r="R43" s="14"/>
      <c r="V43" s="197"/>
    </row>
    <row r="44" spans="1:22" ht="18" customHeight="1">
      <c r="A44" s="196"/>
      <c r="B44" s="28">
        <v>2</v>
      </c>
      <c r="D44" s="14"/>
      <c r="H44" s="256" t="s">
        <v>597</v>
      </c>
      <c r="I44" s="28" t="s">
        <v>487</v>
      </c>
      <c r="J44" s="14" t="s">
        <v>117</v>
      </c>
      <c r="K44" s="14"/>
      <c r="S44" s="14" t="s">
        <v>598</v>
      </c>
      <c r="V44" s="197"/>
    </row>
    <row r="45" spans="1:22" ht="18" customHeight="1">
      <c r="A45" s="196"/>
      <c r="D45" s="14"/>
      <c r="G45" s="637">
        <f>P30</f>
        <v>20</v>
      </c>
      <c r="H45" s="637"/>
      <c r="I45" s="27" t="str">
        <f>IF(G45&gt;J45,"&gt;","&lt;")</f>
        <v>&gt;</v>
      </c>
      <c r="J45" s="637">
        <f>J39</f>
        <v>11.628145957678782</v>
      </c>
      <c r="K45" s="637"/>
      <c r="R45" s="14"/>
      <c r="S45" s="198" t="str">
        <f>IF(G45&gt;J45,"Satisfied","Not satisfied")</f>
        <v>Satisfied</v>
      </c>
      <c r="V45" s="197"/>
    </row>
    <row r="46" spans="1:22" ht="18" customHeight="1">
      <c r="A46" s="196"/>
      <c r="D46" s="47"/>
      <c r="H46" s="256" t="s">
        <v>489</v>
      </c>
      <c r="J46" s="18" t="str">
        <f>IF(AND(I42="&gt;",I45="&gt;")=TRUE,"Suitable Dimensions","Not suitable")</f>
        <v>Suitable Dimensions</v>
      </c>
      <c r="O46" s="27"/>
      <c r="P46" s="223"/>
      <c r="Q46" s="223"/>
      <c r="R46" s="204"/>
      <c r="V46" s="197"/>
    </row>
    <row r="47" spans="1:22" ht="18" customHeight="1">
      <c r="A47" s="196"/>
      <c r="D47" s="47"/>
      <c r="H47" s="256"/>
      <c r="J47" s="18"/>
      <c r="O47" s="27"/>
      <c r="P47" s="223"/>
      <c r="Q47" s="223"/>
      <c r="R47" s="204"/>
      <c r="V47" s="197"/>
    </row>
    <row r="48" spans="1:22" ht="17.399999999999999"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2" ht="17.399999999999999"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2" ht="18" customHeight="1">
      <c r="A50" s="274" t="s">
        <v>512</v>
      </c>
      <c r="B50" s="7"/>
      <c r="C50" s="7"/>
      <c r="D50" s="124"/>
      <c r="E50" s="124"/>
      <c r="F50" s="115"/>
      <c r="G50" s="115"/>
      <c r="H50" s="7"/>
      <c r="I50" s="7"/>
      <c r="J50" s="7"/>
      <c r="K50" s="14"/>
      <c r="L50" s="14"/>
      <c r="M50" s="14"/>
      <c r="N50" s="14"/>
      <c r="O50" s="14"/>
      <c r="P50" s="28"/>
      <c r="Q50" s="120"/>
      <c r="R50" s="47"/>
      <c r="S50" s="218"/>
      <c r="T50" s="271"/>
      <c r="U50" s="14"/>
      <c r="V50" s="97"/>
    </row>
    <row r="51" spans="1:22" ht="18" customHeight="1">
      <c r="A51" s="614" t="s">
        <v>97</v>
      </c>
      <c r="B51" s="620"/>
      <c r="C51" s="615"/>
      <c r="D51" s="614" t="s">
        <v>98</v>
      </c>
      <c r="E51" s="620"/>
      <c r="F51" s="615"/>
      <c r="G51" s="614" t="s">
        <v>99</v>
      </c>
      <c r="H51" s="615"/>
      <c r="I51" s="614" t="s">
        <v>100</v>
      </c>
      <c r="J51" s="615"/>
      <c r="K51" s="614" t="s">
        <v>513</v>
      </c>
      <c r="L51" s="615"/>
      <c r="M51" s="614" t="s">
        <v>114</v>
      </c>
      <c r="N51" s="615"/>
      <c r="O51" s="614"/>
      <c r="P51" s="615"/>
      <c r="Q51" s="614" t="s">
        <v>516</v>
      </c>
      <c r="R51" s="615"/>
      <c r="S51" s="614" t="s">
        <v>105</v>
      </c>
      <c r="T51" s="620"/>
      <c r="U51" s="620"/>
      <c r="V51" s="615"/>
    </row>
    <row r="52" spans="1:22" ht="18" customHeight="1">
      <c r="A52" s="616"/>
      <c r="B52" s="621"/>
      <c r="C52" s="617"/>
      <c r="D52" s="616"/>
      <c r="E52" s="621"/>
      <c r="F52" s="617"/>
      <c r="G52" s="616"/>
      <c r="H52" s="617"/>
      <c r="I52" s="616"/>
      <c r="J52" s="617"/>
      <c r="K52" s="616"/>
      <c r="L52" s="617"/>
      <c r="M52" s="616"/>
      <c r="N52" s="617"/>
      <c r="O52" s="616"/>
      <c r="P52" s="617"/>
      <c r="Q52" s="616"/>
      <c r="R52" s="617"/>
      <c r="S52" s="616"/>
      <c r="T52" s="621"/>
      <c r="U52" s="621"/>
      <c r="V52" s="617"/>
    </row>
    <row r="53" spans="1:22" ht="18" customHeight="1">
      <c r="A53" s="616"/>
      <c r="B53" s="621"/>
      <c r="C53" s="617"/>
      <c r="D53" s="616"/>
      <c r="E53" s="621"/>
      <c r="F53" s="617"/>
      <c r="G53" s="616"/>
      <c r="H53" s="617"/>
      <c r="I53" s="616"/>
      <c r="J53" s="617"/>
      <c r="K53" s="616"/>
      <c r="L53" s="617"/>
      <c r="M53" s="616"/>
      <c r="N53" s="617"/>
      <c r="O53" s="616"/>
      <c r="P53" s="617"/>
      <c r="Q53" s="616"/>
      <c r="R53" s="617"/>
      <c r="S53" s="616"/>
      <c r="T53" s="621"/>
      <c r="U53" s="621"/>
      <c r="V53" s="617"/>
    </row>
    <row r="54" spans="1:22" ht="18" customHeight="1">
      <c r="A54" s="618"/>
      <c r="B54" s="622"/>
      <c r="C54" s="619"/>
      <c r="D54" s="618"/>
      <c r="E54" s="622"/>
      <c r="F54" s="619"/>
      <c r="G54" s="618"/>
      <c r="H54" s="619"/>
      <c r="I54" s="618"/>
      <c r="J54" s="619"/>
      <c r="K54" s="618"/>
      <c r="L54" s="619"/>
      <c r="M54" s="618"/>
      <c r="N54" s="619"/>
      <c r="O54" s="618"/>
      <c r="P54" s="619"/>
      <c r="Q54" s="618"/>
      <c r="R54" s="619"/>
      <c r="S54" s="618"/>
      <c r="T54" s="622"/>
      <c r="U54" s="622"/>
      <c r="V54" s="619"/>
    </row>
    <row r="55" spans="1:22" ht="18" customHeight="1">
      <c r="A55" s="623" t="str">
        <f>B7</f>
        <v>T1</v>
      </c>
      <c r="B55" s="623" t="str">
        <f>D7</f>
        <v>Core7</v>
      </c>
      <c r="C55" s="623"/>
      <c r="D55" s="613">
        <f>H10</f>
        <v>2000</v>
      </c>
      <c r="E55" s="613"/>
      <c r="F55" s="624">
        <f>O10</f>
        <v>1</v>
      </c>
      <c r="G55" s="627">
        <f>'CT-VT Burdens'!S19</f>
        <v>80</v>
      </c>
      <c r="H55" s="630">
        <f>'CT-VT Burdens'!S10</f>
        <v>2.5</v>
      </c>
      <c r="I55" s="783" t="str">
        <f>H11</f>
        <v>0.2S</v>
      </c>
      <c r="J55" s="783"/>
      <c r="K55" s="612">
        <f>H12</f>
        <v>5</v>
      </c>
      <c r="L55" s="612"/>
      <c r="M55" s="612">
        <f>H14</f>
        <v>10</v>
      </c>
      <c r="N55" s="612"/>
      <c r="O55" s="613" t="s">
        <v>7</v>
      </c>
      <c r="P55" s="613"/>
      <c r="Q55" s="629" t="str">
        <f>CONCATENATE(T7," ",T8," ",T9," ",T10)</f>
        <v xml:space="preserve">XC-RACK   </v>
      </c>
      <c r="R55" s="629"/>
      <c r="S55" s="628" t="str">
        <f>J46</f>
        <v>Suitable Dimensions</v>
      </c>
      <c r="T55" s="628"/>
      <c r="U55" s="628"/>
      <c r="V55" s="628"/>
    </row>
    <row r="56" spans="1:22" ht="18" customHeight="1">
      <c r="A56" s="623"/>
      <c r="B56" s="623"/>
      <c r="C56" s="623"/>
      <c r="D56" s="613" t="str">
        <f>J10</f>
        <v>-</v>
      </c>
      <c r="E56" s="613"/>
      <c r="F56" s="625"/>
      <c r="G56" s="627"/>
      <c r="H56" s="630"/>
      <c r="I56" s="783"/>
      <c r="J56" s="783"/>
      <c r="K56" s="785" t="s">
        <v>7</v>
      </c>
      <c r="L56" s="612"/>
      <c r="M56" s="785" t="s">
        <v>7</v>
      </c>
      <c r="N56" s="612"/>
      <c r="O56" s="613" t="s">
        <v>7</v>
      </c>
      <c r="P56" s="613"/>
      <c r="Q56" s="629"/>
      <c r="R56" s="629"/>
      <c r="S56" s="961" t="s">
        <v>7</v>
      </c>
      <c r="T56" s="628"/>
      <c r="U56" s="628"/>
      <c r="V56" s="628"/>
    </row>
    <row r="57" spans="1:22" ht="18" customHeight="1">
      <c r="A57" s="623"/>
      <c r="B57" s="623"/>
      <c r="C57" s="623"/>
      <c r="D57" s="613" t="s">
        <v>7</v>
      </c>
      <c r="E57" s="613"/>
      <c r="F57" s="626"/>
      <c r="G57" s="627"/>
      <c r="H57" s="630"/>
      <c r="I57" s="783"/>
      <c r="J57" s="783"/>
      <c r="K57" s="612" t="s">
        <v>7</v>
      </c>
      <c r="L57" s="612"/>
      <c r="M57" s="612" t="s">
        <v>7</v>
      </c>
      <c r="N57" s="612"/>
      <c r="O57" s="613" t="s">
        <v>7</v>
      </c>
      <c r="P57" s="613"/>
      <c r="Q57" s="629"/>
      <c r="R57" s="629"/>
      <c r="S57" s="628" t="s">
        <v>7</v>
      </c>
      <c r="T57" s="628"/>
      <c r="U57" s="628"/>
      <c r="V57" s="628"/>
    </row>
    <row r="58" spans="1:22" ht="18" customHeight="1">
      <c r="A58" s="277"/>
      <c r="B58" s="251"/>
      <c r="C58" s="251"/>
      <c r="D58" s="251"/>
      <c r="E58" s="251"/>
      <c r="F58" s="251"/>
      <c r="G58" s="251"/>
      <c r="H58" s="251"/>
      <c r="I58" s="251"/>
      <c r="J58" s="93"/>
      <c r="K58" s="93"/>
      <c r="L58" s="251"/>
      <c r="M58" s="251"/>
      <c r="N58" s="251"/>
      <c r="O58" s="251"/>
      <c r="P58" s="251"/>
      <c r="Q58" s="251"/>
      <c r="R58" s="251"/>
      <c r="S58" s="251"/>
      <c r="T58" s="251"/>
      <c r="U58" s="103"/>
      <c r="V58" s="322"/>
    </row>
    <row r="59" spans="1:22" ht="18" customHeight="1">
      <c r="A59" s="277"/>
      <c r="B59" s="251"/>
      <c r="C59" s="251"/>
      <c r="D59" s="251"/>
      <c r="E59" s="251"/>
      <c r="F59" s="251"/>
      <c r="G59" s="251"/>
      <c r="H59" s="251"/>
      <c r="I59" s="251"/>
      <c r="J59" s="93"/>
      <c r="K59" s="93"/>
      <c r="L59" s="251"/>
      <c r="M59" s="251"/>
      <c r="N59" s="251"/>
      <c r="O59" s="251"/>
      <c r="P59" s="251"/>
      <c r="Q59" s="251"/>
      <c r="R59" s="251"/>
      <c r="S59" s="251"/>
      <c r="T59" s="251"/>
      <c r="U59" s="103"/>
      <c r="V59" s="322"/>
    </row>
    <row r="60" spans="1:22" ht="18" customHeight="1">
      <c r="A60" s="277"/>
      <c r="B60" s="251"/>
      <c r="C60" s="251"/>
      <c r="D60" s="251"/>
      <c r="E60" s="251"/>
      <c r="F60" s="251"/>
      <c r="G60" s="251"/>
      <c r="H60" s="251"/>
      <c r="I60" s="251"/>
      <c r="J60" s="93"/>
      <c r="K60" s="93"/>
      <c r="L60" s="251"/>
      <c r="M60" s="251"/>
      <c r="N60" s="251"/>
      <c r="O60" s="251"/>
      <c r="P60" s="251"/>
      <c r="Q60" s="251"/>
      <c r="R60" s="251"/>
      <c r="S60" s="251"/>
      <c r="T60" s="251"/>
      <c r="U60" s="103"/>
      <c r="V60" s="322"/>
    </row>
    <row r="61" spans="1:22" ht="18" customHeight="1">
      <c r="A61" s="277"/>
      <c r="B61" s="251"/>
      <c r="C61" s="251"/>
      <c r="D61" s="251"/>
      <c r="E61" s="251"/>
      <c r="F61" s="251"/>
      <c r="G61" s="251"/>
      <c r="H61" s="251"/>
      <c r="I61" s="251"/>
      <c r="J61" s="93"/>
      <c r="K61" s="93"/>
      <c r="L61" s="251"/>
      <c r="M61" s="251"/>
      <c r="N61" s="251"/>
      <c r="O61" s="251"/>
      <c r="P61" s="251"/>
      <c r="Q61" s="251"/>
      <c r="R61" s="251"/>
      <c r="S61" s="251"/>
      <c r="T61" s="251"/>
      <c r="U61" s="103"/>
      <c r="V61" s="322"/>
    </row>
    <row r="62" spans="1:22" ht="18" customHeight="1">
      <c r="A62" s="277"/>
      <c r="B62" s="251"/>
      <c r="C62" s="251"/>
      <c r="D62" s="251"/>
      <c r="E62" s="251"/>
      <c r="F62" s="251"/>
      <c r="G62" s="251"/>
      <c r="H62" s="251"/>
      <c r="I62" s="251"/>
      <c r="J62" s="93"/>
      <c r="K62" s="93"/>
      <c r="L62" s="251"/>
      <c r="M62" s="251"/>
      <c r="N62" s="251"/>
      <c r="O62" s="251"/>
      <c r="P62" s="251"/>
      <c r="Q62" s="251"/>
      <c r="R62" s="251"/>
      <c r="S62" s="251"/>
      <c r="T62" s="251"/>
      <c r="U62" s="103"/>
      <c r="V62" s="322"/>
    </row>
    <row r="63" spans="1:22" ht="18" customHeight="1">
      <c r="A63" s="277"/>
      <c r="B63" s="251"/>
      <c r="C63" s="251"/>
      <c r="D63" s="251"/>
      <c r="E63" s="251"/>
      <c r="F63" s="251"/>
      <c r="G63" s="251"/>
      <c r="H63" s="251"/>
      <c r="I63" s="251"/>
      <c r="J63" s="93"/>
      <c r="K63" s="93"/>
      <c r="L63" s="251"/>
      <c r="M63" s="251"/>
      <c r="N63" s="251"/>
      <c r="O63" s="251"/>
      <c r="P63" s="251"/>
      <c r="Q63" s="251"/>
      <c r="R63" s="251"/>
      <c r="S63" s="251"/>
      <c r="T63" s="251"/>
      <c r="U63" s="103"/>
      <c r="V63" s="322"/>
    </row>
    <row r="64" spans="1:22" ht="18" customHeight="1">
      <c r="A64" s="277"/>
      <c r="B64" s="251"/>
      <c r="C64" s="251"/>
      <c r="D64" s="251"/>
      <c r="E64" s="251"/>
      <c r="F64" s="251"/>
      <c r="G64" s="251"/>
      <c r="H64" s="251"/>
      <c r="I64" s="251"/>
      <c r="J64" s="93"/>
      <c r="K64" s="93"/>
      <c r="L64" s="251"/>
      <c r="M64" s="251"/>
      <c r="N64" s="251"/>
      <c r="O64" s="251"/>
      <c r="P64" s="251"/>
      <c r="Q64" s="251"/>
      <c r="R64" s="251"/>
      <c r="S64" s="251"/>
      <c r="T64" s="251"/>
      <c r="U64" s="103"/>
      <c r="V64" s="322"/>
    </row>
    <row r="65" spans="1:22" ht="18" customHeight="1">
      <c r="A65" s="277"/>
      <c r="B65" s="251"/>
      <c r="C65" s="251"/>
      <c r="D65" s="251"/>
      <c r="E65" s="251"/>
      <c r="F65" s="251"/>
      <c r="G65" s="251"/>
      <c r="H65" s="251"/>
      <c r="I65" s="251"/>
      <c r="J65" s="93"/>
      <c r="K65" s="93"/>
      <c r="L65" s="251"/>
      <c r="M65" s="251"/>
      <c r="N65" s="251"/>
      <c r="O65" s="251"/>
      <c r="P65" s="251"/>
      <c r="Q65" s="251"/>
      <c r="R65" s="251"/>
      <c r="S65" s="251"/>
      <c r="T65" s="251"/>
      <c r="U65" s="103"/>
      <c r="V65" s="322"/>
    </row>
    <row r="66" spans="1:22" ht="18" customHeight="1">
      <c r="A66" s="277"/>
      <c r="B66" s="251"/>
      <c r="C66" s="251"/>
      <c r="D66" s="251"/>
      <c r="E66" s="251"/>
      <c r="F66" s="251"/>
      <c r="G66" s="251"/>
      <c r="H66" s="251"/>
      <c r="I66" s="251"/>
      <c r="J66" s="93"/>
      <c r="K66" s="93"/>
      <c r="L66" s="251"/>
      <c r="M66" s="251"/>
      <c r="N66" s="251"/>
      <c r="O66" s="251"/>
      <c r="P66" s="251"/>
      <c r="Q66" s="251"/>
      <c r="R66" s="251"/>
      <c r="S66" s="251"/>
      <c r="T66" s="251"/>
      <c r="U66" s="103"/>
      <c r="V66" s="322"/>
    </row>
    <row r="67" spans="1:22" ht="18" customHeight="1">
      <c r="A67" s="277"/>
      <c r="B67" s="251"/>
      <c r="C67" s="251"/>
      <c r="D67" s="251"/>
      <c r="E67" s="251"/>
      <c r="F67" s="251"/>
      <c r="G67" s="251"/>
      <c r="H67" s="251"/>
      <c r="I67" s="251"/>
      <c r="J67" s="93"/>
      <c r="K67" s="93"/>
      <c r="L67" s="251"/>
      <c r="M67" s="251"/>
      <c r="N67" s="251"/>
      <c r="O67" s="251"/>
      <c r="P67" s="251"/>
      <c r="Q67" s="251"/>
      <c r="R67" s="251"/>
      <c r="S67" s="251"/>
      <c r="T67" s="251"/>
      <c r="U67" s="103"/>
      <c r="V67" s="322"/>
    </row>
    <row r="68" spans="1:22" ht="18" customHeight="1">
      <c r="A68" s="277"/>
      <c r="B68" s="251"/>
      <c r="C68" s="251"/>
      <c r="D68" s="251"/>
      <c r="E68" s="251"/>
      <c r="F68" s="251"/>
      <c r="G68" s="251"/>
      <c r="H68" s="251"/>
      <c r="I68" s="251"/>
      <c r="J68" s="93"/>
      <c r="K68" s="93"/>
      <c r="L68" s="251"/>
      <c r="M68" s="251"/>
      <c r="N68" s="251"/>
      <c r="O68" s="251"/>
      <c r="P68" s="251"/>
      <c r="Q68" s="251"/>
      <c r="R68" s="251"/>
      <c r="S68" s="251"/>
      <c r="T68" s="251"/>
      <c r="U68" s="103"/>
      <c r="V68" s="322"/>
    </row>
    <row r="69" spans="1:22" ht="18" customHeight="1">
      <c r="A69" s="277"/>
      <c r="B69" s="251"/>
      <c r="C69" s="251"/>
      <c r="D69" s="251"/>
      <c r="E69" s="251"/>
      <c r="F69" s="251"/>
      <c r="G69" s="251"/>
      <c r="H69" s="251"/>
      <c r="I69" s="251"/>
      <c r="J69" s="93"/>
      <c r="K69" s="93"/>
      <c r="L69" s="251"/>
      <c r="M69" s="251"/>
      <c r="N69" s="251"/>
      <c r="O69" s="251"/>
      <c r="P69" s="251"/>
      <c r="Q69" s="251"/>
      <c r="R69" s="251"/>
      <c r="S69" s="251"/>
      <c r="T69" s="251"/>
      <c r="U69" s="103"/>
      <c r="V69" s="322"/>
    </row>
    <row r="70" spans="1:22" ht="18" customHeight="1">
      <c r="A70" s="277"/>
      <c r="B70" s="251"/>
      <c r="C70" s="251"/>
      <c r="D70" s="251"/>
      <c r="E70" s="251"/>
      <c r="F70" s="251"/>
      <c r="G70" s="251"/>
      <c r="H70" s="251"/>
      <c r="I70" s="251"/>
      <c r="J70" s="93"/>
      <c r="K70" s="93"/>
      <c r="L70" s="251"/>
      <c r="M70" s="251"/>
      <c r="N70" s="251"/>
      <c r="O70" s="251"/>
      <c r="P70" s="251"/>
      <c r="Q70" s="251"/>
      <c r="R70" s="251"/>
      <c r="S70" s="251"/>
      <c r="T70" s="251"/>
      <c r="U70" s="103"/>
      <c r="V70" s="322"/>
    </row>
    <row r="71" spans="1:22" ht="18" customHeight="1">
      <c r="A71" s="277"/>
      <c r="B71" s="251"/>
      <c r="C71" s="251"/>
      <c r="D71" s="251"/>
      <c r="E71" s="251"/>
      <c r="F71" s="251"/>
      <c r="G71" s="251"/>
      <c r="H71" s="251"/>
      <c r="I71" s="251"/>
      <c r="J71" s="93"/>
      <c r="K71" s="93"/>
      <c r="L71" s="251"/>
      <c r="M71" s="251"/>
      <c r="N71" s="251"/>
      <c r="O71" s="251"/>
      <c r="P71" s="251"/>
      <c r="Q71" s="251"/>
      <c r="R71" s="251"/>
      <c r="S71" s="251"/>
      <c r="T71" s="251"/>
      <c r="U71" s="103"/>
      <c r="V71" s="322"/>
    </row>
    <row r="72" spans="1:22" ht="18" customHeight="1">
      <c r="A72" s="277"/>
      <c r="B72" s="251"/>
      <c r="C72" s="251"/>
      <c r="D72" s="251"/>
      <c r="E72" s="251"/>
      <c r="F72" s="251"/>
      <c r="G72" s="251"/>
      <c r="H72" s="251"/>
      <c r="I72" s="251"/>
      <c r="J72" s="93"/>
      <c r="K72" s="93"/>
      <c r="L72" s="251"/>
      <c r="M72" s="251"/>
      <c r="N72" s="251"/>
      <c r="O72" s="251"/>
      <c r="P72" s="251"/>
      <c r="Q72" s="251"/>
      <c r="R72" s="251"/>
      <c r="S72" s="251"/>
      <c r="T72" s="251"/>
      <c r="U72" s="103"/>
      <c r="V72" s="322"/>
    </row>
    <row r="73" spans="1:22" ht="18" customHeight="1">
      <c r="A73" s="277"/>
      <c r="B73" s="251"/>
      <c r="C73" s="251"/>
      <c r="D73" s="251"/>
      <c r="E73" s="251"/>
      <c r="F73" s="251"/>
      <c r="G73" s="251"/>
      <c r="H73" s="251"/>
      <c r="I73" s="251"/>
      <c r="J73" s="93"/>
      <c r="K73" s="93"/>
      <c r="L73" s="251"/>
      <c r="M73" s="251"/>
      <c r="N73" s="251"/>
      <c r="O73" s="251"/>
      <c r="P73" s="251"/>
      <c r="Q73" s="251"/>
      <c r="R73" s="251"/>
      <c r="S73" s="251"/>
      <c r="T73" s="251"/>
      <c r="U73" s="103"/>
      <c r="V73" s="322"/>
    </row>
    <row r="74" spans="1:22" ht="18" customHeight="1">
      <c r="A74" s="277"/>
      <c r="B74" s="251"/>
      <c r="C74" s="251"/>
      <c r="D74" s="251"/>
      <c r="E74" s="251"/>
      <c r="F74" s="251"/>
      <c r="G74" s="251"/>
      <c r="H74" s="251"/>
      <c r="I74" s="251"/>
      <c r="J74" s="93"/>
      <c r="K74" s="93"/>
      <c r="L74" s="251"/>
      <c r="M74" s="251"/>
      <c r="N74" s="251"/>
      <c r="O74" s="251"/>
      <c r="P74" s="251"/>
      <c r="Q74" s="251"/>
      <c r="R74" s="251"/>
      <c r="S74" s="251"/>
      <c r="T74" s="251"/>
      <c r="U74" s="103"/>
      <c r="V74" s="322"/>
    </row>
    <row r="75" spans="1:22" ht="18" customHeight="1">
      <c r="A75" s="277"/>
      <c r="B75" s="251"/>
      <c r="C75" s="251"/>
      <c r="D75" s="251"/>
      <c r="E75" s="251"/>
      <c r="F75" s="251"/>
      <c r="G75" s="251"/>
      <c r="H75" s="251"/>
      <c r="I75" s="251"/>
      <c r="J75" s="93"/>
      <c r="K75" s="93"/>
      <c r="L75" s="251"/>
      <c r="M75" s="251"/>
      <c r="N75" s="251"/>
      <c r="O75" s="251"/>
      <c r="P75" s="251"/>
      <c r="Q75" s="251"/>
      <c r="R75" s="251"/>
      <c r="S75" s="251"/>
      <c r="T75" s="251"/>
      <c r="U75" s="103"/>
      <c r="V75" s="322"/>
    </row>
    <row r="76" spans="1:22" ht="18" customHeight="1">
      <c r="A76" s="277"/>
      <c r="B76" s="251"/>
      <c r="C76" s="251"/>
      <c r="D76" s="251"/>
      <c r="E76" s="251"/>
      <c r="F76" s="251"/>
      <c r="G76" s="251"/>
      <c r="H76" s="251"/>
      <c r="I76" s="251"/>
      <c r="J76" s="93"/>
      <c r="K76" s="93"/>
      <c r="L76" s="251"/>
      <c r="M76" s="251"/>
      <c r="N76" s="251"/>
      <c r="O76" s="251"/>
      <c r="P76" s="251"/>
      <c r="Q76" s="251"/>
      <c r="R76" s="251"/>
      <c r="S76" s="251"/>
      <c r="T76" s="251"/>
      <c r="U76" s="103"/>
      <c r="V76" s="322"/>
    </row>
    <row r="77" spans="1:22" ht="18" customHeight="1">
      <c r="A77" s="277"/>
      <c r="B77" s="251"/>
      <c r="C77" s="251"/>
      <c r="D77" s="251"/>
      <c r="E77" s="251"/>
      <c r="F77" s="251"/>
      <c r="G77" s="251"/>
      <c r="H77" s="251"/>
      <c r="I77" s="251"/>
      <c r="J77" s="93"/>
      <c r="K77" s="93"/>
      <c r="L77" s="251"/>
      <c r="M77" s="251"/>
      <c r="N77" s="251"/>
      <c r="O77" s="251"/>
      <c r="P77" s="251"/>
      <c r="Q77" s="251"/>
      <c r="R77" s="251"/>
      <c r="S77" s="251"/>
      <c r="T77" s="251"/>
      <c r="U77" s="103"/>
      <c r="V77" s="322"/>
    </row>
    <row r="78" spans="1:22" ht="18" customHeight="1">
      <c r="A78" s="277"/>
      <c r="B78" s="251"/>
      <c r="C78" s="251"/>
      <c r="D78" s="251"/>
      <c r="E78" s="251"/>
      <c r="F78" s="251"/>
      <c r="G78" s="251"/>
      <c r="H78" s="251"/>
      <c r="I78" s="251"/>
      <c r="J78" s="93"/>
      <c r="K78" s="93"/>
      <c r="L78" s="251"/>
      <c r="M78" s="251"/>
      <c r="N78" s="251"/>
      <c r="O78" s="251"/>
      <c r="P78" s="251"/>
      <c r="Q78" s="251"/>
      <c r="R78" s="251"/>
      <c r="S78" s="251"/>
      <c r="T78" s="251"/>
      <c r="U78" s="103"/>
      <c r="V78" s="322"/>
    </row>
    <row r="79" spans="1:22" ht="18" customHeight="1">
      <c r="A79" s="277"/>
      <c r="B79" s="251"/>
      <c r="C79" s="251"/>
      <c r="D79" s="251"/>
      <c r="E79" s="251"/>
      <c r="F79" s="251"/>
      <c r="G79" s="251"/>
      <c r="H79" s="251"/>
      <c r="I79" s="251"/>
      <c r="J79" s="93"/>
      <c r="K79" s="93"/>
      <c r="L79" s="251"/>
      <c r="M79" s="251"/>
      <c r="N79" s="251"/>
      <c r="O79" s="251"/>
      <c r="P79" s="251"/>
      <c r="Q79" s="251"/>
      <c r="R79" s="251"/>
      <c r="S79" s="251"/>
      <c r="T79" s="251"/>
      <c r="U79" s="103"/>
      <c r="V79" s="322"/>
    </row>
    <row r="80" spans="1:22" ht="18" customHeight="1">
      <c r="A80" s="277"/>
      <c r="B80" s="251"/>
      <c r="C80" s="251"/>
      <c r="D80" s="251"/>
      <c r="E80" s="251"/>
      <c r="F80" s="251"/>
      <c r="G80" s="251"/>
      <c r="H80" s="251"/>
      <c r="I80" s="251"/>
      <c r="J80" s="93"/>
      <c r="K80" s="93"/>
      <c r="L80" s="251"/>
      <c r="M80" s="251"/>
      <c r="N80" s="251"/>
      <c r="O80" s="251"/>
      <c r="P80" s="251"/>
      <c r="Q80" s="251"/>
      <c r="R80" s="251"/>
      <c r="S80" s="251"/>
      <c r="T80" s="251"/>
      <c r="U80" s="103"/>
      <c r="V80" s="322"/>
    </row>
    <row r="81" spans="1:22" ht="18" customHeight="1">
      <c r="A81" s="277"/>
      <c r="B81" s="251"/>
      <c r="C81" s="251"/>
      <c r="D81" s="251"/>
      <c r="E81" s="251"/>
      <c r="F81" s="251"/>
      <c r="G81" s="251"/>
      <c r="H81" s="251"/>
      <c r="I81" s="251"/>
      <c r="J81" s="93"/>
      <c r="K81" s="93"/>
      <c r="L81" s="251"/>
      <c r="M81" s="251"/>
      <c r="N81" s="251"/>
      <c r="O81" s="251"/>
      <c r="P81" s="251"/>
      <c r="Q81" s="251"/>
      <c r="R81" s="251"/>
      <c r="S81" s="251"/>
      <c r="T81" s="251"/>
      <c r="U81" s="103"/>
      <c r="V81" s="322"/>
    </row>
    <row r="82" spans="1:22" ht="18" customHeight="1">
      <c r="A82" s="277"/>
      <c r="B82" s="251"/>
      <c r="C82" s="251"/>
      <c r="D82" s="251"/>
      <c r="E82" s="251"/>
      <c r="F82" s="251"/>
      <c r="G82" s="251"/>
      <c r="H82" s="251"/>
      <c r="I82" s="251"/>
      <c r="J82" s="93"/>
      <c r="K82" s="93"/>
      <c r="L82" s="251"/>
      <c r="M82" s="251"/>
      <c r="N82" s="251"/>
      <c r="O82" s="251"/>
      <c r="P82" s="251"/>
      <c r="Q82" s="251"/>
      <c r="R82" s="251"/>
      <c r="S82" s="251"/>
      <c r="T82" s="251"/>
      <c r="U82" s="103"/>
      <c r="V82" s="322"/>
    </row>
    <row r="83" spans="1:22" ht="18" customHeight="1">
      <c r="A83" s="277"/>
      <c r="B83" s="251"/>
      <c r="C83" s="251"/>
      <c r="D83" s="251"/>
      <c r="E83" s="251"/>
      <c r="F83" s="251"/>
      <c r="G83" s="251"/>
      <c r="H83" s="251"/>
      <c r="I83" s="251"/>
      <c r="J83" s="93"/>
      <c r="K83" s="93"/>
      <c r="L83" s="251"/>
      <c r="M83" s="251"/>
      <c r="N83" s="251"/>
      <c r="O83" s="251"/>
      <c r="P83" s="251"/>
      <c r="Q83" s="251"/>
      <c r="R83" s="251"/>
      <c r="S83" s="251"/>
      <c r="T83" s="251"/>
      <c r="U83" s="103"/>
      <c r="V83" s="322"/>
    </row>
    <row r="84" spans="1:22" ht="18" customHeight="1">
      <c r="A84" s="277"/>
      <c r="B84" s="251"/>
      <c r="C84" s="251"/>
      <c r="D84" s="251"/>
      <c r="E84" s="251"/>
      <c r="F84" s="251"/>
      <c r="G84" s="251"/>
      <c r="H84" s="251"/>
      <c r="I84" s="251"/>
      <c r="J84" s="93"/>
      <c r="K84" s="93"/>
      <c r="L84" s="251"/>
      <c r="M84" s="251"/>
      <c r="N84" s="251"/>
      <c r="O84" s="251"/>
      <c r="P84" s="251"/>
      <c r="Q84" s="251"/>
      <c r="R84" s="251"/>
      <c r="S84" s="251"/>
      <c r="T84" s="251"/>
      <c r="U84" s="103"/>
      <c r="V84" s="322"/>
    </row>
    <row r="85" spans="1:22" ht="18" customHeight="1">
      <c r="A85" s="277"/>
      <c r="B85" s="251"/>
      <c r="C85" s="251"/>
      <c r="D85" s="251"/>
      <c r="E85" s="251"/>
      <c r="F85" s="251"/>
      <c r="G85" s="251"/>
      <c r="H85" s="251"/>
      <c r="I85" s="251"/>
      <c r="J85" s="93"/>
      <c r="K85" s="93"/>
      <c r="L85" s="251"/>
      <c r="M85" s="251"/>
      <c r="N85" s="251"/>
      <c r="O85" s="251"/>
      <c r="P85" s="251"/>
      <c r="Q85" s="251"/>
      <c r="R85" s="251"/>
      <c r="S85" s="251"/>
      <c r="T85" s="251"/>
      <c r="U85" s="103"/>
      <c r="V85" s="322"/>
    </row>
    <row r="86" spans="1:22" ht="18" customHeight="1">
      <c r="A86" s="277"/>
      <c r="B86" s="251"/>
      <c r="C86" s="251"/>
      <c r="D86" s="251"/>
      <c r="E86" s="251"/>
      <c r="F86" s="251"/>
      <c r="G86" s="251"/>
      <c r="H86" s="251"/>
      <c r="I86" s="251"/>
      <c r="J86" s="93"/>
      <c r="K86" s="93"/>
      <c r="L86" s="251"/>
      <c r="M86" s="251"/>
      <c r="N86" s="251"/>
      <c r="O86" s="251"/>
      <c r="P86" s="251"/>
      <c r="Q86" s="251"/>
      <c r="R86" s="251"/>
      <c r="S86" s="251"/>
      <c r="T86" s="251"/>
      <c r="U86" s="103"/>
      <c r="V86" s="322"/>
    </row>
    <row r="87" spans="1:22" ht="18" customHeight="1">
      <c r="A87" s="277"/>
      <c r="B87" s="251"/>
      <c r="C87" s="251"/>
      <c r="D87" s="251"/>
      <c r="E87" s="251"/>
      <c r="F87" s="251"/>
      <c r="G87" s="251"/>
      <c r="H87" s="251"/>
      <c r="I87" s="251"/>
      <c r="J87" s="93"/>
      <c r="K87" s="93"/>
      <c r="L87" s="251"/>
      <c r="M87" s="251"/>
      <c r="N87" s="251"/>
      <c r="O87" s="251"/>
      <c r="P87" s="251"/>
      <c r="Q87" s="251"/>
      <c r="R87" s="251"/>
      <c r="S87" s="251"/>
      <c r="T87" s="251"/>
      <c r="U87" s="103"/>
      <c r="V87" s="322"/>
    </row>
    <row r="88" spans="1:22" ht="18" customHeight="1">
      <c r="A88" s="196"/>
      <c r="V88" s="197"/>
    </row>
    <row r="89" spans="1:22" s="14" customFormat="1" ht="18" customHeight="1">
      <c r="A89" s="206"/>
      <c r="B89" s="207"/>
      <c r="C89" s="207"/>
      <c r="D89" s="207"/>
      <c r="E89" s="207"/>
      <c r="F89" s="207"/>
      <c r="G89" s="207"/>
      <c r="H89" s="207"/>
      <c r="I89" s="207"/>
      <c r="J89" s="207"/>
      <c r="K89" s="207"/>
      <c r="L89" s="207"/>
      <c r="M89" s="207"/>
      <c r="N89" s="207"/>
      <c r="O89" s="207"/>
      <c r="P89" s="207"/>
      <c r="Q89" s="236"/>
      <c r="R89" s="194"/>
      <c r="S89" s="237"/>
      <c r="T89" s="207"/>
      <c r="U89" s="207"/>
      <c r="V89" s="140"/>
    </row>
  </sheetData>
  <mergeCells count="88">
    <mergeCell ref="M51:N54"/>
    <mergeCell ref="O51:P54"/>
    <mergeCell ref="Q51:R54"/>
    <mergeCell ref="S51:V54"/>
    <mergeCell ref="M56:N56"/>
    <mergeCell ref="O56:P56"/>
    <mergeCell ref="S56:V56"/>
    <mergeCell ref="M57:N57"/>
    <mergeCell ref="O57:P57"/>
    <mergeCell ref="S57:V57"/>
    <mergeCell ref="I55:J57"/>
    <mergeCell ref="K55:L55"/>
    <mergeCell ref="M55:N55"/>
    <mergeCell ref="O55:P55"/>
    <mergeCell ref="Q55:R57"/>
    <mergeCell ref="S55:V55"/>
    <mergeCell ref="K51:L54"/>
    <mergeCell ref="D56:E56"/>
    <mergeCell ref="K56:L56"/>
    <mergeCell ref="D57:E57"/>
    <mergeCell ref="K57:L57"/>
    <mergeCell ref="H55:H57"/>
    <mergeCell ref="A51:C54"/>
    <mergeCell ref="D51:F54"/>
    <mergeCell ref="G51:H54"/>
    <mergeCell ref="I51:J54"/>
    <mergeCell ref="A55:A57"/>
    <mergeCell ref="B55:C57"/>
    <mergeCell ref="D55:E55"/>
    <mergeCell ref="F55:F57"/>
    <mergeCell ref="G55:G57"/>
    <mergeCell ref="J36:K36"/>
    <mergeCell ref="J39:K39"/>
    <mergeCell ref="G42:H42"/>
    <mergeCell ref="J42:K42"/>
    <mergeCell ref="G45:H45"/>
    <mergeCell ref="J45:K45"/>
    <mergeCell ref="J35:K35"/>
    <mergeCell ref="M35:N35"/>
    <mergeCell ref="J21:K21"/>
    <mergeCell ref="J22:K22"/>
    <mergeCell ref="P22:Q22"/>
    <mergeCell ref="J23:K23"/>
    <mergeCell ref="P25:Q25"/>
    <mergeCell ref="P26:Q26"/>
    <mergeCell ref="P27:Q27"/>
    <mergeCell ref="P28:Q28"/>
    <mergeCell ref="P29:Q29"/>
    <mergeCell ref="P30:Q30"/>
    <mergeCell ref="J20:K20"/>
    <mergeCell ref="H10:I10"/>
    <mergeCell ref="J10:K10"/>
    <mergeCell ref="L10:M10"/>
    <mergeCell ref="S32:T32"/>
    <mergeCell ref="H12:I12"/>
    <mergeCell ref="H13:I13"/>
    <mergeCell ref="H14:I14"/>
    <mergeCell ref="J18:K18"/>
    <mergeCell ref="J19:K19"/>
    <mergeCell ref="O3:Q3"/>
    <mergeCell ref="R3:V3"/>
    <mergeCell ref="D7:E7"/>
    <mergeCell ref="T10:U10"/>
    <mergeCell ref="H11:I11"/>
    <mergeCell ref="T11:U11"/>
    <mergeCell ref="H7:M7"/>
    <mergeCell ref="T7:U7"/>
    <mergeCell ref="T8:U8"/>
    <mergeCell ref="H9:I9"/>
    <mergeCell ref="J9:K9"/>
    <mergeCell ref="L9:M9"/>
    <mergeCell ref="T9:U9"/>
    <mergeCell ref="B7:C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s>
  <conditionalFormatting sqref="I46:J47">
    <cfRule type="cellIs" dxfId="29" priority="2" stopIfTrue="1" operator="equal">
      <formula>"Not suitable"</formula>
    </cfRule>
  </conditionalFormatting>
  <conditionalFormatting sqref="S42 S45">
    <cfRule type="cellIs" dxfId="28" priority="1" stopIfTrue="1" operator="equal">
      <formula>"Not satisfied"</formula>
    </cfRule>
  </conditionalFormatting>
  <dataValidations count="3">
    <dataValidation type="list" allowBlank="1" showInputMessage="1" showErrorMessage="1" sqref="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65494 IZ65494 SV65494 ACR65494 AMN65494 AWJ65494 BGF65494 BQB65494 BZX65494 CJT65494 CTP65494 DDL65494 DNH65494 DXD65494 EGZ65494 EQV65494 FAR65494 FKN65494 FUJ65494 GEF65494 GOB65494 GXX65494 HHT65494 HRP65494 IBL65494 ILH65494 IVD65494 JEZ65494 JOV65494 JYR65494 KIN65494 KSJ65494 LCF65494 LMB65494 LVX65494 MFT65494 MPP65494 MZL65494 NJH65494 NTD65494 OCZ65494 OMV65494 OWR65494 PGN65494 PQJ65494 QAF65494 QKB65494 QTX65494 RDT65494 RNP65494 RXL65494 SHH65494 SRD65494 TAZ65494 TKV65494 TUR65494 UEN65494 UOJ65494 UYF65494 VIB65494 VRX65494 WBT65494 WLP65494 WVL65494 D131030 IZ131030 SV131030 ACR131030 AMN131030 AWJ131030 BGF131030 BQB131030 BZX131030 CJT131030 CTP131030 DDL131030 DNH131030 DXD131030 EGZ131030 EQV131030 FAR131030 FKN131030 FUJ131030 GEF131030 GOB131030 GXX131030 HHT131030 HRP131030 IBL131030 ILH131030 IVD131030 JEZ131030 JOV131030 JYR131030 KIN131030 KSJ131030 LCF131030 LMB131030 LVX131030 MFT131030 MPP131030 MZL131030 NJH131030 NTD131030 OCZ131030 OMV131030 OWR131030 PGN131030 PQJ131030 QAF131030 QKB131030 QTX131030 RDT131030 RNP131030 RXL131030 SHH131030 SRD131030 TAZ131030 TKV131030 TUR131030 UEN131030 UOJ131030 UYF131030 VIB131030 VRX131030 WBT131030 WLP131030 WVL131030 D196566 IZ196566 SV196566 ACR196566 AMN196566 AWJ196566 BGF196566 BQB196566 BZX196566 CJT196566 CTP196566 DDL196566 DNH196566 DXD196566 EGZ196566 EQV196566 FAR196566 FKN196566 FUJ196566 GEF196566 GOB196566 GXX196566 HHT196566 HRP196566 IBL196566 ILH196566 IVD196566 JEZ196566 JOV196566 JYR196566 KIN196566 KSJ196566 LCF196566 LMB196566 LVX196566 MFT196566 MPP196566 MZL196566 NJH196566 NTD196566 OCZ196566 OMV196566 OWR196566 PGN196566 PQJ196566 QAF196566 QKB196566 QTX196566 RDT196566 RNP196566 RXL196566 SHH196566 SRD196566 TAZ196566 TKV196566 TUR196566 UEN196566 UOJ196566 UYF196566 VIB196566 VRX196566 WBT196566 WLP196566 WVL196566 D262102 IZ262102 SV262102 ACR262102 AMN262102 AWJ262102 BGF262102 BQB262102 BZX262102 CJT262102 CTP262102 DDL262102 DNH262102 DXD262102 EGZ262102 EQV262102 FAR262102 FKN262102 FUJ262102 GEF262102 GOB262102 GXX262102 HHT262102 HRP262102 IBL262102 ILH262102 IVD262102 JEZ262102 JOV262102 JYR262102 KIN262102 KSJ262102 LCF262102 LMB262102 LVX262102 MFT262102 MPP262102 MZL262102 NJH262102 NTD262102 OCZ262102 OMV262102 OWR262102 PGN262102 PQJ262102 QAF262102 QKB262102 QTX262102 RDT262102 RNP262102 RXL262102 SHH262102 SRD262102 TAZ262102 TKV262102 TUR262102 UEN262102 UOJ262102 UYF262102 VIB262102 VRX262102 WBT262102 WLP262102 WVL262102 D327638 IZ327638 SV327638 ACR327638 AMN327638 AWJ327638 BGF327638 BQB327638 BZX327638 CJT327638 CTP327638 DDL327638 DNH327638 DXD327638 EGZ327638 EQV327638 FAR327638 FKN327638 FUJ327638 GEF327638 GOB327638 GXX327638 HHT327638 HRP327638 IBL327638 ILH327638 IVD327638 JEZ327638 JOV327638 JYR327638 KIN327638 KSJ327638 LCF327638 LMB327638 LVX327638 MFT327638 MPP327638 MZL327638 NJH327638 NTD327638 OCZ327638 OMV327638 OWR327638 PGN327638 PQJ327638 QAF327638 QKB327638 QTX327638 RDT327638 RNP327638 RXL327638 SHH327638 SRD327638 TAZ327638 TKV327638 TUR327638 UEN327638 UOJ327638 UYF327638 VIB327638 VRX327638 WBT327638 WLP327638 WVL327638 D393174 IZ393174 SV393174 ACR393174 AMN393174 AWJ393174 BGF393174 BQB393174 BZX393174 CJT393174 CTP393174 DDL393174 DNH393174 DXD393174 EGZ393174 EQV393174 FAR393174 FKN393174 FUJ393174 GEF393174 GOB393174 GXX393174 HHT393174 HRP393174 IBL393174 ILH393174 IVD393174 JEZ393174 JOV393174 JYR393174 KIN393174 KSJ393174 LCF393174 LMB393174 LVX393174 MFT393174 MPP393174 MZL393174 NJH393174 NTD393174 OCZ393174 OMV393174 OWR393174 PGN393174 PQJ393174 QAF393174 QKB393174 QTX393174 RDT393174 RNP393174 RXL393174 SHH393174 SRD393174 TAZ393174 TKV393174 TUR393174 UEN393174 UOJ393174 UYF393174 VIB393174 VRX393174 WBT393174 WLP393174 WVL393174 D458710 IZ458710 SV458710 ACR458710 AMN458710 AWJ458710 BGF458710 BQB458710 BZX458710 CJT458710 CTP458710 DDL458710 DNH458710 DXD458710 EGZ458710 EQV458710 FAR458710 FKN458710 FUJ458710 GEF458710 GOB458710 GXX458710 HHT458710 HRP458710 IBL458710 ILH458710 IVD458710 JEZ458710 JOV458710 JYR458710 KIN458710 KSJ458710 LCF458710 LMB458710 LVX458710 MFT458710 MPP458710 MZL458710 NJH458710 NTD458710 OCZ458710 OMV458710 OWR458710 PGN458710 PQJ458710 QAF458710 QKB458710 QTX458710 RDT458710 RNP458710 RXL458710 SHH458710 SRD458710 TAZ458710 TKV458710 TUR458710 UEN458710 UOJ458710 UYF458710 VIB458710 VRX458710 WBT458710 WLP458710 WVL458710 D524246 IZ524246 SV524246 ACR524246 AMN524246 AWJ524246 BGF524246 BQB524246 BZX524246 CJT524246 CTP524246 DDL524246 DNH524246 DXD524246 EGZ524246 EQV524246 FAR524246 FKN524246 FUJ524246 GEF524246 GOB524246 GXX524246 HHT524246 HRP524246 IBL524246 ILH524246 IVD524246 JEZ524246 JOV524246 JYR524246 KIN524246 KSJ524246 LCF524246 LMB524246 LVX524246 MFT524246 MPP524246 MZL524246 NJH524246 NTD524246 OCZ524246 OMV524246 OWR524246 PGN524246 PQJ524246 QAF524246 QKB524246 QTX524246 RDT524246 RNP524246 RXL524246 SHH524246 SRD524246 TAZ524246 TKV524246 TUR524246 UEN524246 UOJ524246 UYF524246 VIB524246 VRX524246 WBT524246 WLP524246 WVL524246 D589782 IZ589782 SV589782 ACR589782 AMN589782 AWJ589782 BGF589782 BQB589782 BZX589782 CJT589782 CTP589782 DDL589782 DNH589782 DXD589782 EGZ589782 EQV589782 FAR589782 FKN589782 FUJ589782 GEF589782 GOB589782 GXX589782 HHT589782 HRP589782 IBL589782 ILH589782 IVD589782 JEZ589782 JOV589782 JYR589782 KIN589782 KSJ589782 LCF589782 LMB589782 LVX589782 MFT589782 MPP589782 MZL589782 NJH589782 NTD589782 OCZ589782 OMV589782 OWR589782 PGN589782 PQJ589782 QAF589782 QKB589782 QTX589782 RDT589782 RNP589782 RXL589782 SHH589782 SRD589782 TAZ589782 TKV589782 TUR589782 UEN589782 UOJ589782 UYF589782 VIB589782 VRX589782 WBT589782 WLP589782 WVL589782 D655318 IZ655318 SV655318 ACR655318 AMN655318 AWJ655318 BGF655318 BQB655318 BZX655318 CJT655318 CTP655318 DDL655318 DNH655318 DXD655318 EGZ655318 EQV655318 FAR655318 FKN655318 FUJ655318 GEF655318 GOB655318 GXX655318 HHT655318 HRP655318 IBL655318 ILH655318 IVD655318 JEZ655318 JOV655318 JYR655318 KIN655318 KSJ655318 LCF655318 LMB655318 LVX655318 MFT655318 MPP655318 MZL655318 NJH655318 NTD655318 OCZ655318 OMV655318 OWR655318 PGN655318 PQJ655318 QAF655318 QKB655318 QTX655318 RDT655318 RNP655318 RXL655318 SHH655318 SRD655318 TAZ655318 TKV655318 TUR655318 UEN655318 UOJ655318 UYF655318 VIB655318 VRX655318 WBT655318 WLP655318 WVL655318 D720854 IZ720854 SV720854 ACR720854 AMN720854 AWJ720854 BGF720854 BQB720854 BZX720854 CJT720854 CTP720854 DDL720854 DNH720854 DXD720854 EGZ720854 EQV720854 FAR720854 FKN720854 FUJ720854 GEF720854 GOB720854 GXX720854 HHT720854 HRP720854 IBL720854 ILH720854 IVD720854 JEZ720854 JOV720854 JYR720854 KIN720854 KSJ720854 LCF720854 LMB720854 LVX720854 MFT720854 MPP720854 MZL720854 NJH720854 NTD720854 OCZ720854 OMV720854 OWR720854 PGN720854 PQJ720854 QAF720854 QKB720854 QTX720854 RDT720854 RNP720854 RXL720854 SHH720854 SRD720854 TAZ720854 TKV720854 TUR720854 UEN720854 UOJ720854 UYF720854 VIB720854 VRX720854 WBT720854 WLP720854 WVL720854 D786390 IZ786390 SV786390 ACR786390 AMN786390 AWJ786390 BGF786390 BQB786390 BZX786390 CJT786390 CTP786390 DDL786390 DNH786390 DXD786390 EGZ786390 EQV786390 FAR786390 FKN786390 FUJ786390 GEF786390 GOB786390 GXX786390 HHT786390 HRP786390 IBL786390 ILH786390 IVD786390 JEZ786390 JOV786390 JYR786390 KIN786390 KSJ786390 LCF786390 LMB786390 LVX786390 MFT786390 MPP786390 MZL786390 NJH786390 NTD786390 OCZ786390 OMV786390 OWR786390 PGN786390 PQJ786390 QAF786390 QKB786390 QTX786390 RDT786390 RNP786390 RXL786390 SHH786390 SRD786390 TAZ786390 TKV786390 TUR786390 UEN786390 UOJ786390 UYF786390 VIB786390 VRX786390 WBT786390 WLP786390 WVL786390 D851926 IZ851926 SV851926 ACR851926 AMN851926 AWJ851926 BGF851926 BQB851926 BZX851926 CJT851926 CTP851926 DDL851926 DNH851926 DXD851926 EGZ851926 EQV851926 FAR851926 FKN851926 FUJ851926 GEF851926 GOB851926 GXX851926 HHT851926 HRP851926 IBL851926 ILH851926 IVD851926 JEZ851926 JOV851926 JYR851926 KIN851926 KSJ851926 LCF851926 LMB851926 LVX851926 MFT851926 MPP851926 MZL851926 NJH851926 NTD851926 OCZ851926 OMV851926 OWR851926 PGN851926 PQJ851926 QAF851926 QKB851926 QTX851926 RDT851926 RNP851926 RXL851926 SHH851926 SRD851926 TAZ851926 TKV851926 TUR851926 UEN851926 UOJ851926 UYF851926 VIB851926 VRX851926 WBT851926 WLP851926 WVL851926 D917462 IZ917462 SV917462 ACR917462 AMN917462 AWJ917462 BGF917462 BQB917462 BZX917462 CJT917462 CTP917462 DDL917462 DNH917462 DXD917462 EGZ917462 EQV917462 FAR917462 FKN917462 FUJ917462 GEF917462 GOB917462 GXX917462 HHT917462 HRP917462 IBL917462 ILH917462 IVD917462 JEZ917462 JOV917462 JYR917462 KIN917462 KSJ917462 LCF917462 LMB917462 LVX917462 MFT917462 MPP917462 MZL917462 NJH917462 NTD917462 OCZ917462 OMV917462 OWR917462 PGN917462 PQJ917462 QAF917462 QKB917462 QTX917462 RDT917462 RNP917462 RXL917462 SHH917462 SRD917462 TAZ917462 TKV917462 TUR917462 UEN917462 UOJ917462 UYF917462 VIB917462 VRX917462 WBT917462 WLP917462 WVL917462 D982998 IZ982998 SV982998 ACR982998 AMN982998 AWJ982998 BGF982998 BQB982998 BZX982998 CJT982998 CTP982998 DDL982998 DNH982998 DXD982998 EGZ982998 EQV982998 FAR982998 FKN982998 FUJ982998 GEF982998 GOB982998 GXX982998 HHT982998 HRP982998 IBL982998 ILH982998 IVD982998 JEZ982998 JOV982998 JYR982998 KIN982998 KSJ982998 LCF982998 LMB982998 LVX982998 MFT982998 MPP982998 MZL982998 NJH982998 NTD982998 OCZ982998 OMV982998 OWR982998 PGN982998 PQJ982998 QAF982998 QKB982998 QTX982998 RDT982998 RNP982998 RXL982998 SHH982998 SRD982998 TAZ982998 TKV982998 TUR982998 UEN982998 UOJ982998 UYF982998 VIB982998 VRX982998 WBT982998 WLP982998 WVL982998" xr:uid="{AB5F4867-A925-49D0-8066-FBFFBEA5A931}">
      <formula1>"Core1,Core2,Core3"</formula1>
    </dataValidation>
    <dataValidation type="list" allowBlank="1" showInputMessage="1" showErrorMessage="1" sqref="WVL982954:WVM982955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450:E65451 IZ65450:JA65451 SV65450:SW65451 ACR65450:ACS65451 AMN65450:AMO65451 AWJ65450:AWK65451 BGF65450:BGG65451 BQB65450:BQC65451 BZX65450:BZY65451 CJT65450:CJU65451 CTP65450:CTQ65451 DDL65450:DDM65451 DNH65450:DNI65451 DXD65450:DXE65451 EGZ65450:EHA65451 EQV65450:EQW65451 FAR65450:FAS65451 FKN65450:FKO65451 FUJ65450:FUK65451 GEF65450:GEG65451 GOB65450:GOC65451 GXX65450:GXY65451 HHT65450:HHU65451 HRP65450:HRQ65451 IBL65450:IBM65451 ILH65450:ILI65451 IVD65450:IVE65451 JEZ65450:JFA65451 JOV65450:JOW65451 JYR65450:JYS65451 KIN65450:KIO65451 KSJ65450:KSK65451 LCF65450:LCG65451 LMB65450:LMC65451 LVX65450:LVY65451 MFT65450:MFU65451 MPP65450:MPQ65451 MZL65450:MZM65451 NJH65450:NJI65451 NTD65450:NTE65451 OCZ65450:ODA65451 OMV65450:OMW65451 OWR65450:OWS65451 PGN65450:PGO65451 PQJ65450:PQK65451 QAF65450:QAG65451 QKB65450:QKC65451 QTX65450:QTY65451 RDT65450:RDU65451 RNP65450:RNQ65451 RXL65450:RXM65451 SHH65450:SHI65451 SRD65450:SRE65451 TAZ65450:TBA65451 TKV65450:TKW65451 TUR65450:TUS65451 UEN65450:UEO65451 UOJ65450:UOK65451 UYF65450:UYG65451 VIB65450:VIC65451 VRX65450:VRY65451 WBT65450:WBU65451 WLP65450:WLQ65451 WVL65450:WVM65451 D130986:E130987 IZ130986:JA130987 SV130986:SW130987 ACR130986:ACS130987 AMN130986:AMO130987 AWJ130986:AWK130987 BGF130986:BGG130987 BQB130986:BQC130987 BZX130986:BZY130987 CJT130986:CJU130987 CTP130986:CTQ130987 DDL130986:DDM130987 DNH130986:DNI130987 DXD130986:DXE130987 EGZ130986:EHA130987 EQV130986:EQW130987 FAR130986:FAS130987 FKN130986:FKO130987 FUJ130986:FUK130987 GEF130986:GEG130987 GOB130986:GOC130987 GXX130986:GXY130987 HHT130986:HHU130987 HRP130986:HRQ130987 IBL130986:IBM130987 ILH130986:ILI130987 IVD130986:IVE130987 JEZ130986:JFA130987 JOV130986:JOW130987 JYR130986:JYS130987 KIN130986:KIO130987 KSJ130986:KSK130987 LCF130986:LCG130987 LMB130986:LMC130987 LVX130986:LVY130987 MFT130986:MFU130987 MPP130986:MPQ130987 MZL130986:MZM130987 NJH130986:NJI130987 NTD130986:NTE130987 OCZ130986:ODA130987 OMV130986:OMW130987 OWR130986:OWS130987 PGN130986:PGO130987 PQJ130986:PQK130987 QAF130986:QAG130987 QKB130986:QKC130987 QTX130986:QTY130987 RDT130986:RDU130987 RNP130986:RNQ130987 RXL130986:RXM130987 SHH130986:SHI130987 SRD130986:SRE130987 TAZ130986:TBA130987 TKV130986:TKW130987 TUR130986:TUS130987 UEN130986:UEO130987 UOJ130986:UOK130987 UYF130986:UYG130987 VIB130986:VIC130987 VRX130986:VRY130987 WBT130986:WBU130987 WLP130986:WLQ130987 WVL130986:WVM130987 D196522:E196523 IZ196522:JA196523 SV196522:SW196523 ACR196522:ACS196523 AMN196522:AMO196523 AWJ196522:AWK196523 BGF196522:BGG196523 BQB196522:BQC196523 BZX196522:BZY196523 CJT196522:CJU196523 CTP196522:CTQ196523 DDL196522:DDM196523 DNH196522:DNI196523 DXD196522:DXE196523 EGZ196522:EHA196523 EQV196522:EQW196523 FAR196522:FAS196523 FKN196522:FKO196523 FUJ196522:FUK196523 GEF196522:GEG196523 GOB196522:GOC196523 GXX196522:GXY196523 HHT196522:HHU196523 HRP196522:HRQ196523 IBL196522:IBM196523 ILH196522:ILI196523 IVD196522:IVE196523 JEZ196522:JFA196523 JOV196522:JOW196523 JYR196522:JYS196523 KIN196522:KIO196523 KSJ196522:KSK196523 LCF196522:LCG196523 LMB196522:LMC196523 LVX196522:LVY196523 MFT196522:MFU196523 MPP196522:MPQ196523 MZL196522:MZM196523 NJH196522:NJI196523 NTD196522:NTE196523 OCZ196522:ODA196523 OMV196522:OMW196523 OWR196522:OWS196523 PGN196522:PGO196523 PQJ196522:PQK196523 QAF196522:QAG196523 QKB196522:QKC196523 QTX196522:QTY196523 RDT196522:RDU196523 RNP196522:RNQ196523 RXL196522:RXM196523 SHH196522:SHI196523 SRD196522:SRE196523 TAZ196522:TBA196523 TKV196522:TKW196523 TUR196522:TUS196523 UEN196522:UEO196523 UOJ196522:UOK196523 UYF196522:UYG196523 VIB196522:VIC196523 VRX196522:VRY196523 WBT196522:WBU196523 WLP196522:WLQ196523 WVL196522:WVM196523 D262058:E262059 IZ262058:JA262059 SV262058:SW262059 ACR262058:ACS262059 AMN262058:AMO262059 AWJ262058:AWK262059 BGF262058:BGG262059 BQB262058:BQC262059 BZX262058:BZY262059 CJT262058:CJU262059 CTP262058:CTQ262059 DDL262058:DDM262059 DNH262058:DNI262059 DXD262058:DXE262059 EGZ262058:EHA262059 EQV262058:EQW262059 FAR262058:FAS262059 FKN262058:FKO262059 FUJ262058:FUK262059 GEF262058:GEG262059 GOB262058:GOC262059 GXX262058:GXY262059 HHT262058:HHU262059 HRP262058:HRQ262059 IBL262058:IBM262059 ILH262058:ILI262059 IVD262058:IVE262059 JEZ262058:JFA262059 JOV262058:JOW262059 JYR262058:JYS262059 KIN262058:KIO262059 KSJ262058:KSK262059 LCF262058:LCG262059 LMB262058:LMC262059 LVX262058:LVY262059 MFT262058:MFU262059 MPP262058:MPQ262059 MZL262058:MZM262059 NJH262058:NJI262059 NTD262058:NTE262059 OCZ262058:ODA262059 OMV262058:OMW262059 OWR262058:OWS262059 PGN262058:PGO262059 PQJ262058:PQK262059 QAF262058:QAG262059 QKB262058:QKC262059 QTX262058:QTY262059 RDT262058:RDU262059 RNP262058:RNQ262059 RXL262058:RXM262059 SHH262058:SHI262059 SRD262058:SRE262059 TAZ262058:TBA262059 TKV262058:TKW262059 TUR262058:TUS262059 UEN262058:UEO262059 UOJ262058:UOK262059 UYF262058:UYG262059 VIB262058:VIC262059 VRX262058:VRY262059 WBT262058:WBU262059 WLP262058:WLQ262059 WVL262058:WVM262059 D327594:E327595 IZ327594:JA327595 SV327594:SW327595 ACR327594:ACS327595 AMN327594:AMO327595 AWJ327594:AWK327595 BGF327594:BGG327595 BQB327594:BQC327595 BZX327594:BZY327595 CJT327594:CJU327595 CTP327594:CTQ327595 DDL327594:DDM327595 DNH327594:DNI327595 DXD327594:DXE327595 EGZ327594:EHA327595 EQV327594:EQW327595 FAR327594:FAS327595 FKN327594:FKO327595 FUJ327594:FUK327595 GEF327594:GEG327595 GOB327594:GOC327595 GXX327594:GXY327595 HHT327594:HHU327595 HRP327594:HRQ327595 IBL327594:IBM327595 ILH327594:ILI327595 IVD327594:IVE327595 JEZ327594:JFA327595 JOV327594:JOW327595 JYR327594:JYS327595 KIN327594:KIO327595 KSJ327594:KSK327595 LCF327594:LCG327595 LMB327594:LMC327595 LVX327594:LVY327595 MFT327594:MFU327595 MPP327594:MPQ327595 MZL327594:MZM327595 NJH327594:NJI327595 NTD327594:NTE327595 OCZ327594:ODA327595 OMV327594:OMW327595 OWR327594:OWS327595 PGN327594:PGO327595 PQJ327594:PQK327595 QAF327594:QAG327595 QKB327594:QKC327595 QTX327594:QTY327595 RDT327594:RDU327595 RNP327594:RNQ327595 RXL327594:RXM327595 SHH327594:SHI327595 SRD327594:SRE327595 TAZ327594:TBA327595 TKV327594:TKW327595 TUR327594:TUS327595 UEN327594:UEO327595 UOJ327594:UOK327595 UYF327594:UYG327595 VIB327594:VIC327595 VRX327594:VRY327595 WBT327594:WBU327595 WLP327594:WLQ327595 WVL327594:WVM327595 D393130:E393131 IZ393130:JA393131 SV393130:SW393131 ACR393130:ACS393131 AMN393130:AMO393131 AWJ393130:AWK393131 BGF393130:BGG393131 BQB393130:BQC393131 BZX393130:BZY393131 CJT393130:CJU393131 CTP393130:CTQ393131 DDL393130:DDM393131 DNH393130:DNI393131 DXD393130:DXE393131 EGZ393130:EHA393131 EQV393130:EQW393131 FAR393130:FAS393131 FKN393130:FKO393131 FUJ393130:FUK393131 GEF393130:GEG393131 GOB393130:GOC393131 GXX393130:GXY393131 HHT393130:HHU393131 HRP393130:HRQ393131 IBL393130:IBM393131 ILH393130:ILI393131 IVD393130:IVE393131 JEZ393130:JFA393131 JOV393130:JOW393131 JYR393130:JYS393131 KIN393130:KIO393131 KSJ393130:KSK393131 LCF393130:LCG393131 LMB393130:LMC393131 LVX393130:LVY393131 MFT393130:MFU393131 MPP393130:MPQ393131 MZL393130:MZM393131 NJH393130:NJI393131 NTD393130:NTE393131 OCZ393130:ODA393131 OMV393130:OMW393131 OWR393130:OWS393131 PGN393130:PGO393131 PQJ393130:PQK393131 QAF393130:QAG393131 QKB393130:QKC393131 QTX393130:QTY393131 RDT393130:RDU393131 RNP393130:RNQ393131 RXL393130:RXM393131 SHH393130:SHI393131 SRD393130:SRE393131 TAZ393130:TBA393131 TKV393130:TKW393131 TUR393130:TUS393131 UEN393130:UEO393131 UOJ393130:UOK393131 UYF393130:UYG393131 VIB393130:VIC393131 VRX393130:VRY393131 WBT393130:WBU393131 WLP393130:WLQ393131 WVL393130:WVM393131 D458666:E458667 IZ458666:JA458667 SV458666:SW458667 ACR458666:ACS458667 AMN458666:AMO458667 AWJ458666:AWK458667 BGF458666:BGG458667 BQB458666:BQC458667 BZX458666:BZY458667 CJT458666:CJU458667 CTP458666:CTQ458667 DDL458666:DDM458667 DNH458666:DNI458667 DXD458666:DXE458667 EGZ458666:EHA458667 EQV458666:EQW458667 FAR458666:FAS458667 FKN458666:FKO458667 FUJ458666:FUK458667 GEF458666:GEG458667 GOB458666:GOC458667 GXX458666:GXY458667 HHT458666:HHU458667 HRP458666:HRQ458667 IBL458666:IBM458667 ILH458666:ILI458667 IVD458666:IVE458667 JEZ458666:JFA458667 JOV458666:JOW458667 JYR458666:JYS458667 KIN458666:KIO458667 KSJ458666:KSK458667 LCF458666:LCG458667 LMB458666:LMC458667 LVX458666:LVY458667 MFT458666:MFU458667 MPP458666:MPQ458667 MZL458666:MZM458667 NJH458666:NJI458667 NTD458666:NTE458667 OCZ458666:ODA458667 OMV458666:OMW458667 OWR458666:OWS458667 PGN458666:PGO458667 PQJ458666:PQK458667 QAF458666:QAG458667 QKB458666:QKC458667 QTX458666:QTY458667 RDT458666:RDU458667 RNP458666:RNQ458667 RXL458666:RXM458667 SHH458666:SHI458667 SRD458666:SRE458667 TAZ458666:TBA458667 TKV458666:TKW458667 TUR458666:TUS458667 UEN458666:UEO458667 UOJ458666:UOK458667 UYF458666:UYG458667 VIB458666:VIC458667 VRX458666:VRY458667 WBT458666:WBU458667 WLP458666:WLQ458667 WVL458666:WVM458667 D524202:E524203 IZ524202:JA524203 SV524202:SW524203 ACR524202:ACS524203 AMN524202:AMO524203 AWJ524202:AWK524203 BGF524202:BGG524203 BQB524202:BQC524203 BZX524202:BZY524203 CJT524202:CJU524203 CTP524202:CTQ524203 DDL524202:DDM524203 DNH524202:DNI524203 DXD524202:DXE524203 EGZ524202:EHA524203 EQV524202:EQW524203 FAR524202:FAS524203 FKN524202:FKO524203 FUJ524202:FUK524203 GEF524202:GEG524203 GOB524202:GOC524203 GXX524202:GXY524203 HHT524202:HHU524203 HRP524202:HRQ524203 IBL524202:IBM524203 ILH524202:ILI524203 IVD524202:IVE524203 JEZ524202:JFA524203 JOV524202:JOW524203 JYR524202:JYS524203 KIN524202:KIO524203 KSJ524202:KSK524203 LCF524202:LCG524203 LMB524202:LMC524203 LVX524202:LVY524203 MFT524202:MFU524203 MPP524202:MPQ524203 MZL524202:MZM524203 NJH524202:NJI524203 NTD524202:NTE524203 OCZ524202:ODA524203 OMV524202:OMW524203 OWR524202:OWS524203 PGN524202:PGO524203 PQJ524202:PQK524203 QAF524202:QAG524203 QKB524202:QKC524203 QTX524202:QTY524203 RDT524202:RDU524203 RNP524202:RNQ524203 RXL524202:RXM524203 SHH524202:SHI524203 SRD524202:SRE524203 TAZ524202:TBA524203 TKV524202:TKW524203 TUR524202:TUS524203 UEN524202:UEO524203 UOJ524202:UOK524203 UYF524202:UYG524203 VIB524202:VIC524203 VRX524202:VRY524203 WBT524202:WBU524203 WLP524202:WLQ524203 WVL524202:WVM524203 D589738:E589739 IZ589738:JA589739 SV589738:SW589739 ACR589738:ACS589739 AMN589738:AMO589739 AWJ589738:AWK589739 BGF589738:BGG589739 BQB589738:BQC589739 BZX589738:BZY589739 CJT589738:CJU589739 CTP589738:CTQ589739 DDL589738:DDM589739 DNH589738:DNI589739 DXD589738:DXE589739 EGZ589738:EHA589739 EQV589738:EQW589739 FAR589738:FAS589739 FKN589738:FKO589739 FUJ589738:FUK589739 GEF589738:GEG589739 GOB589738:GOC589739 GXX589738:GXY589739 HHT589738:HHU589739 HRP589738:HRQ589739 IBL589738:IBM589739 ILH589738:ILI589739 IVD589738:IVE589739 JEZ589738:JFA589739 JOV589738:JOW589739 JYR589738:JYS589739 KIN589738:KIO589739 KSJ589738:KSK589739 LCF589738:LCG589739 LMB589738:LMC589739 LVX589738:LVY589739 MFT589738:MFU589739 MPP589738:MPQ589739 MZL589738:MZM589739 NJH589738:NJI589739 NTD589738:NTE589739 OCZ589738:ODA589739 OMV589738:OMW589739 OWR589738:OWS589739 PGN589738:PGO589739 PQJ589738:PQK589739 QAF589738:QAG589739 QKB589738:QKC589739 QTX589738:QTY589739 RDT589738:RDU589739 RNP589738:RNQ589739 RXL589738:RXM589739 SHH589738:SHI589739 SRD589738:SRE589739 TAZ589738:TBA589739 TKV589738:TKW589739 TUR589738:TUS589739 UEN589738:UEO589739 UOJ589738:UOK589739 UYF589738:UYG589739 VIB589738:VIC589739 VRX589738:VRY589739 WBT589738:WBU589739 WLP589738:WLQ589739 WVL589738:WVM589739 D655274:E655275 IZ655274:JA655275 SV655274:SW655275 ACR655274:ACS655275 AMN655274:AMO655275 AWJ655274:AWK655275 BGF655274:BGG655275 BQB655274:BQC655275 BZX655274:BZY655275 CJT655274:CJU655275 CTP655274:CTQ655275 DDL655274:DDM655275 DNH655274:DNI655275 DXD655274:DXE655275 EGZ655274:EHA655275 EQV655274:EQW655275 FAR655274:FAS655275 FKN655274:FKO655275 FUJ655274:FUK655275 GEF655274:GEG655275 GOB655274:GOC655275 GXX655274:GXY655275 HHT655274:HHU655275 HRP655274:HRQ655275 IBL655274:IBM655275 ILH655274:ILI655275 IVD655274:IVE655275 JEZ655274:JFA655275 JOV655274:JOW655275 JYR655274:JYS655275 KIN655274:KIO655275 KSJ655274:KSK655275 LCF655274:LCG655275 LMB655274:LMC655275 LVX655274:LVY655275 MFT655274:MFU655275 MPP655274:MPQ655275 MZL655274:MZM655275 NJH655274:NJI655275 NTD655274:NTE655275 OCZ655274:ODA655275 OMV655274:OMW655275 OWR655274:OWS655275 PGN655274:PGO655275 PQJ655274:PQK655275 QAF655274:QAG655275 QKB655274:QKC655275 QTX655274:QTY655275 RDT655274:RDU655275 RNP655274:RNQ655275 RXL655274:RXM655275 SHH655274:SHI655275 SRD655274:SRE655275 TAZ655274:TBA655275 TKV655274:TKW655275 TUR655274:TUS655275 UEN655274:UEO655275 UOJ655274:UOK655275 UYF655274:UYG655275 VIB655274:VIC655275 VRX655274:VRY655275 WBT655274:WBU655275 WLP655274:WLQ655275 WVL655274:WVM655275 D720810:E720811 IZ720810:JA720811 SV720810:SW720811 ACR720810:ACS720811 AMN720810:AMO720811 AWJ720810:AWK720811 BGF720810:BGG720811 BQB720810:BQC720811 BZX720810:BZY720811 CJT720810:CJU720811 CTP720810:CTQ720811 DDL720810:DDM720811 DNH720810:DNI720811 DXD720810:DXE720811 EGZ720810:EHA720811 EQV720810:EQW720811 FAR720810:FAS720811 FKN720810:FKO720811 FUJ720810:FUK720811 GEF720810:GEG720811 GOB720810:GOC720811 GXX720810:GXY720811 HHT720810:HHU720811 HRP720810:HRQ720811 IBL720810:IBM720811 ILH720810:ILI720811 IVD720810:IVE720811 JEZ720810:JFA720811 JOV720810:JOW720811 JYR720810:JYS720811 KIN720810:KIO720811 KSJ720810:KSK720811 LCF720810:LCG720811 LMB720810:LMC720811 LVX720810:LVY720811 MFT720810:MFU720811 MPP720810:MPQ720811 MZL720810:MZM720811 NJH720810:NJI720811 NTD720810:NTE720811 OCZ720810:ODA720811 OMV720810:OMW720811 OWR720810:OWS720811 PGN720810:PGO720811 PQJ720810:PQK720811 QAF720810:QAG720811 QKB720810:QKC720811 QTX720810:QTY720811 RDT720810:RDU720811 RNP720810:RNQ720811 RXL720810:RXM720811 SHH720810:SHI720811 SRD720810:SRE720811 TAZ720810:TBA720811 TKV720810:TKW720811 TUR720810:TUS720811 UEN720810:UEO720811 UOJ720810:UOK720811 UYF720810:UYG720811 VIB720810:VIC720811 VRX720810:VRY720811 WBT720810:WBU720811 WLP720810:WLQ720811 WVL720810:WVM720811 D786346:E786347 IZ786346:JA786347 SV786346:SW786347 ACR786346:ACS786347 AMN786346:AMO786347 AWJ786346:AWK786347 BGF786346:BGG786347 BQB786346:BQC786347 BZX786346:BZY786347 CJT786346:CJU786347 CTP786346:CTQ786347 DDL786346:DDM786347 DNH786346:DNI786347 DXD786346:DXE786347 EGZ786346:EHA786347 EQV786346:EQW786347 FAR786346:FAS786347 FKN786346:FKO786347 FUJ786346:FUK786347 GEF786346:GEG786347 GOB786346:GOC786347 GXX786346:GXY786347 HHT786346:HHU786347 HRP786346:HRQ786347 IBL786346:IBM786347 ILH786346:ILI786347 IVD786346:IVE786347 JEZ786346:JFA786347 JOV786346:JOW786347 JYR786346:JYS786347 KIN786346:KIO786347 KSJ786346:KSK786347 LCF786346:LCG786347 LMB786346:LMC786347 LVX786346:LVY786347 MFT786346:MFU786347 MPP786346:MPQ786347 MZL786346:MZM786347 NJH786346:NJI786347 NTD786346:NTE786347 OCZ786346:ODA786347 OMV786346:OMW786347 OWR786346:OWS786347 PGN786346:PGO786347 PQJ786346:PQK786347 QAF786346:QAG786347 QKB786346:QKC786347 QTX786346:QTY786347 RDT786346:RDU786347 RNP786346:RNQ786347 RXL786346:RXM786347 SHH786346:SHI786347 SRD786346:SRE786347 TAZ786346:TBA786347 TKV786346:TKW786347 TUR786346:TUS786347 UEN786346:UEO786347 UOJ786346:UOK786347 UYF786346:UYG786347 VIB786346:VIC786347 VRX786346:VRY786347 WBT786346:WBU786347 WLP786346:WLQ786347 WVL786346:WVM786347 D851882:E851883 IZ851882:JA851883 SV851882:SW851883 ACR851882:ACS851883 AMN851882:AMO851883 AWJ851882:AWK851883 BGF851882:BGG851883 BQB851882:BQC851883 BZX851882:BZY851883 CJT851882:CJU851883 CTP851882:CTQ851883 DDL851882:DDM851883 DNH851882:DNI851883 DXD851882:DXE851883 EGZ851882:EHA851883 EQV851882:EQW851883 FAR851882:FAS851883 FKN851882:FKO851883 FUJ851882:FUK851883 GEF851882:GEG851883 GOB851882:GOC851883 GXX851882:GXY851883 HHT851882:HHU851883 HRP851882:HRQ851883 IBL851882:IBM851883 ILH851882:ILI851883 IVD851882:IVE851883 JEZ851882:JFA851883 JOV851882:JOW851883 JYR851882:JYS851883 KIN851882:KIO851883 KSJ851882:KSK851883 LCF851882:LCG851883 LMB851882:LMC851883 LVX851882:LVY851883 MFT851882:MFU851883 MPP851882:MPQ851883 MZL851882:MZM851883 NJH851882:NJI851883 NTD851882:NTE851883 OCZ851882:ODA851883 OMV851882:OMW851883 OWR851882:OWS851883 PGN851882:PGO851883 PQJ851882:PQK851883 QAF851882:QAG851883 QKB851882:QKC851883 QTX851882:QTY851883 RDT851882:RDU851883 RNP851882:RNQ851883 RXL851882:RXM851883 SHH851882:SHI851883 SRD851882:SRE851883 TAZ851882:TBA851883 TKV851882:TKW851883 TUR851882:TUS851883 UEN851882:UEO851883 UOJ851882:UOK851883 UYF851882:UYG851883 VIB851882:VIC851883 VRX851882:VRY851883 WBT851882:WBU851883 WLP851882:WLQ851883 WVL851882:WVM851883 D917418:E917419 IZ917418:JA917419 SV917418:SW917419 ACR917418:ACS917419 AMN917418:AMO917419 AWJ917418:AWK917419 BGF917418:BGG917419 BQB917418:BQC917419 BZX917418:BZY917419 CJT917418:CJU917419 CTP917418:CTQ917419 DDL917418:DDM917419 DNH917418:DNI917419 DXD917418:DXE917419 EGZ917418:EHA917419 EQV917418:EQW917419 FAR917418:FAS917419 FKN917418:FKO917419 FUJ917418:FUK917419 GEF917418:GEG917419 GOB917418:GOC917419 GXX917418:GXY917419 HHT917418:HHU917419 HRP917418:HRQ917419 IBL917418:IBM917419 ILH917418:ILI917419 IVD917418:IVE917419 JEZ917418:JFA917419 JOV917418:JOW917419 JYR917418:JYS917419 KIN917418:KIO917419 KSJ917418:KSK917419 LCF917418:LCG917419 LMB917418:LMC917419 LVX917418:LVY917419 MFT917418:MFU917419 MPP917418:MPQ917419 MZL917418:MZM917419 NJH917418:NJI917419 NTD917418:NTE917419 OCZ917418:ODA917419 OMV917418:OMW917419 OWR917418:OWS917419 PGN917418:PGO917419 PQJ917418:PQK917419 QAF917418:QAG917419 QKB917418:QKC917419 QTX917418:QTY917419 RDT917418:RDU917419 RNP917418:RNQ917419 RXL917418:RXM917419 SHH917418:SHI917419 SRD917418:SRE917419 TAZ917418:TBA917419 TKV917418:TKW917419 TUR917418:TUS917419 UEN917418:UEO917419 UOJ917418:UOK917419 UYF917418:UYG917419 VIB917418:VIC917419 VRX917418:VRY917419 WBT917418:WBU917419 WLP917418:WLQ917419 WVL917418:WVM917419 D982954:E982955 IZ982954:JA982955 SV982954:SW982955 ACR982954:ACS982955 AMN982954:AMO982955 AWJ982954:AWK982955 BGF982954:BGG982955 BQB982954:BQC982955 BZX982954:BZY982955 CJT982954:CJU982955 CTP982954:CTQ982955 DDL982954:DDM982955 DNH982954:DNI982955 DXD982954:DXE982955 EGZ982954:EHA982955 EQV982954:EQW982955 FAR982954:FAS982955 FKN982954:FKO982955 FUJ982954:FUK982955 GEF982954:GEG982955 GOB982954:GOC982955 GXX982954:GXY982955 HHT982954:HHU982955 HRP982954:HRQ982955 IBL982954:IBM982955 ILH982954:ILI982955 IVD982954:IVE982955 JEZ982954:JFA982955 JOV982954:JOW982955 JYR982954:JYS982955 KIN982954:KIO982955 KSJ982954:KSK982955 LCF982954:LCG982955 LMB982954:LMC982955 LVX982954:LVY982955 MFT982954:MFU982955 MPP982954:MPQ982955 MZL982954:MZM982955 NJH982954:NJI982955 NTD982954:NTE982955 OCZ982954:ODA982955 OMV982954:OMW982955 OWR982954:OWS982955 PGN982954:PGO982955 PQJ982954:PQK982955 QAF982954:QAG982955 QKB982954:QKC982955 QTX982954:QTY982955 RDT982954:RDU982955 RNP982954:RNQ982955 RXL982954:RXM982955 SHH982954:SHI982955 SRD982954:SRE982955 TAZ982954:TBA982955 TKV982954:TKW982955 TUR982954:TUS982955 UEN982954:UEO982955 UOJ982954:UOK982955 UYF982954:UYG982955 VIB982954:VIC982955 VRX982954:VRY982955 WBT982954:WBU982955 WLP982954:WLQ982955" xr:uid="{3C32A3B1-FDB9-4FCA-951B-C8D646B55085}">
      <formula1>"Core1,Core2,Core3,Core4,Core5"</formula1>
    </dataValidation>
    <dataValidation type="list" allowBlank="1" showInputMessage="1" showErrorMessage="1" sqref="D7:E8" xr:uid="{EC7D4AE5-EEF7-4191-9525-FEFDE1CCA073}">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1" manualBreakCount="1">
    <brk id="48" max="21" man="1"/>
  </rowBreak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438DE-6C10-4B8A-9CC0-66E64486D18A}">
  <sheetPr>
    <tabColor rgb="FFFFFF00"/>
  </sheetPr>
  <dimension ref="A1:Y126"/>
  <sheetViews>
    <sheetView showZeros="0" view="pageBreakPreview" zoomScaleNormal="100" zoomScaleSheetLayoutView="100" workbookViewId="0">
      <selection activeCell="U78" sqref="U78"/>
    </sheetView>
  </sheetViews>
  <sheetFormatPr defaultColWidth="4.33203125" defaultRowHeight="18" customHeight="1"/>
  <cols>
    <col min="1" max="17" width="4.33203125" style="30"/>
    <col min="18" max="18" width="6.44140625" style="30" customWidth="1"/>
    <col min="19" max="16384" width="4.33203125" style="30"/>
  </cols>
  <sheetData>
    <row r="1" spans="1:24" ht="18" customHeight="1">
      <c r="A1" s="717" t="s">
        <v>0</v>
      </c>
      <c r="B1" s="718"/>
      <c r="C1" s="718"/>
      <c r="D1" s="718"/>
      <c r="E1" s="718"/>
      <c r="F1" s="718"/>
      <c r="G1" s="719"/>
      <c r="H1" s="726" t="str">
        <f>[3]Title!H1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[3]Title!H2</f>
        <v>ADEQUACY CHECK</v>
      </c>
      <c r="I2" s="730"/>
      <c r="J2" s="730"/>
      <c r="K2" s="730"/>
      <c r="L2" s="730"/>
      <c r="M2" s="730"/>
      <c r="N2" s="731"/>
      <c r="O2" s="702" t="str">
        <f>[3]Title!O2</f>
        <v>Date</v>
      </c>
      <c r="P2" s="703"/>
      <c r="Q2" s="704"/>
      <c r="R2" s="732">
        <f>Title!R2</f>
        <v>46106</v>
      </c>
      <c r="S2" s="706"/>
      <c r="T2" s="706"/>
      <c r="U2" s="706"/>
      <c r="V2" s="707"/>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[3]Title!O3</f>
        <v>Document No.</v>
      </c>
      <c r="P3" s="703"/>
      <c r="Q3" s="704"/>
      <c r="R3" s="1055" t="str">
        <f>Title!R3</f>
        <v>-</v>
      </c>
      <c r="S3" s="1056"/>
      <c r="T3" s="1056"/>
      <c r="U3" s="1056"/>
      <c r="V3" s="1057"/>
      <c r="W3" s="14"/>
      <c r="X3" s="14"/>
    </row>
    <row r="4" spans="1:24" ht="18" customHeight="1">
      <c r="A4" s="723"/>
      <c r="B4" s="724"/>
      <c r="C4" s="724"/>
      <c r="D4" s="724"/>
      <c r="E4" s="724"/>
      <c r="F4" s="724"/>
      <c r="G4" s="725"/>
      <c r="H4" s="738"/>
      <c r="I4" s="739"/>
      <c r="J4" s="739"/>
      <c r="K4" s="739"/>
      <c r="L4" s="739"/>
      <c r="M4" s="739"/>
      <c r="N4" s="740"/>
      <c r="O4" s="702" t="str">
        <f>[3]Title!O4</f>
        <v>Revision No.</v>
      </c>
      <c r="P4" s="703"/>
      <c r="Q4" s="704"/>
      <c r="R4" s="705" t="str">
        <f>Title!R4</f>
        <v>A</v>
      </c>
      <c r="S4" s="706"/>
      <c r="T4" s="706"/>
      <c r="U4" s="706"/>
      <c r="V4" s="707"/>
      <c r="W4" s="14"/>
      <c r="X4" s="14"/>
    </row>
    <row r="5" spans="1:24" ht="18" customHeight="1">
      <c r="A5" s="708" t="str">
        <f>[3]Title!A5</f>
        <v>Prep. By</v>
      </c>
      <c r="B5" s="709"/>
      <c r="C5" s="25" t="str">
        <f>[3]Title!C5</f>
        <v>AK</v>
      </c>
      <c r="D5" s="708" t="str">
        <f>[3]Title!D5</f>
        <v>Checked By</v>
      </c>
      <c r="E5" s="710"/>
      <c r="F5" s="709"/>
      <c r="G5" s="25" t="str">
        <f>[3]Title!G5</f>
        <v>LN</v>
      </c>
      <c r="H5" s="973" t="s">
        <v>927</v>
      </c>
      <c r="I5" s="974"/>
      <c r="J5" s="974"/>
      <c r="K5" s="974"/>
      <c r="L5" s="974"/>
      <c r="M5" s="974"/>
      <c r="N5" s="975"/>
      <c r="O5" s="714" t="str">
        <f>[3]Title!O5</f>
        <v>Contractor</v>
      </c>
      <c r="P5" s="715"/>
      <c r="Q5" s="716"/>
      <c r="R5" s="705" t="str">
        <f>Title!R5</f>
        <v>HITACHI</v>
      </c>
      <c r="S5" s="706"/>
      <c r="T5" s="706"/>
      <c r="U5" s="706"/>
      <c r="V5" s="707"/>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940" t="s">
        <v>120</v>
      </c>
      <c r="C7" s="941"/>
      <c r="D7" s="940" t="s">
        <v>125</v>
      </c>
      <c r="E7" s="941"/>
      <c r="F7" s="267"/>
      <c r="H7" s="14"/>
      <c r="I7" s="14"/>
      <c r="J7" s="14"/>
      <c r="K7" s="14"/>
      <c r="L7" s="14"/>
      <c r="M7" s="14"/>
      <c r="P7" s="198"/>
      <c r="S7" s="199" t="s">
        <v>398</v>
      </c>
      <c r="T7" s="940" t="s">
        <v>928</v>
      </c>
      <c r="U7" s="941"/>
      <c r="V7" s="197"/>
    </row>
    <row r="8" spans="1:24" ht="18" customHeight="1">
      <c r="A8" s="196"/>
      <c r="B8"/>
      <c r="C8"/>
      <c r="D8"/>
      <c r="E8"/>
      <c r="F8" s="267"/>
      <c r="T8"/>
      <c r="U8"/>
      <c r="V8" s="197"/>
    </row>
    <row r="9" spans="1:24" ht="18" customHeight="1">
      <c r="A9" s="196"/>
      <c r="H9" s="662" t="s">
        <v>401</v>
      </c>
      <c r="I9" s="662"/>
      <c r="J9" s="701" t="s">
        <v>402</v>
      </c>
      <c r="K9" s="701"/>
      <c r="L9" s="701" t="s">
        <v>403</v>
      </c>
      <c r="M9" s="701"/>
      <c r="T9"/>
      <c r="U9"/>
      <c r="V9" s="197"/>
    </row>
    <row r="10" spans="1:24" ht="18" customHeight="1">
      <c r="A10" s="196"/>
      <c r="B10" s="47" t="s">
        <v>404</v>
      </c>
      <c r="H10" s="942">
        <v>2500</v>
      </c>
      <c r="I10" s="943"/>
      <c r="J10" s="940" t="s">
        <v>7</v>
      </c>
      <c r="K10" s="941"/>
      <c r="L10" s="940" t="s">
        <v>7</v>
      </c>
      <c r="M10" s="941"/>
      <c r="N10" s="203" t="s">
        <v>353</v>
      </c>
      <c r="O10" s="515">
        <v>1</v>
      </c>
      <c r="P10" s="27" t="s">
        <v>9</v>
      </c>
      <c r="R10" s="267"/>
      <c r="S10" s="267"/>
      <c r="V10" s="197"/>
    </row>
    <row r="11" spans="1:24" ht="18" customHeight="1">
      <c r="A11" s="196"/>
      <c r="B11" s="47" t="s">
        <v>405</v>
      </c>
      <c r="H11" s="940" t="s">
        <v>849</v>
      </c>
      <c r="I11" s="941"/>
      <c r="V11" s="197"/>
    </row>
    <row r="12" spans="1:24" ht="18" customHeight="1">
      <c r="A12" s="196"/>
      <c r="B12" s="47" t="s">
        <v>407</v>
      </c>
      <c r="G12" s="120" t="s">
        <v>508</v>
      </c>
      <c r="H12" s="940">
        <v>5</v>
      </c>
      <c r="I12" s="941"/>
      <c r="J12" s="204" t="s">
        <v>344</v>
      </c>
      <c r="V12" s="197"/>
    </row>
    <row r="13" spans="1:24" ht="18" customHeight="1">
      <c r="A13" s="196"/>
      <c r="B13" s="47" t="s">
        <v>409</v>
      </c>
      <c r="G13" s="120" t="s">
        <v>509</v>
      </c>
      <c r="H13" s="940">
        <v>750</v>
      </c>
      <c r="I13" s="941"/>
      <c r="J13" s="14" t="s">
        <v>316</v>
      </c>
      <c r="V13" s="197"/>
      <c r="W13" s="30" t="str">
        <f>G58</f>
        <v>Suitably Dimentioned</v>
      </c>
    </row>
    <row r="14" spans="1:24" ht="18" customHeight="1">
      <c r="A14" s="196"/>
      <c r="B14" s="14" t="s">
        <v>412</v>
      </c>
      <c r="G14" s="120" t="s">
        <v>413</v>
      </c>
      <c r="H14" s="940">
        <v>60</v>
      </c>
      <c r="I14" s="941"/>
      <c r="J14" s="14" t="s">
        <v>414</v>
      </c>
      <c r="V14" s="197"/>
    </row>
    <row r="15" spans="1:24" ht="18" customHeight="1">
      <c r="A15" s="196"/>
      <c r="V15" s="197"/>
    </row>
    <row r="16" spans="1:24" ht="18" customHeight="1">
      <c r="A16" s="205" t="s">
        <v>415</v>
      </c>
      <c r="V16" s="197"/>
    </row>
    <row r="17" spans="1:22" ht="18" customHeight="1">
      <c r="A17" s="196"/>
      <c r="V17" s="197"/>
    </row>
    <row r="18" spans="1:22" ht="18" customHeight="1">
      <c r="A18" s="196"/>
      <c r="B18" s="141" t="s">
        <v>416</v>
      </c>
      <c r="C18" s="285"/>
      <c r="D18" s="146" t="str">
        <f>T7</f>
        <v>REF650</v>
      </c>
      <c r="E18" s="239"/>
      <c r="F18" s="239"/>
      <c r="G18" s="239"/>
      <c r="H18" s="145"/>
      <c r="I18" s="272" t="s">
        <v>138</v>
      </c>
      <c r="J18" s="948">
        <f>'CT-VT Burdens'!Q48</f>
        <v>0.02</v>
      </c>
      <c r="K18" s="949"/>
      <c r="L18" s="3" t="s">
        <v>168</v>
      </c>
      <c r="N18" s="209" t="s">
        <v>521</v>
      </c>
      <c r="V18" s="197"/>
    </row>
    <row r="19" spans="1:22" ht="18" customHeight="1">
      <c r="A19" s="196"/>
      <c r="B19" s="96" t="s">
        <v>416</v>
      </c>
      <c r="D19" s="308">
        <f>T8</f>
        <v>0</v>
      </c>
      <c r="I19" s="189" t="s">
        <v>138</v>
      </c>
      <c r="J19" s="976"/>
      <c r="K19" s="977"/>
      <c r="L19" s="210" t="s">
        <v>168</v>
      </c>
      <c r="P19" s="256"/>
      <c r="V19" s="197"/>
    </row>
    <row r="20" spans="1:22" ht="18" customHeight="1">
      <c r="A20" s="196"/>
      <c r="B20" s="96" t="s">
        <v>416</v>
      </c>
      <c r="C20" s="14"/>
      <c r="D20" s="47">
        <f>T9</f>
        <v>0</v>
      </c>
      <c r="E20" s="14"/>
      <c r="G20" s="211"/>
      <c r="H20" s="27"/>
      <c r="I20" s="101" t="s">
        <v>138</v>
      </c>
      <c r="J20" s="971"/>
      <c r="K20" s="972"/>
      <c r="L20" s="214" t="s">
        <v>168</v>
      </c>
      <c r="N20" s="28" t="s">
        <v>502</v>
      </c>
      <c r="O20" s="27" t="s">
        <v>138</v>
      </c>
      <c r="P20" s="27" t="s">
        <v>522</v>
      </c>
      <c r="Q20" s="27" t="s">
        <v>326</v>
      </c>
      <c r="R20" s="27" t="s">
        <v>522</v>
      </c>
      <c r="S20" s="27" t="s">
        <v>326</v>
      </c>
      <c r="T20" s="27" t="s">
        <v>431</v>
      </c>
      <c r="V20" s="197"/>
    </row>
    <row r="21" spans="1:22" ht="18" customHeight="1">
      <c r="A21" s="196"/>
      <c r="B21" s="196" t="s">
        <v>423</v>
      </c>
      <c r="C21" s="14"/>
      <c r="D21" s="14"/>
      <c r="E21" s="14"/>
      <c r="H21" s="27"/>
      <c r="I21" s="101" t="s">
        <v>138</v>
      </c>
      <c r="J21" s="950">
        <f>'CT-VT Burdens'!S39</f>
        <v>2.7035014500000001</v>
      </c>
      <c r="K21" s="951"/>
      <c r="L21" s="309" t="s">
        <v>168</v>
      </c>
      <c r="O21" s="27" t="s">
        <v>138</v>
      </c>
      <c r="P21" s="27">
        <f>O10</f>
        <v>1</v>
      </c>
      <c r="Q21" s="27" t="s">
        <v>326</v>
      </c>
      <c r="R21" s="27">
        <f>O10</f>
        <v>1</v>
      </c>
      <c r="S21" s="27" t="s">
        <v>326</v>
      </c>
      <c r="T21" s="27">
        <f>H12</f>
        <v>5</v>
      </c>
      <c r="V21" s="197"/>
    </row>
    <row r="22" spans="1:22" ht="18" customHeight="1">
      <c r="A22" s="196"/>
      <c r="B22" s="1" t="s">
        <v>424</v>
      </c>
      <c r="C22" s="2"/>
      <c r="D22" s="2"/>
      <c r="E22" s="2"/>
      <c r="F22" s="208"/>
      <c r="G22" s="208"/>
      <c r="H22" s="236" t="s">
        <v>523</v>
      </c>
      <c r="I22" s="195" t="s">
        <v>138</v>
      </c>
      <c r="J22" s="648">
        <f>SUM(J18:J21)</f>
        <v>2.7235014500000001</v>
      </c>
      <c r="K22" s="649"/>
      <c r="L22" s="3" t="s">
        <v>168</v>
      </c>
      <c r="O22" s="27" t="s">
        <v>138</v>
      </c>
      <c r="P22" s="637">
        <f>P21*R21*T21</f>
        <v>5</v>
      </c>
      <c r="Q22" s="639"/>
      <c r="R22" s="27" t="s">
        <v>168</v>
      </c>
      <c r="S22" s="27"/>
      <c r="T22" s="27"/>
      <c r="V22" s="197"/>
    </row>
    <row r="23" spans="1:22" ht="18" customHeight="1">
      <c r="A23" s="196"/>
      <c r="B23" s="47"/>
      <c r="C23" s="47"/>
      <c r="D23" s="47"/>
      <c r="E23" s="47"/>
      <c r="H23" s="27"/>
      <c r="I23" s="28"/>
      <c r="J23" s="211"/>
      <c r="L23" s="47"/>
      <c r="O23" s="27"/>
      <c r="P23" s="223"/>
      <c r="Q23" s="27"/>
      <c r="R23" s="216"/>
      <c r="S23" s="27"/>
      <c r="V23" s="197"/>
    </row>
    <row r="24" spans="1:22" ht="18" customHeight="1">
      <c r="A24" s="964" t="s">
        <v>547</v>
      </c>
      <c r="B24" s="965"/>
      <c r="C24" s="965"/>
      <c r="D24" s="965"/>
      <c r="E24" s="965"/>
      <c r="F24" s="965"/>
      <c r="G24" s="965"/>
      <c r="H24" s="965"/>
      <c r="I24" s="965"/>
      <c r="J24" s="965"/>
      <c r="K24" s="965"/>
      <c r="L24" s="965"/>
      <c r="M24" s="965"/>
      <c r="N24" s="965"/>
      <c r="O24" s="965"/>
      <c r="P24" s="965"/>
      <c r="Q24" s="965"/>
      <c r="R24" s="965"/>
      <c r="S24" s="965"/>
      <c r="T24" s="965"/>
      <c r="U24" s="965"/>
      <c r="V24" s="966"/>
    </row>
    <row r="25" spans="1:22" ht="18" customHeight="1">
      <c r="A25" s="967"/>
      <c r="B25" s="965"/>
      <c r="C25" s="965"/>
      <c r="D25" s="965"/>
      <c r="E25" s="965"/>
      <c r="F25" s="965"/>
      <c r="G25" s="965"/>
      <c r="H25" s="965"/>
      <c r="I25" s="965"/>
      <c r="J25" s="965"/>
      <c r="K25" s="965"/>
      <c r="L25" s="965"/>
      <c r="M25" s="965"/>
      <c r="N25" s="965"/>
      <c r="O25" s="965"/>
      <c r="P25" s="965"/>
      <c r="Q25" s="965"/>
      <c r="R25" s="965"/>
      <c r="S25" s="965"/>
      <c r="T25" s="965"/>
      <c r="U25" s="965"/>
      <c r="V25" s="966"/>
    </row>
    <row r="26" spans="1:22" ht="18" customHeight="1">
      <c r="A26" s="196"/>
      <c r="Q26" s="223"/>
      <c r="R26" s="204"/>
      <c r="V26" s="197"/>
    </row>
    <row r="27" spans="1:22" ht="18" customHeight="1">
      <c r="A27" s="196"/>
      <c r="C27" s="28" t="s">
        <v>484</v>
      </c>
      <c r="D27" s="28" t="s">
        <v>138</v>
      </c>
      <c r="E27" s="28" t="s">
        <v>548</v>
      </c>
      <c r="F27" s="28" t="s">
        <v>504</v>
      </c>
      <c r="G27" s="28" t="s">
        <v>358</v>
      </c>
      <c r="H27" s="28" t="s">
        <v>502</v>
      </c>
      <c r="I27" s="28" t="s">
        <v>549</v>
      </c>
      <c r="J27" s="28" t="s">
        <v>506</v>
      </c>
      <c r="K27" s="28" t="s">
        <v>550</v>
      </c>
      <c r="L27" s="28" t="s">
        <v>522</v>
      </c>
      <c r="M27" s="28" t="s">
        <v>326</v>
      </c>
      <c r="N27" s="28">
        <v>1.3</v>
      </c>
      <c r="O27" s="47" t="s">
        <v>361</v>
      </c>
      <c r="V27" s="197"/>
    </row>
    <row r="28" spans="1:22" ht="18" customHeight="1">
      <c r="A28" s="572" t="s">
        <v>551</v>
      </c>
      <c r="C28" s="28"/>
      <c r="D28" s="28"/>
      <c r="E28" s="14"/>
      <c r="F28" s="14"/>
      <c r="G28" s="14"/>
      <c r="H28" s="14"/>
      <c r="I28" s="14"/>
      <c r="J28" s="14"/>
      <c r="K28" s="14"/>
      <c r="L28" s="14"/>
      <c r="M28" s="14"/>
      <c r="N28" s="14"/>
      <c r="O28" s="14"/>
      <c r="V28" s="197"/>
    </row>
    <row r="29" spans="1:22" ht="18" customHeight="1">
      <c r="A29" s="196"/>
      <c r="C29" s="28" t="s">
        <v>504</v>
      </c>
      <c r="D29" s="28" t="s">
        <v>138</v>
      </c>
      <c r="E29" s="28" t="s">
        <v>548</v>
      </c>
      <c r="F29" s="28">
        <v>1.3</v>
      </c>
      <c r="G29" s="28" t="s">
        <v>326</v>
      </c>
      <c r="H29" s="638" t="s">
        <v>484</v>
      </c>
      <c r="I29" s="920"/>
      <c r="J29" s="28" t="s">
        <v>326</v>
      </c>
      <c r="K29" s="28" t="s">
        <v>522</v>
      </c>
      <c r="L29" s="28" t="s">
        <v>552</v>
      </c>
      <c r="M29" s="28" t="s">
        <v>506</v>
      </c>
      <c r="N29" s="47" t="s">
        <v>553</v>
      </c>
      <c r="O29" s="28" t="s">
        <v>502</v>
      </c>
      <c r="V29" s="197"/>
    </row>
    <row r="30" spans="1:22" ht="18" customHeight="1">
      <c r="A30" s="196"/>
      <c r="V30" s="197"/>
    </row>
    <row r="31" spans="1:22" ht="18" customHeight="1">
      <c r="A31" s="180"/>
      <c r="B31" s="5"/>
      <c r="C31" s="47" t="s">
        <v>554</v>
      </c>
      <c r="D31" s="14"/>
      <c r="E31" s="14"/>
      <c r="F31" s="14"/>
      <c r="G31" s="14"/>
      <c r="H31" s="291"/>
      <c r="I31" s="120"/>
      <c r="J31" s="291"/>
      <c r="K31" s="291"/>
      <c r="L31" s="14"/>
      <c r="M31" s="14"/>
      <c r="N31" s="14"/>
      <c r="O31" s="14"/>
      <c r="P31" s="14"/>
      <c r="Q31" s="120" t="s">
        <v>555</v>
      </c>
      <c r="R31" s="102" t="s">
        <v>138</v>
      </c>
      <c r="S31" s="638">
        <f>'Parameters &amp; Fault Cal. (4)'!Q10 *1000</f>
        <v>40000</v>
      </c>
      <c r="T31" s="638"/>
      <c r="U31" s="47" t="s">
        <v>9</v>
      </c>
      <c r="V31" s="197"/>
    </row>
    <row r="32" spans="1:22" ht="18" customHeight="1">
      <c r="A32" s="180"/>
      <c r="B32" s="5"/>
      <c r="C32" s="47" t="s">
        <v>556</v>
      </c>
      <c r="D32" s="14"/>
      <c r="E32" s="14"/>
      <c r="F32" s="18"/>
      <c r="G32" s="18"/>
      <c r="H32" s="291"/>
      <c r="I32" s="120"/>
      <c r="J32" s="291"/>
      <c r="K32" s="291"/>
      <c r="L32" s="14"/>
      <c r="M32" s="14"/>
      <c r="N32" s="14"/>
      <c r="O32" s="14"/>
      <c r="P32" s="14"/>
      <c r="Q32" s="120" t="s">
        <v>434</v>
      </c>
      <c r="R32" s="102" t="s">
        <v>138</v>
      </c>
      <c r="S32" s="638">
        <f>H10</f>
        <v>2500</v>
      </c>
      <c r="T32" s="638"/>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638">
        <f>H13</f>
        <v>750</v>
      </c>
      <c r="T33" s="638"/>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641">
        <f>P22</f>
        <v>5</v>
      </c>
      <c r="T34" s="638"/>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641">
        <f>J22</f>
        <v>2.7235014500000001</v>
      </c>
      <c r="T35" s="638"/>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638">
        <f>O10</f>
        <v>1</v>
      </c>
      <c r="T36" s="638"/>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638">
        <v>20</v>
      </c>
      <c r="T37" s="638"/>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639">
        <f>E42</f>
        <v>43.75</v>
      </c>
      <c r="T38" s="639"/>
      <c r="U38" s="291"/>
      <c r="V38" s="312"/>
      <c r="W38" s="291"/>
      <c r="X38" s="291"/>
      <c r="Y38" s="291"/>
    </row>
    <row r="39" spans="1:25" ht="18" customHeight="1">
      <c r="A39" s="196"/>
      <c r="V39" s="197"/>
    </row>
    <row r="40" spans="1:25" ht="18" customHeight="1">
      <c r="A40" s="196"/>
      <c r="C40" s="28" t="s">
        <v>504</v>
      </c>
      <c r="D40" s="28" t="s">
        <v>138</v>
      </c>
      <c r="E40" s="28" t="s">
        <v>548</v>
      </c>
      <c r="F40" s="233">
        <v>1.3</v>
      </c>
      <c r="G40" s="233" t="s">
        <v>326</v>
      </c>
      <c r="H40" s="861" t="s">
        <v>484</v>
      </c>
      <c r="I40" s="968"/>
      <c r="J40" s="233" t="s">
        <v>326</v>
      </c>
      <c r="K40" s="233" t="s">
        <v>522</v>
      </c>
      <c r="L40" s="233" t="s">
        <v>552</v>
      </c>
      <c r="M40" s="233" t="s">
        <v>506</v>
      </c>
      <c r="N40" s="560" t="s">
        <v>553</v>
      </c>
      <c r="O40" s="233" t="s">
        <v>502</v>
      </c>
      <c r="V40" s="197"/>
    </row>
    <row r="41" spans="1:25" ht="18" customHeight="1">
      <c r="A41" s="196"/>
      <c r="C41" s="120"/>
      <c r="D41" s="27" t="s">
        <v>138</v>
      </c>
      <c r="E41" s="27" t="s">
        <v>548</v>
      </c>
      <c r="F41" s="257">
        <v>1.3</v>
      </c>
      <c r="G41" s="257" t="s">
        <v>326</v>
      </c>
      <c r="H41" s="969">
        <f>S33</f>
        <v>750</v>
      </c>
      <c r="I41" s="970"/>
      <c r="J41" s="257" t="s">
        <v>326</v>
      </c>
      <c r="K41" s="257">
        <f>S36</f>
        <v>1</v>
      </c>
      <c r="L41" s="257" t="s">
        <v>552</v>
      </c>
      <c r="M41" s="257">
        <f>S37</f>
        <v>20</v>
      </c>
      <c r="N41" s="474" t="s">
        <v>553</v>
      </c>
      <c r="O41" s="516">
        <f>S34</f>
        <v>5</v>
      </c>
      <c r="V41" s="197"/>
    </row>
    <row r="42" spans="1:25" ht="18" customHeight="1">
      <c r="A42" s="196"/>
      <c r="D42" s="27" t="s">
        <v>138</v>
      </c>
      <c r="E42" s="639">
        <f>((F41*H41)/(K41*M41))-O41</f>
        <v>43.75</v>
      </c>
      <c r="F42" s="639"/>
      <c r="G42" s="27" t="s">
        <v>168</v>
      </c>
      <c r="V42" s="197"/>
    </row>
    <row r="43" spans="1:25" ht="18" customHeight="1">
      <c r="A43" s="196"/>
      <c r="D43" s="27"/>
      <c r="E43" s="27"/>
      <c r="F43" s="27"/>
      <c r="G43" s="27"/>
      <c r="V43" s="197"/>
    </row>
    <row r="44" spans="1:25" ht="18" customHeight="1">
      <c r="A44" s="196"/>
      <c r="D44" s="27"/>
      <c r="E44" s="27"/>
      <c r="F44" s="27"/>
      <c r="G44" s="27"/>
      <c r="V44" s="197"/>
    </row>
    <row r="45" spans="1:25" ht="18" customHeight="1">
      <c r="A45" s="196"/>
      <c r="D45" s="27"/>
      <c r="E45" s="27"/>
      <c r="F45" s="27"/>
      <c r="G45" s="27"/>
      <c r="V45" s="197"/>
    </row>
    <row r="46" spans="1:25" ht="18" customHeight="1">
      <c r="A46" s="302"/>
      <c r="B46" s="208"/>
      <c r="C46" s="208"/>
      <c r="D46" s="319"/>
      <c r="E46" s="319"/>
      <c r="F46" s="319"/>
      <c r="G46" s="319"/>
      <c r="H46" s="208"/>
      <c r="I46" s="208"/>
      <c r="J46" s="208"/>
      <c r="K46" s="208"/>
      <c r="L46" s="208"/>
      <c r="M46" s="208"/>
      <c r="N46" s="208"/>
      <c r="O46" s="208"/>
      <c r="P46" s="208"/>
      <c r="Q46" s="208"/>
      <c r="R46" s="208"/>
      <c r="S46" s="208"/>
      <c r="T46" s="208"/>
      <c r="U46" s="208"/>
      <c r="V46" s="303"/>
    </row>
    <row r="47" spans="1:25" ht="18" customHeight="1">
      <c r="A47" s="238"/>
      <c r="B47" s="239"/>
      <c r="C47" s="239"/>
      <c r="D47" s="323"/>
      <c r="E47" s="323"/>
      <c r="F47" s="323"/>
      <c r="G47" s="323"/>
      <c r="H47" s="239"/>
      <c r="I47" s="239"/>
      <c r="J47" s="239"/>
      <c r="K47" s="239"/>
      <c r="L47" s="239"/>
      <c r="M47" s="239"/>
      <c r="N47" s="239"/>
      <c r="O47" s="239"/>
      <c r="P47" s="239"/>
      <c r="Q47" s="239"/>
      <c r="R47" s="239"/>
      <c r="S47" s="239"/>
      <c r="T47" s="239"/>
      <c r="U47" s="239"/>
      <c r="V47" s="240"/>
    </row>
    <row r="48" spans="1:25" ht="18" customHeight="1">
      <c r="A48" s="196"/>
      <c r="E48" s="256" t="s">
        <v>123</v>
      </c>
      <c r="F48" s="27" t="s">
        <v>138</v>
      </c>
      <c r="G48" s="638" t="s">
        <v>555</v>
      </c>
      <c r="H48" s="638"/>
      <c r="I48" s="203" t="s">
        <v>353</v>
      </c>
      <c r="J48" s="639" t="s">
        <v>434</v>
      </c>
      <c r="K48" s="639"/>
      <c r="V48" s="197"/>
    </row>
    <row r="49" spans="1:22" ht="18" customHeight="1">
      <c r="A49" s="196"/>
      <c r="F49" s="27" t="s">
        <v>138</v>
      </c>
      <c r="G49" s="639">
        <f>S31</f>
        <v>40000</v>
      </c>
      <c r="H49" s="639"/>
      <c r="I49" s="203" t="s">
        <v>353</v>
      </c>
      <c r="J49" s="639">
        <f>S32</f>
        <v>2500</v>
      </c>
      <c r="K49" s="639"/>
      <c r="V49" s="197"/>
    </row>
    <row r="50" spans="1:22" ht="18" customHeight="1">
      <c r="A50" s="196"/>
      <c r="F50" s="27" t="s">
        <v>138</v>
      </c>
      <c r="G50" s="637">
        <f>G49/J49</f>
        <v>16</v>
      </c>
      <c r="H50" s="637"/>
      <c r="I50" s="27"/>
      <c r="J50" s="27"/>
      <c r="K50" s="27"/>
      <c r="V50" s="197"/>
    </row>
    <row r="51" spans="1:22" ht="18" customHeight="1">
      <c r="A51" s="196"/>
      <c r="V51" s="197"/>
    </row>
    <row r="52" spans="1:22" ht="18" customHeight="1">
      <c r="A52" s="196"/>
      <c r="E52" s="256" t="s">
        <v>564</v>
      </c>
      <c r="F52" s="27" t="s">
        <v>138</v>
      </c>
      <c r="G52" s="257" t="s">
        <v>506</v>
      </c>
      <c r="H52" s="257" t="s">
        <v>565</v>
      </c>
      <c r="I52" s="233" t="s">
        <v>502</v>
      </c>
      <c r="J52" s="233" t="s">
        <v>358</v>
      </c>
      <c r="K52" s="233" t="s">
        <v>504</v>
      </c>
      <c r="L52" s="233" t="s">
        <v>550</v>
      </c>
      <c r="M52" s="233" t="s">
        <v>502</v>
      </c>
      <c r="N52" s="233" t="s">
        <v>358</v>
      </c>
      <c r="O52" s="233" t="s">
        <v>523</v>
      </c>
      <c r="P52" s="27" t="s">
        <v>361</v>
      </c>
      <c r="V52" s="197"/>
    </row>
    <row r="53" spans="1:22" ht="18" customHeight="1">
      <c r="A53" s="196"/>
      <c r="F53" s="27" t="s">
        <v>138</v>
      </c>
      <c r="G53" s="257">
        <f>S37</f>
        <v>20</v>
      </c>
      <c r="H53" s="257" t="s">
        <v>565</v>
      </c>
      <c r="I53" s="313">
        <f>S34</f>
        <v>5</v>
      </c>
      <c r="J53" s="257" t="s">
        <v>358</v>
      </c>
      <c r="K53" s="313">
        <f>E42</f>
        <v>43.75</v>
      </c>
      <c r="L53" s="257" t="s">
        <v>550</v>
      </c>
      <c r="M53" s="313">
        <f>S34</f>
        <v>5</v>
      </c>
      <c r="N53" s="257" t="s">
        <v>358</v>
      </c>
      <c r="O53" s="313">
        <f>S35</f>
        <v>2.7235014500000001</v>
      </c>
      <c r="P53" s="27" t="s">
        <v>361</v>
      </c>
      <c r="V53" s="197"/>
    </row>
    <row r="54" spans="1:22" ht="18" customHeight="1">
      <c r="A54" s="196"/>
      <c r="F54" s="27" t="s">
        <v>138</v>
      </c>
      <c r="G54" s="640">
        <f>G53*((I53+K53)/(M53+O53))</f>
        <v>126.23808078653238</v>
      </c>
      <c r="H54" s="640"/>
      <c r="I54" s="254"/>
      <c r="J54" s="254"/>
      <c r="K54" s="254"/>
      <c r="L54" s="254"/>
      <c r="M54" s="254"/>
      <c r="N54" s="254"/>
      <c r="O54" s="254"/>
      <c r="V54" s="197"/>
    </row>
    <row r="55" spans="1:22" ht="18" customHeight="1">
      <c r="A55" s="196"/>
      <c r="V55" s="197"/>
    </row>
    <row r="56" spans="1:22" ht="18" customHeight="1">
      <c r="A56" s="196"/>
      <c r="E56" s="256" t="s">
        <v>566</v>
      </c>
      <c r="F56" s="27" t="str">
        <f>IF(D57&gt;G57,"&gt;","&lt;")</f>
        <v>&gt;</v>
      </c>
      <c r="G56" s="308" t="s">
        <v>123</v>
      </c>
      <c r="V56" s="197"/>
    </row>
    <row r="57" spans="1:22" ht="18" customHeight="1">
      <c r="A57" s="196"/>
      <c r="D57" s="637">
        <f>G54</f>
        <v>126.23808078653238</v>
      </c>
      <c r="E57" s="637"/>
      <c r="F57" s="27" t="str">
        <f>F56</f>
        <v>&gt;</v>
      </c>
      <c r="G57" s="637">
        <f>G50</f>
        <v>16</v>
      </c>
      <c r="H57" s="637"/>
      <c r="V57" s="197"/>
    </row>
    <row r="58" spans="1:22" ht="18" customHeight="1">
      <c r="A58" s="196"/>
      <c r="E58" s="256" t="s">
        <v>489</v>
      </c>
      <c r="G58" s="18" t="str">
        <f>IF(F56="&gt;","Suitably Dimentioned","Under Dimentioned")</f>
        <v>Suitably Dimentioned</v>
      </c>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465"/>
      <c r="B86" s="219"/>
      <c r="C86" s="219"/>
      <c r="D86" s="219"/>
      <c r="E86" s="219"/>
      <c r="F86" s="219"/>
      <c r="G86" s="219"/>
      <c r="H86" s="219"/>
      <c r="I86" s="219"/>
      <c r="J86" s="219"/>
      <c r="K86" s="219"/>
      <c r="L86" s="219"/>
      <c r="M86" s="219"/>
      <c r="N86" s="219"/>
      <c r="O86" s="219"/>
      <c r="P86" s="219"/>
      <c r="Q86" s="219"/>
      <c r="R86" s="219"/>
      <c r="S86" s="219"/>
      <c r="T86" s="219"/>
      <c r="U86" s="219"/>
      <c r="V86" s="466"/>
    </row>
    <row r="87" spans="1:22" ht="18" customHeight="1">
      <c r="A87" s="302"/>
      <c r="B87" s="208"/>
      <c r="C87" s="208"/>
      <c r="D87" s="208"/>
      <c r="E87" s="208"/>
      <c r="F87" s="208"/>
      <c r="G87" s="208"/>
      <c r="H87" s="208"/>
      <c r="I87" s="208"/>
      <c r="J87" s="208"/>
      <c r="K87" s="208"/>
      <c r="L87" s="208"/>
      <c r="M87" s="208"/>
      <c r="N87" s="208"/>
      <c r="O87" s="208"/>
      <c r="P87" s="208"/>
      <c r="Q87" s="208"/>
      <c r="R87" s="208"/>
      <c r="S87" s="208"/>
      <c r="T87" s="208"/>
      <c r="U87" s="208"/>
      <c r="V87" s="303"/>
    </row>
    <row r="88" spans="1:22" ht="18"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2" ht="18" customHeight="1">
      <c r="A89" s="274" t="s">
        <v>543</v>
      </c>
      <c r="B89" s="14"/>
      <c r="C89" s="14"/>
      <c r="D89" s="120"/>
      <c r="E89" s="120"/>
      <c r="F89" s="18"/>
      <c r="G89" s="18"/>
      <c r="H89" s="14"/>
      <c r="I89" s="14"/>
      <c r="J89" s="14"/>
      <c r="K89" s="14"/>
      <c r="L89" s="14"/>
      <c r="M89" s="14"/>
      <c r="N89" s="14"/>
      <c r="O89" s="14"/>
      <c r="P89" s="28"/>
      <c r="Q89" s="120"/>
      <c r="R89" s="47"/>
      <c r="S89" s="218"/>
      <c r="T89" s="271"/>
      <c r="U89" s="14"/>
      <c r="V89" s="97"/>
    </row>
    <row r="90" spans="1:22" ht="56.4" customHeight="1">
      <c r="A90" s="782" t="s">
        <v>97</v>
      </c>
      <c r="B90" s="782"/>
      <c r="C90" s="612"/>
      <c r="D90" s="782" t="s">
        <v>98</v>
      </c>
      <c r="E90" s="782"/>
      <c r="F90" s="782"/>
      <c r="G90" s="782" t="s">
        <v>99</v>
      </c>
      <c r="H90" s="782"/>
      <c r="I90" s="782" t="s">
        <v>100</v>
      </c>
      <c r="J90" s="782"/>
      <c r="K90" s="614" t="s">
        <v>101</v>
      </c>
      <c r="L90" s="615"/>
      <c r="M90" s="614" t="s">
        <v>102</v>
      </c>
      <c r="N90" s="615"/>
      <c r="O90" s="614" t="s">
        <v>103</v>
      </c>
      <c r="P90" s="615"/>
      <c r="Q90" s="614" t="s">
        <v>104</v>
      </c>
      <c r="R90" s="615"/>
      <c r="S90" s="782" t="s">
        <v>105</v>
      </c>
      <c r="T90" s="782"/>
      <c r="U90" s="782"/>
      <c r="V90" s="782"/>
    </row>
    <row r="91" spans="1:22" ht="18" customHeight="1">
      <c r="A91" s="612" t="str">
        <f>B7</f>
        <v>T1</v>
      </c>
      <c r="B91" s="623" t="str">
        <f>D7</f>
        <v>Core4</v>
      </c>
      <c r="C91" s="623"/>
      <c r="D91" s="613">
        <f>H10</f>
        <v>2500</v>
      </c>
      <c r="E91" s="613"/>
      <c r="F91" s="624">
        <f>O10</f>
        <v>1</v>
      </c>
      <c r="G91" s="627">
        <f>'CT-VT Burdens'!S19</f>
        <v>80</v>
      </c>
      <c r="H91" s="783">
        <f>'CT-VT Burdens'!S10</f>
        <v>2.5</v>
      </c>
      <c r="I91" s="783" t="str">
        <f>H11</f>
        <v>PX-B</v>
      </c>
      <c r="J91" s="783"/>
      <c r="K91" s="612">
        <f>H12</f>
        <v>5</v>
      </c>
      <c r="L91" s="612"/>
      <c r="M91" s="612">
        <f>H13</f>
        <v>750</v>
      </c>
      <c r="N91" s="612"/>
      <c r="O91" s="613">
        <f>H14</f>
        <v>60</v>
      </c>
      <c r="P91" s="613"/>
      <c r="Q91" s="629" t="str">
        <f>T7</f>
        <v>REF650</v>
      </c>
      <c r="R91" s="629"/>
      <c r="S91" s="628" t="str">
        <f>G58</f>
        <v>Suitably Dimentioned</v>
      </c>
      <c r="T91" s="628"/>
      <c r="U91" s="628"/>
      <c r="V91" s="628"/>
    </row>
    <row r="92" spans="1:22" ht="18" customHeight="1">
      <c r="A92" s="612"/>
      <c r="B92" s="623"/>
      <c r="C92" s="623"/>
      <c r="D92" s="613" t="s">
        <v>7</v>
      </c>
      <c r="E92" s="613"/>
      <c r="F92" s="625"/>
      <c r="G92" s="627"/>
      <c r="H92" s="613"/>
      <c r="I92" s="783"/>
      <c r="J92" s="783"/>
      <c r="K92" s="612" t="s">
        <v>7</v>
      </c>
      <c r="L92" s="612"/>
      <c r="M92" s="612" t="s">
        <v>7</v>
      </c>
      <c r="N92" s="612"/>
      <c r="O92" s="613" t="s">
        <v>7</v>
      </c>
      <c r="P92" s="613"/>
      <c r="Q92" s="629"/>
      <c r="R92" s="629"/>
      <c r="S92" s="628" t="s">
        <v>7</v>
      </c>
      <c r="T92" s="628"/>
      <c r="U92" s="628"/>
      <c r="V92" s="628"/>
    </row>
    <row r="93" spans="1:22" ht="18" customHeight="1">
      <c r="A93" s="612"/>
      <c r="B93" s="623"/>
      <c r="C93" s="623"/>
      <c r="D93" s="613" t="s">
        <v>7</v>
      </c>
      <c r="E93" s="613"/>
      <c r="F93" s="626"/>
      <c r="G93" s="627"/>
      <c r="H93" s="613"/>
      <c r="I93" s="783"/>
      <c r="J93" s="783"/>
      <c r="K93" s="612" t="s">
        <v>7</v>
      </c>
      <c r="L93" s="612"/>
      <c r="M93" s="612" t="s">
        <v>7</v>
      </c>
      <c r="N93" s="612"/>
      <c r="O93" s="613" t="s">
        <v>7</v>
      </c>
      <c r="P93" s="613"/>
      <c r="Q93" s="629"/>
      <c r="R93" s="629"/>
      <c r="S93" s="628" t="s">
        <v>7</v>
      </c>
      <c r="T93" s="628"/>
      <c r="U93" s="628"/>
      <c r="V93" s="628"/>
    </row>
    <row r="94" spans="1:22" ht="18" customHeight="1">
      <c r="A94" s="196"/>
      <c r="V94" s="197"/>
    </row>
    <row r="95" spans="1:22" ht="18" customHeight="1">
      <c r="A95" s="196"/>
      <c r="V95" s="197"/>
    </row>
    <row r="96" spans="1:22" ht="18" customHeight="1">
      <c r="A96" s="196"/>
      <c r="V96" s="197"/>
    </row>
    <row r="97" spans="1:22" ht="18" customHeight="1">
      <c r="A97" s="196"/>
      <c r="V97" s="197"/>
    </row>
    <row r="98" spans="1:22" ht="18" customHeight="1">
      <c r="A98" s="196"/>
      <c r="V98" s="197"/>
    </row>
    <row r="99" spans="1:22" ht="18" customHeight="1">
      <c r="A99" s="196"/>
      <c r="V99" s="197"/>
    </row>
    <row r="100" spans="1:22" ht="18" customHeight="1">
      <c r="A100" s="196"/>
      <c r="V100" s="197"/>
    </row>
    <row r="101" spans="1:22" ht="18" customHeight="1">
      <c r="A101" s="196"/>
      <c r="V101" s="197"/>
    </row>
    <row r="102" spans="1:22" ht="18" customHeight="1">
      <c r="A102" s="196"/>
      <c r="V102" s="197"/>
    </row>
    <row r="103" spans="1:22" ht="18" customHeight="1">
      <c r="A103" s="196"/>
      <c r="V103" s="197"/>
    </row>
    <row r="104" spans="1:22" ht="18" customHeight="1">
      <c r="A104" s="196"/>
      <c r="V104" s="197"/>
    </row>
    <row r="105" spans="1:22" ht="18" customHeight="1">
      <c r="A105" s="196"/>
      <c r="V105" s="197"/>
    </row>
    <row r="106" spans="1:22" ht="18" customHeight="1">
      <c r="A106" s="196"/>
      <c r="V106" s="197"/>
    </row>
    <row r="107" spans="1:22" ht="18" customHeight="1">
      <c r="A107" s="196"/>
      <c r="V107" s="197"/>
    </row>
    <row r="108" spans="1:22" ht="18" customHeight="1">
      <c r="A108" s="196"/>
      <c r="V108" s="197"/>
    </row>
    <row r="109" spans="1:22" ht="18" customHeight="1">
      <c r="A109" s="196"/>
      <c r="V109" s="197"/>
    </row>
    <row r="110" spans="1:22" ht="18" customHeight="1">
      <c r="A110" s="196"/>
      <c r="V110" s="197"/>
    </row>
    <row r="111" spans="1:22" ht="18" customHeight="1">
      <c r="A111" s="196"/>
      <c r="V111" s="197"/>
    </row>
    <row r="112" spans="1:22"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302"/>
      <c r="B126" s="208"/>
      <c r="C126" s="208"/>
      <c r="D126" s="208"/>
      <c r="E126" s="208"/>
      <c r="F126" s="208"/>
      <c r="G126" s="208"/>
      <c r="H126" s="208"/>
      <c r="I126" s="208"/>
      <c r="J126" s="208"/>
      <c r="K126" s="208"/>
      <c r="L126" s="208"/>
      <c r="M126" s="208"/>
      <c r="N126" s="208"/>
      <c r="O126" s="208"/>
      <c r="P126" s="208"/>
      <c r="Q126" s="208"/>
      <c r="R126" s="208"/>
      <c r="S126" s="208"/>
      <c r="T126" s="208"/>
      <c r="U126" s="208"/>
      <c r="V126" s="303"/>
    </row>
  </sheetData>
  <mergeCells count="88">
    <mergeCell ref="A1:G4"/>
    <mergeCell ref="H1:N1"/>
    <mergeCell ref="O1:Q1"/>
    <mergeCell ref="R1:V1"/>
    <mergeCell ref="H2:N2"/>
    <mergeCell ref="O2:Q2"/>
    <mergeCell ref="R2:V2"/>
    <mergeCell ref="H3:N4"/>
    <mergeCell ref="O3:Q3"/>
    <mergeCell ref="R3:V3"/>
    <mergeCell ref="O4:Q4"/>
    <mergeCell ref="R4:V4"/>
    <mergeCell ref="A5:B5"/>
    <mergeCell ref="D5:F5"/>
    <mergeCell ref="H5:N5"/>
    <mergeCell ref="O5:Q5"/>
    <mergeCell ref="R5:V5"/>
    <mergeCell ref="H13:I13"/>
    <mergeCell ref="B7:C7"/>
    <mergeCell ref="D7:E7"/>
    <mergeCell ref="T7:U7"/>
    <mergeCell ref="H9:I9"/>
    <mergeCell ref="J9:K9"/>
    <mergeCell ref="L9:M9"/>
    <mergeCell ref="H10:I10"/>
    <mergeCell ref="J10:K10"/>
    <mergeCell ref="L10:M10"/>
    <mergeCell ref="H11:I11"/>
    <mergeCell ref="H12:I12"/>
    <mergeCell ref="H14:I14"/>
    <mergeCell ref="J18:K18"/>
    <mergeCell ref="J19:K19"/>
    <mergeCell ref="J20:K20"/>
    <mergeCell ref="J21:K21"/>
    <mergeCell ref="H40:I40"/>
    <mergeCell ref="P22:Q22"/>
    <mergeCell ref="A24:V25"/>
    <mergeCell ref="H29:I29"/>
    <mergeCell ref="S31:T31"/>
    <mergeCell ref="S32:T32"/>
    <mergeCell ref="S33:T33"/>
    <mergeCell ref="J22:K22"/>
    <mergeCell ref="S34:T34"/>
    <mergeCell ref="S35:T35"/>
    <mergeCell ref="S36:T36"/>
    <mergeCell ref="S37:T37"/>
    <mergeCell ref="S38:T38"/>
    <mergeCell ref="H41:I41"/>
    <mergeCell ref="E42:F42"/>
    <mergeCell ref="G48:H48"/>
    <mergeCell ref="J48:K48"/>
    <mergeCell ref="G49:H49"/>
    <mergeCell ref="J49:K49"/>
    <mergeCell ref="D57:E57"/>
    <mergeCell ref="G57:H57"/>
    <mergeCell ref="A90:C90"/>
    <mergeCell ref="D90:F90"/>
    <mergeCell ref="G90:H90"/>
    <mergeCell ref="M90:N90"/>
    <mergeCell ref="O90:P90"/>
    <mergeCell ref="Q90:R90"/>
    <mergeCell ref="S90:V90"/>
    <mergeCell ref="G50:H50"/>
    <mergeCell ref="G54:H54"/>
    <mergeCell ref="H91:H93"/>
    <mergeCell ref="D92:E92"/>
    <mergeCell ref="D93:E93"/>
    <mergeCell ref="I90:J90"/>
    <mergeCell ref="K90:L90"/>
    <mergeCell ref="K93:L93"/>
    <mergeCell ref="A91:A93"/>
    <mergeCell ref="B91:C93"/>
    <mergeCell ref="D91:E91"/>
    <mergeCell ref="F91:F93"/>
    <mergeCell ref="G91:G93"/>
    <mergeCell ref="M93:N93"/>
    <mergeCell ref="O93:P93"/>
    <mergeCell ref="S93:V93"/>
    <mergeCell ref="I91:J93"/>
    <mergeCell ref="K91:L91"/>
    <mergeCell ref="M91:N91"/>
    <mergeCell ref="O91:P91"/>
    <mergeCell ref="Q91:R93"/>
    <mergeCell ref="S91:V91"/>
    <mergeCell ref="K92:L92"/>
    <mergeCell ref="M92:N92"/>
    <mergeCell ref="O92:P92"/>
    <mergeCell ref="S92:V92"/>
  </mergeCells>
  <conditionalFormatting sqref="G58">
    <cfRule type="cellIs" dxfId="27" priority="1" stopIfTrue="1" operator="equal">
      <formula>"Under Dimentioned"</formula>
    </cfRule>
  </conditionalFormatting>
  <dataValidations count="1">
    <dataValidation type="list" allowBlank="1" showInputMessage="1" showErrorMessage="1" sqref="D7" xr:uid="{A7D81AD1-3755-4F3A-87A8-749D9AEEACC1}">
      <formula1>"Core1,Core2,Core3,Core4,Core5,Core6,Core7"</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6" max="21" man="1"/>
    <brk id="87" max="21" man="1"/>
  </rowBreaks>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F95FE-6F73-4459-8022-5CBE602A77E8}">
  <sheetPr>
    <tabColor rgb="FF99CCFF"/>
  </sheetPr>
  <dimension ref="A1:Y45"/>
  <sheetViews>
    <sheetView view="pageBreakPreview" topLeftCell="A10"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959</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192"/>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B33" s="4"/>
      <c r="C33" s="4"/>
      <c r="D33" s="4"/>
      <c r="E33" s="4"/>
      <c r="F33" s="4"/>
      <c r="G33" s="4"/>
      <c r="H33" s="4"/>
      <c r="I33" s="4"/>
      <c r="J33" s="4"/>
      <c r="K33" s="4"/>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M36" s="4"/>
      <c r="N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ht="18" customHeight="1">
      <c r="A43" s="69"/>
      <c r="N43" s="4"/>
      <c r="O43" s="4"/>
      <c r="P43" s="4"/>
      <c r="Q43" s="4"/>
      <c r="R43" s="4"/>
      <c r="S43" s="4"/>
      <c r="T43" s="4"/>
      <c r="U43" s="4"/>
      <c r="V43" s="71"/>
      <c r="W43" s="4"/>
      <c r="X43" s="4"/>
    </row>
    <row r="44" spans="1:25" s="107" customFormat="1" ht="18" customHeight="1">
      <c r="A44" s="193"/>
      <c r="B44" s="4"/>
      <c r="C44" s="4"/>
      <c r="D44" s="4"/>
      <c r="E44" s="4"/>
      <c r="F44" s="4"/>
      <c r="G44" s="4"/>
      <c r="H44" s="4"/>
      <c r="I44" s="4"/>
      <c r="J44" s="4"/>
      <c r="K44" s="4"/>
      <c r="L44" s="4"/>
      <c r="M44" s="4"/>
      <c r="N44" s="4"/>
      <c r="O44" s="4"/>
      <c r="P44" s="4"/>
      <c r="Q44" s="4"/>
      <c r="R44" s="4"/>
      <c r="S44" s="4"/>
      <c r="T44" s="4"/>
      <c r="U44" s="4"/>
      <c r="V44" s="71"/>
      <c r="W44" s="4"/>
      <c r="X44" s="4"/>
      <c r="Y44" s="5"/>
    </row>
    <row r="45" spans="1:25" ht="18" customHeight="1">
      <c r="A45" s="65"/>
      <c r="B45" s="66"/>
      <c r="C45" s="66"/>
      <c r="D45" s="66"/>
      <c r="E45" s="66"/>
      <c r="F45" s="66"/>
      <c r="G45" s="66"/>
      <c r="H45" s="66"/>
      <c r="I45" s="66"/>
      <c r="J45" s="66"/>
      <c r="K45" s="66"/>
      <c r="L45" s="66"/>
      <c r="M45" s="66"/>
      <c r="N45" s="66"/>
      <c r="O45" s="66"/>
      <c r="P45" s="66"/>
      <c r="Q45" s="66"/>
      <c r="R45" s="66"/>
      <c r="S45" s="66"/>
      <c r="T45" s="66"/>
      <c r="U45" s="66"/>
      <c r="V45" s="67"/>
      <c r="W45" s="4"/>
      <c r="X45"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97313"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5A9F0-1008-43E6-A534-8809BC22F8C2}">
  <sheetPr>
    <tabColor rgb="FFFFFF00"/>
  </sheetPr>
  <dimension ref="A1:AC464"/>
  <sheetViews>
    <sheetView showZeros="0" view="pageBreakPreview" topLeftCell="A107" zoomScale="115" zoomScaleNormal="100" zoomScaleSheetLayoutView="115" workbookViewId="0">
      <selection activeCell="K13" sqref="K13"/>
    </sheetView>
  </sheetViews>
  <sheetFormatPr defaultColWidth="4.33203125" defaultRowHeight="18" customHeight="1"/>
  <cols>
    <col min="16" max="16" width="4.5546875" bestFit="1" customWidth="1"/>
    <col min="17" max="17" width="3.88671875" bestFit="1" customWidth="1"/>
    <col min="22" max="22" width="3.6640625" customWidth="1"/>
    <col min="26" max="26" width="5" bestFit="1" customWidth="1"/>
    <col min="272" max="272" width="4.5546875" bestFit="1" customWidth="1"/>
    <col min="273" max="273" width="3.88671875" bestFit="1" customWidth="1"/>
    <col min="278" max="278" width="3.6640625" customWidth="1"/>
    <col min="282" max="282" width="5" bestFit="1" customWidth="1"/>
    <col min="528" max="528" width="4.5546875" bestFit="1" customWidth="1"/>
    <col min="529" max="529" width="3.88671875" bestFit="1" customWidth="1"/>
    <col min="534" max="534" width="3.6640625" customWidth="1"/>
    <col min="538" max="538" width="5" bestFit="1" customWidth="1"/>
    <col min="784" max="784" width="4.5546875" bestFit="1" customWidth="1"/>
    <col min="785" max="785" width="3.88671875" bestFit="1" customWidth="1"/>
    <col min="790" max="790" width="3.6640625" customWidth="1"/>
    <col min="794" max="794" width="5" bestFit="1" customWidth="1"/>
    <col min="1040" max="1040" width="4.5546875" bestFit="1" customWidth="1"/>
    <col min="1041" max="1041" width="3.88671875" bestFit="1" customWidth="1"/>
    <col min="1046" max="1046" width="3.6640625" customWidth="1"/>
    <col min="1050" max="1050" width="5" bestFit="1" customWidth="1"/>
    <col min="1296" max="1296" width="4.5546875" bestFit="1" customWidth="1"/>
    <col min="1297" max="1297" width="3.88671875" bestFit="1" customWidth="1"/>
    <col min="1302" max="1302" width="3.6640625" customWidth="1"/>
    <col min="1306" max="1306" width="5" bestFit="1" customWidth="1"/>
    <col min="1552" max="1552" width="4.5546875" bestFit="1" customWidth="1"/>
    <col min="1553" max="1553" width="3.88671875" bestFit="1" customWidth="1"/>
    <col min="1558" max="1558" width="3.6640625" customWidth="1"/>
    <col min="1562" max="1562" width="5" bestFit="1" customWidth="1"/>
    <col min="1808" max="1808" width="4.5546875" bestFit="1" customWidth="1"/>
    <col min="1809" max="1809" width="3.88671875" bestFit="1" customWidth="1"/>
    <col min="1814" max="1814" width="3.6640625" customWidth="1"/>
    <col min="1818" max="1818" width="5" bestFit="1" customWidth="1"/>
    <col min="2064" max="2064" width="4.5546875" bestFit="1" customWidth="1"/>
    <col min="2065" max="2065" width="3.88671875" bestFit="1" customWidth="1"/>
    <col min="2070" max="2070" width="3.6640625" customWidth="1"/>
    <col min="2074" max="2074" width="5" bestFit="1" customWidth="1"/>
    <col min="2320" max="2320" width="4.5546875" bestFit="1" customWidth="1"/>
    <col min="2321" max="2321" width="3.88671875" bestFit="1" customWidth="1"/>
    <col min="2326" max="2326" width="3.6640625" customWidth="1"/>
    <col min="2330" max="2330" width="5" bestFit="1" customWidth="1"/>
    <col min="2576" max="2576" width="4.5546875" bestFit="1" customWidth="1"/>
    <col min="2577" max="2577" width="3.88671875" bestFit="1" customWidth="1"/>
    <col min="2582" max="2582" width="3.6640625" customWidth="1"/>
    <col min="2586" max="2586" width="5" bestFit="1" customWidth="1"/>
    <col min="2832" max="2832" width="4.5546875" bestFit="1" customWidth="1"/>
    <col min="2833" max="2833" width="3.88671875" bestFit="1" customWidth="1"/>
    <col min="2838" max="2838" width="3.6640625" customWidth="1"/>
    <col min="2842" max="2842" width="5" bestFit="1" customWidth="1"/>
    <col min="3088" max="3088" width="4.5546875" bestFit="1" customWidth="1"/>
    <col min="3089" max="3089" width="3.88671875" bestFit="1" customWidth="1"/>
    <col min="3094" max="3094" width="3.6640625" customWidth="1"/>
    <col min="3098" max="3098" width="5" bestFit="1" customWidth="1"/>
    <col min="3344" max="3344" width="4.5546875" bestFit="1" customWidth="1"/>
    <col min="3345" max="3345" width="3.88671875" bestFit="1" customWidth="1"/>
    <col min="3350" max="3350" width="3.6640625" customWidth="1"/>
    <col min="3354" max="3354" width="5" bestFit="1" customWidth="1"/>
    <col min="3600" max="3600" width="4.5546875" bestFit="1" customWidth="1"/>
    <col min="3601" max="3601" width="3.88671875" bestFit="1" customWidth="1"/>
    <col min="3606" max="3606" width="3.6640625" customWidth="1"/>
    <col min="3610" max="3610" width="5" bestFit="1" customWidth="1"/>
    <col min="3856" max="3856" width="4.5546875" bestFit="1" customWidth="1"/>
    <col min="3857" max="3857" width="3.88671875" bestFit="1" customWidth="1"/>
    <col min="3862" max="3862" width="3.6640625" customWidth="1"/>
    <col min="3866" max="3866" width="5" bestFit="1" customWidth="1"/>
    <col min="4112" max="4112" width="4.5546875" bestFit="1" customWidth="1"/>
    <col min="4113" max="4113" width="3.88671875" bestFit="1" customWidth="1"/>
    <col min="4118" max="4118" width="3.6640625" customWidth="1"/>
    <col min="4122" max="4122" width="5" bestFit="1" customWidth="1"/>
    <col min="4368" max="4368" width="4.5546875" bestFit="1" customWidth="1"/>
    <col min="4369" max="4369" width="3.88671875" bestFit="1" customWidth="1"/>
    <col min="4374" max="4374" width="3.6640625" customWidth="1"/>
    <col min="4378" max="4378" width="5" bestFit="1" customWidth="1"/>
    <col min="4624" max="4624" width="4.5546875" bestFit="1" customWidth="1"/>
    <col min="4625" max="4625" width="3.88671875" bestFit="1" customWidth="1"/>
    <col min="4630" max="4630" width="3.6640625" customWidth="1"/>
    <col min="4634" max="4634" width="5" bestFit="1" customWidth="1"/>
    <col min="4880" max="4880" width="4.5546875" bestFit="1" customWidth="1"/>
    <col min="4881" max="4881" width="3.88671875" bestFit="1" customWidth="1"/>
    <col min="4886" max="4886" width="3.6640625" customWidth="1"/>
    <col min="4890" max="4890" width="5" bestFit="1" customWidth="1"/>
    <col min="5136" max="5136" width="4.5546875" bestFit="1" customWidth="1"/>
    <col min="5137" max="5137" width="3.88671875" bestFit="1" customWidth="1"/>
    <col min="5142" max="5142" width="3.6640625" customWidth="1"/>
    <col min="5146" max="5146" width="5" bestFit="1" customWidth="1"/>
    <col min="5392" max="5392" width="4.5546875" bestFit="1" customWidth="1"/>
    <col min="5393" max="5393" width="3.88671875" bestFit="1" customWidth="1"/>
    <col min="5398" max="5398" width="3.6640625" customWidth="1"/>
    <col min="5402" max="5402" width="5" bestFit="1" customWidth="1"/>
    <col min="5648" max="5648" width="4.5546875" bestFit="1" customWidth="1"/>
    <col min="5649" max="5649" width="3.88671875" bestFit="1" customWidth="1"/>
    <col min="5654" max="5654" width="3.6640625" customWidth="1"/>
    <col min="5658" max="5658" width="5" bestFit="1" customWidth="1"/>
    <col min="5904" max="5904" width="4.5546875" bestFit="1" customWidth="1"/>
    <col min="5905" max="5905" width="3.88671875" bestFit="1" customWidth="1"/>
    <col min="5910" max="5910" width="3.6640625" customWidth="1"/>
    <col min="5914" max="5914" width="5" bestFit="1" customWidth="1"/>
    <col min="6160" max="6160" width="4.5546875" bestFit="1" customWidth="1"/>
    <col min="6161" max="6161" width="3.88671875" bestFit="1" customWidth="1"/>
    <col min="6166" max="6166" width="3.6640625" customWidth="1"/>
    <col min="6170" max="6170" width="5" bestFit="1" customWidth="1"/>
    <col min="6416" max="6416" width="4.5546875" bestFit="1" customWidth="1"/>
    <col min="6417" max="6417" width="3.88671875" bestFit="1" customWidth="1"/>
    <col min="6422" max="6422" width="3.6640625" customWidth="1"/>
    <col min="6426" max="6426" width="5" bestFit="1" customWidth="1"/>
    <col min="6672" max="6672" width="4.5546875" bestFit="1" customWidth="1"/>
    <col min="6673" max="6673" width="3.88671875" bestFit="1" customWidth="1"/>
    <col min="6678" max="6678" width="3.6640625" customWidth="1"/>
    <col min="6682" max="6682" width="5" bestFit="1" customWidth="1"/>
    <col min="6928" max="6928" width="4.5546875" bestFit="1" customWidth="1"/>
    <col min="6929" max="6929" width="3.88671875" bestFit="1" customWidth="1"/>
    <col min="6934" max="6934" width="3.6640625" customWidth="1"/>
    <col min="6938" max="6938" width="5" bestFit="1" customWidth="1"/>
    <col min="7184" max="7184" width="4.5546875" bestFit="1" customWidth="1"/>
    <col min="7185" max="7185" width="3.88671875" bestFit="1" customWidth="1"/>
    <col min="7190" max="7190" width="3.6640625" customWidth="1"/>
    <col min="7194" max="7194" width="5" bestFit="1" customWidth="1"/>
    <col min="7440" max="7440" width="4.5546875" bestFit="1" customWidth="1"/>
    <col min="7441" max="7441" width="3.88671875" bestFit="1" customWidth="1"/>
    <col min="7446" max="7446" width="3.6640625" customWidth="1"/>
    <col min="7450" max="7450" width="5" bestFit="1" customWidth="1"/>
    <col min="7696" max="7696" width="4.5546875" bestFit="1" customWidth="1"/>
    <col min="7697" max="7697" width="3.88671875" bestFit="1" customWidth="1"/>
    <col min="7702" max="7702" width="3.6640625" customWidth="1"/>
    <col min="7706" max="7706" width="5" bestFit="1" customWidth="1"/>
    <col min="7952" max="7952" width="4.5546875" bestFit="1" customWidth="1"/>
    <col min="7953" max="7953" width="3.88671875" bestFit="1" customWidth="1"/>
    <col min="7958" max="7958" width="3.6640625" customWidth="1"/>
    <col min="7962" max="7962" width="5" bestFit="1" customWidth="1"/>
    <col min="8208" max="8208" width="4.5546875" bestFit="1" customWidth="1"/>
    <col min="8209" max="8209" width="3.88671875" bestFit="1" customWidth="1"/>
    <col min="8214" max="8214" width="3.6640625" customWidth="1"/>
    <col min="8218" max="8218" width="5" bestFit="1" customWidth="1"/>
    <col min="8464" max="8464" width="4.5546875" bestFit="1" customWidth="1"/>
    <col min="8465" max="8465" width="3.88671875" bestFit="1" customWidth="1"/>
    <col min="8470" max="8470" width="3.6640625" customWidth="1"/>
    <col min="8474" max="8474" width="5" bestFit="1" customWidth="1"/>
    <col min="8720" max="8720" width="4.5546875" bestFit="1" customWidth="1"/>
    <col min="8721" max="8721" width="3.88671875" bestFit="1" customWidth="1"/>
    <col min="8726" max="8726" width="3.6640625" customWidth="1"/>
    <col min="8730" max="8730" width="5" bestFit="1" customWidth="1"/>
    <col min="8976" max="8976" width="4.5546875" bestFit="1" customWidth="1"/>
    <col min="8977" max="8977" width="3.88671875" bestFit="1" customWidth="1"/>
    <col min="8982" max="8982" width="3.6640625" customWidth="1"/>
    <col min="8986" max="8986" width="5" bestFit="1" customWidth="1"/>
    <col min="9232" max="9232" width="4.5546875" bestFit="1" customWidth="1"/>
    <col min="9233" max="9233" width="3.88671875" bestFit="1" customWidth="1"/>
    <col min="9238" max="9238" width="3.6640625" customWidth="1"/>
    <col min="9242" max="9242" width="5" bestFit="1" customWidth="1"/>
    <col min="9488" max="9488" width="4.5546875" bestFit="1" customWidth="1"/>
    <col min="9489" max="9489" width="3.88671875" bestFit="1" customWidth="1"/>
    <col min="9494" max="9494" width="3.6640625" customWidth="1"/>
    <col min="9498" max="9498" width="5" bestFit="1" customWidth="1"/>
    <col min="9744" max="9744" width="4.5546875" bestFit="1" customWidth="1"/>
    <col min="9745" max="9745" width="3.88671875" bestFit="1" customWidth="1"/>
    <col min="9750" max="9750" width="3.6640625" customWidth="1"/>
    <col min="9754" max="9754" width="5" bestFit="1" customWidth="1"/>
    <col min="10000" max="10000" width="4.5546875" bestFit="1" customWidth="1"/>
    <col min="10001" max="10001" width="3.88671875" bestFit="1" customWidth="1"/>
    <col min="10006" max="10006" width="3.6640625" customWidth="1"/>
    <col min="10010" max="10010" width="5" bestFit="1" customWidth="1"/>
    <col min="10256" max="10256" width="4.5546875" bestFit="1" customWidth="1"/>
    <col min="10257" max="10257" width="3.88671875" bestFit="1" customWidth="1"/>
    <col min="10262" max="10262" width="3.6640625" customWidth="1"/>
    <col min="10266" max="10266" width="5" bestFit="1" customWidth="1"/>
    <col min="10512" max="10512" width="4.5546875" bestFit="1" customWidth="1"/>
    <col min="10513" max="10513" width="3.88671875" bestFit="1" customWidth="1"/>
    <col min="10518" max="10518" width="3.6640625" customWidth="1"/>
    <col min="10522" max="10522" width="5" bestFit="1" customWidth="1"/>
    <col min="10768" max="10768" width="4.5546875" bestFit="1" customWidth="1"/>
    <col min="10769" max="10769" width="3.88671875" bestFit="1" customWidth="1"/>
    <col min="10774" max="10774" width="3.6640625" customWidth="1"/>
    <col min="10778" max="10778" width="5" bestFit="1" customWidth="1"/>
    <col min="11024" max="11024" width="4.5546875" bestFit="1" customWidth="1"/>
    <col min="11025" max="11025" width="3.88671875" bestFit="1" customWidth="1"/>
    <col min="11030" max="11030" width="3.6640625" customWidth="1"/>
    <col min="11034" max="11034" width="5" bestFit="1" customWidth="1"/>
    <col min="11280" max="11280" width="4.5546875" bestFit="1" customWidth="1"/>
    <col min="11281" max="11281" width="3.88671875" bestFit="1" customWidth="1"/>
    <col min="11286" max="11286" width="3.6640625" customWidth="1"/>
    <col min="11290" max="11290" width="5" bestFit="1" customWidth="1"/>
    <col min="11536" max="11536" width="4.5546875" bestFit="1" customWidth="1"/>
    <col min="11537" max="11537" width="3.88671875" bestFit="1" customWidth="1"/>
    <col min="11542" max="11542" width="3.6640625" customWidth="1"/>
    <col min="11546" max="11546" width="5" bestFit="1" customWidth="1"/>
    <col min="11792" max="11792" width="4.5546875" bestFit="1" customWidth="1"/>
    <col min="11793" max="11793" width="3.88671875" bestFit="1" customWidth="1"/>
    <col min="11798" max="11798" width="3.6640625" customWidth="1"/>
    <col min="11802" max="11802" width="5" bestFit="1" customWidth="1"/>
    <col min="12048" max="12048" width="4.5546875" bestFit="1" customWidth="1"/>
    <col min="12049" max="12049" width="3.88671875" bestFit="1" customWidth="1"/>
    <col min="12054" max="12054" width="3.6640625" customWidth="1"/>
    <col min="12058" max="12058" width="5" bestFit="1" customWidth="1"/>
    <col min="12304" max="12304" width="4.5546875" bestFit="1" customWidth="1"/>
    <col min="12305" max="12305" width="3.88671875" bestFit="1" customWidth="1"/>
    <col min="12310" max="12310" width="3.6640625" customWidth="1"/>
    <col min="12314" max="12314" width="5" bestFit="1" customWidth="1"/>
    <col min="12560" max="12560" width="4.5546875" bestFit="1" customWidth="1"/>
    <col min="12561" max="12561" width="3.88671875" bestFit="1" customWidth="1"/>
    <col min="12566" max="12566" width="3.6640625" customWidth="1"/>
    <col min="12570" max="12570" width="5" bestFit="1" customWidth="1"/>
    <col min="12816" max="12816" width="4.5546875" bestFit="1" customWidth="1"/>
    <col min="12817" max="12817" width="3.88671875" bestFit="1" customWidth="1"/>
    <col min="12822" max="12822" width="3.6640625" customWidth="1"/>
    <col min="12826" max="12826" width="5" bestFit="1" customWidth="1"/>
    <col min="13072" max="13072" width="4.5546875" bestFit="1" customWidth="1"/>
    <col min="13073" max="13073" width="3.88671875" bestFit="1" customWidth="1"/>
    <col min="13078" max="13078" width="3.6640625" customWidth="1"/>
    <col min="13082" max="13082" width="5" bestFit="1" customWidth="1"/>
    <col min="13328" max="13328" width="4.5546875" bestFit="1" customWidth="1"/>
    <col min="13329" max="13329" width="3.88671875" bestFit="1" customWidth="1"/>
    <col min="13334" max="13334" width="3.6640625" customWidth="1"/>
    <col min="13338" max="13338" width="5" bestFit="1" customWidth="1"/>
    <col min="13584" max="13584" width="4.5546875" bestFit="1" customWidth="1"/>
    <col min="13585" max="13585" width="3.88671875" bestFit="1" customWidth="1"/>
    <col min="13590" max="13590" width="3.6640625" customWidth="1"/>
    <col min="13594" max="13594" width="5" bestFit="1" customWidth="1"/>
    <col min="13840" max="13840" width="4.5546875" bestFit="1" customWidth="1"/>
    <col min="13841" max="13841" width="3.88671875" bestFit="1" customWidth="1"/>
    <col min="13846" max="13846" width="3.6640625" customWidth="1"/>
    <col min="13850" max="13850" width="5" bestFit="1" customWidth="1"/>
    <col min="14096" max="14096" width="4.5546875" bestFit="1" customWidth="1"/>
    <col min="14097" max="14097" width="3.88671875" bestFit="1" customWidth="1"/>
    <col min="14102" max="14102" width="3.6640625" customWidth="1"/>
    <col min="14106" max="14106" width="5" bestFit="1" customWidth="1"/>
    <col min="14352" max="14352" width="4.5546875" bestFit="1" customWidth="1"/>
    <col min="14353" max="14353" width="3.88671875" bestFit="1" customWidth="1"/>
    <col min="14358" max="14358" width="3.6640625" customWidth="1"/>
    <col min="14362" max="14362" width="5" bestFit="1" customWidth="1"/>
    <col min="14608" max="14608" width="4.5546875" bestFit="1" customWidth="1"/>
    <col min="14609" max="14609" width="3.88671875" bestFit="1" customWidth="1"/>
    <col min="14614" max="14614" width="3.6640625" customWidth="1"/>
    <col min="14618" max="14618" width="5" bestFit="1" customWidth="1"/>
    <col min="14864" max="14864" width="4.5546875" bestFit="1" customWidth="1"/>
    <col min="14865" max="14865" width="3.88671875" bestFit="1" customWidth="1"/>
    <col min="14870" max="14870" width="3.6640625" customWidth="1"/>
    <col min="14874" max="14874" width="5" bestFit="1" customWidth="1"/>
    <col min="15120" max="15120" width="4.5546875" bestFit="1" customWidth="1"/>
    <col min="15121" max="15121" width="3.88671875" bestFit="1" customWidth="1"/>
    <col min="15126" max="15126" width="3.6640625" customWidth="1"/>
    <col min="15130" max="15130" width="5" bestFit="1" customWidth="1"/>
    <col min="15376" max="15376" width="4.5546875" bestFit="1" customWidth="1"/>
    <col min="15377" max="15377" width="3.88671875" bestFit="1" customWidth="1"/>
    <col min="15382" max="15382" width="3.6640625" customWidth="1"/>
    <col min="15386" max="15386" width="5" bestFit="1" customWidth="1"/>
    <col min="15632" max="15632" width="4.5546875" bestFit="1" customWidth="1"/>
    <col min="15633" max="15633" width="3.88671875" bestFit="1" customWidth="1"/>
    <col min="15638" max="15638" width="3.6640625" customWidth="1"/>
    <col min="15642" max="15642" width="5" bestFit="1" customWidth="1"/>
    <col min="15888" max="15888" width="4.5546875" bestFit="1" customWidth="1"/>
    <col min="15889" max="15889" width="3.88671875" bestFit="1" customWidth="1"/>
    <col min="15894" max="15894" width="3.6640625" customWidth="1"/>
    <col min="15898" max="15898" width="5" bestFit="1" customWidth="1"/>
    <col min="16144" max="16144" width="4.5546875" bestFit="1" customWidth="1"/>
    <col min="16145" max="16145" width="3.88671875" bestFit="1" customWidth="1"/>
    <col min="16150" max="16150" width="3.6640625" customWidth="1"/>
    <col min="16154" max="16154" width="5" bestFit="1" customWidth="1"/>
  </cols>
  <sheetData>
    <row r="1" spans="1:29"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05" t="str">
        <f>Title!R1</f>
        <v>N-19957.1-DF5W</v>
      </c>
      <c r="S1" s="706"/>
      <c r="T1" s="706"/>
      <c r="U1" s="706"/>
      <c r="V1" s="707"/>
      <c r="W1" s="7"/>
      <c r="X1" s="7"/>
    </row>
    <row r="2" spans="1:29" ht="18" customHeight="1">
      <c r="A2" s="720"/>
      <c r="B2" s="721"/>
      <c r="C2" s="721"/>
      <c r="D2" s="721"/>
      <c r="E2" s="721"/>
      <c r="F2" s="721"/>
      <c r="G2" s="722"/>
      <c r="H2" s="729" t="str">
        <f>Title!H2</f>
        <v>ADEQUACY CHECK</v>
      </c>
      <c r="I2" s="730"/>
      <c r="J2" s="730"/>
      <c r="K2" s="730"/>
      <c r="L2" s="730"/>
      <c r="M2" s="730"/>
      <c r="N2" s="731"/>
      <c r="O2" s="702" t="str">
        <f>Title!O2</f>
        <v>Date</v>
      </c>
      <c r="P2" s="703"/>
      <c r="Q2" s="704"/>
      <c r="R2" s="732">
        <f>Title!R2</f>
        <v>46106</v>
      </c>
      <c r="S2" s="706"/>
      <c r="T2" s="706"/>
      <c r="U2" s="706"/>
      <c r="V2" s="707"/>
      <c r="W2" s="7"/>
      <c r="X2" s="7"/>
    </row>
    <row r="3" spans="1:29"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5" t="str">
        <f>Title!R3</f>
        <v>-</v>
      </c>
      <c r="S3" s="706"/>
      <c r="T3" s="706"/>
      <c r="U3" s="706"/>
      <c r="V3" s="707"/>
      <c r="W3" s="7"/>
      <c r="X3" s="7"/>
    </row>
    <row r="4" spans="1:29"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7"/>
      <c r="X4" s="7"/>
    </row>
    <row r="5" spans="1:29" ht="18" customHeight="1">
      <c r="A5" s="708" t="str">
        <f>Title!A5</f>
        <v>Prep. By</v>
      </c>
      <c r="B5" s="709"/>
      <c r="C5" s="25" t="str">
        <f>Title!C5</f>
        <v>AP</v>
      </c>
      <c r="D5" s="708" t="str">
        <f>Title!D5</f>
        <v>Checked By</v>
      </c>
      <c r="E5" s="710"/>
      <c r="F5" s="709"/>
      <c r="G5" s="25" t="str">
        <f>Title!G5</f>
        <v>RB</v>
      </c>
      <c r="H5" s="711" t="s">
        <v>935</v>
      </c>
      <c r="I5" s="712"/>
      <c r="J5" s="712"/>
      <c r="K5" s="712"/>
      <c r="L5" s="712"/>
      <c r="M5" s="712"/>
      <c r="N5" s="713"/>
      <c r="O5" s="714" t="str">
        <f>Title!O5</f>
        <v>Contractor</v>
      </c>
      <c r="P5" s="715"/>
      <c r="Q5" s="716"/>
      <c r="R5" s="705" t="str">
        <f>Title!R5</f>
        <v>HITACHI</v>
      </c>
      <c r="S5" s="706"/>
      <c r="T5" s="706"/>
      <c r="U5" s="706"/>
      <c r="V5" s="707"/>
      <c r="W5" s="7"/>
      <c r="X5" s="7"/>
    </row>
    <row r="6" spans="1:29" ht="18" customHeight="1">
      <c r="A6" s="9"/>
      <c r="V6" s="10"/>
    </row>
    <row r="7" spans="1:29" ht="18" customHeight="1">
      <c r="A7" s="9"/>
      <c r="B7" s="696" t="s">
        <v>120</v>
      </c>
      <c r="C7" s="697"/>
      <c r="D7" s="696" t="s">
        <v>396</v>
      </c>
      <c r="E7" s="698"/>
      <c r="F7" s="638"/>
      <c r="G7" s="638"/>
      <c r="H7" s="638" t="s">
        <v>397</v>
      </c>
      <c r="I7" s="638"/>
      <c r="J7" s="638"/>
      <c r="K7" s="638"/>
      <c r="L7" s="638"/>
      <c r="M7" s="638"/>
      <c r="N7" s="638"/>
      <c r="S7" s="199" t="s">
        <v>398</v>
      </c>
      <c r="T7" s="656" t="s">
        <v>399</v>
      </c>
      <c r="U7" s="657"/>
      <c r="V7" s="10"/>
      <c r="W7" s="30" t="s">
        <v>400</v>
      </c>
    </row>
    <row r="8" spans="1:29" ht="18" customHeight="1">
      <c r="A8" s="9"/>
      <c r="B8" s="654"/>
      <c r="C8" s="655"/>
      <c r="D8" s="699"/>
      <c r="E8" s="700"/>
      <c r="T8" s="656"/>
      <c r="U8" s="657"/>
      <c r="V8" s="10"/>
    </row>
    <row r="9" spans="1:29" ht="18" customHeight="1">
      <c r="A9" s="9"/>
      <c r="H9" s="662" t="s">
        <v>401</v>
      </c>
      <c r="I9" s="662"/>
      <c r="J9" s="701" t="s">
        <v>402</v>
      </c>
      <c r="K9" s="701"/>
      <c r="L9" s="701" t="s">
        <v>403</v>
      </c>
      <c r="M9" s="701"/>
      <c r="T9" s="656"/>
      <c r="U9" s="657"/>
      <c r="V9" s="10"/>
    </row>
    <row r="10" spans="1:29" ht="18" customHeight="1">
      <c r="A10" s="9"/>
      <c r="B10" s="47" t="s">
        <v>404</v>
      </c>
      <c r="H10" s="692">
        <v>2500</v>
      </c>
      <c r="I10" s="693"/>
      <c r="J10" s="656" t="s">
        <v>7</v>
      </c>
      <c r="K10" s="657"/>
      <c r="L10" s="656" t="s">
        <v>7</v>
      </c>
      <c r="M10" s="657"/>
      <c r="N10" s="203" t="s">
        <v>353</v>
      </c>
      <c r="O10" s="125">
        <v>1</v>
      </c>
      <c r="P10" s="27" t="s">
        <v>9</v>
      </c>
      <c r="V10" s="10"/>
    </row>
    <row r="11" spans="1:29" ht="18" customHeight="1">
      <c r="A11" s="9"/>
      <c r="B11" s="47" t="s">
        <v>405</v>
      </c>
      <c r="H11" s="656" t="s">
        <v>850</v>
      </c>
      <c r="I11" s="657"/>
      <c r="V11" s="10"/>
    </row>
    <row r="12" spans="1:29" ht="18" customHeight="1">
      <c r="A12" s="9"/>
      <c r="B12" s="47" t="s">
        <v>407</v>
      </c>
      <c r="G12" s="120" t="s">
        <v>408</v>
      </c>
      <c r="H12" s="656">
        <v>5</v>
      </c>
      <c r="I12" s="657"/>
      <c r="J12" s="204" t="s">
        <v>344</v>
      </c>
      <c r="M12" s="14"/>
      <c r="V12" s="10"/>
    </row>
    <row r="13" spans="1:29" ht="18" customHeight="1">
      <c r="A13" s="9"/>
      <c r="B13" s="47" t="s">
        <v>409</v>
      </c>
      <c r="G13" s="120" t="s">
        <v>410</v>
      </c>
      <c r="H13" s="656">
        <v>3750</v>
      </c>
      <c r="I13" s="657"/>
      <c r="J13" s="14" t="s">
        <v>316</v>
      </c>
      <c r="V13" s="10"/>
      <c r="W13" s="30" t="s">
        <v>411</v>
      </c>
      <c r="AA13" s="30"/>
      <c r="AB13" s="996">
        <f>Q120</f>
        <v>148.22100407938692</v>
      </c>
      <c r="AC13" s="997"/>
    </row>
    <row r="14" spans="1:29" ht="18" customHeight="1">
      <c r="A14" s="9"/>
      <c r="B14" s="14" t="s">
        <v>412</v>
      </c>
      <c r="G14" s="120" t="s">
        <v>413</v>
      </c>
      <c r="H14" s="656">
        <v>60</v>
      </c>
      <c r="I14" s="657"/>
      <c r="J14" s="14" t="s">
        <v>414</v>
      </c>
      <c r="M14" s="14"/>
      <c r="V14" s="10"/>
    </row>
    <row r="15" spans="1:29" ht="18" customHeight="1">
      <c r="A15" s="9"/>
      <c r="V15" s="10"/>
    </row>
    <row r="16" spans="1:29" ht="18" customHeight="1">
      <c r="A16" s="116" t="s">
        <v>415</v>
      </c>
      <c r="V16" s="10"/>
    </row>
    <row r="17" spans="1:22" ht="18" customHeight="1">
      <c r="A17" s="9"/>
      <c r="V17" s="10"/>
    </row>
    <row r="18" spans="1:22" ht="18" customHeight="1">
      <c r="A18" s="9"/>
      <c r="B18" s="206" t="s">
        <v>416</v>
      </c>
      <c r="C18" s="207"/>
      <c r="D18" s="207" t="str">
        <f>T7</f>
        <v>RED670</v>
      </c>
      <c r="E18" s="436"/>
      <c r="F18" s="436"/>
      <c r="G18" s="436"/>
      <c r="H18" s="194" t="s">
        <v>417</v>
      </c>
      <c r="I18" s="195" t="s">
        <v>138</v>
      </c>
      <c r="J18" s="998">
        <f>'CT-VT Burdens'!Q48</f>
        <v>0.02</v>
      </c>
      <c r="K18" s="689"/>
      <c r="L18" s="214" t="s">
        <v>168</v>
      </c>
      <c r="N18" s="209" t="s">
        <v>418</v>
      </c>
      <c r="V18" s="10"/>
    </row>
    <row r="19" spans="1:22" ht="18" customHeight="1">
      <c r="A19" s="9"/>
      <c r="B19" s="196" t="s">
        <v>416</v>
      </c>
      <c r="D19" s="437">
        <f>T8</f>
        <v>0</v>
      </c>
      <c r="E19" s="14"/>
      <c r="I19" s="28" t="s">
        <v>138</v>
      </c>
      <c r="J19" s="998"/>
      <c r="K19" s="689"/>
      <c r="L19" s="309" t="s">
        <v>168</v>
      </c>
      <c r="N19" s="27" t="s">
        <v>419</v>
      </c>
      <c r="O19" s="27" t="s">
        <v>138</v>
      </c>
      <c r="P19" s="27" t="s">
        <v>420</v>
      </c>
      <c r="Q19" s="203" t="s">
        <v>421</v>
      </c>
      <c r="R19" s="27" t="s">
        <v>422</v>
      </c>
      <c r="S19" s="27" t="s">
        <v>326</v>
      </c>
      <c r="T19" s="27" t="s">
        <v>422</v>
      </c>
      <c r="U19" s="30" t="s">
        <v>361</v>
      </c>
      <c r="V19" s="10"/>
    </row>
    <row r="20" spans="1:22" ht="18" customHeight="1">
      <c r="A20" s="9"/>
      <c r="B20" s="196" t="s">
        <v>416</v>
      </c>
      <c r="D20" s="437"/>
      <c r="E20" s="14"/>
      <c r="G20" s="211"/>
      <c r="H20" s="438"/>
      <c r="I20" s="101" t="s">
        <v>138</v>
      </c>
      <c r="J20" s="998"/>
      <c r="K20" s="689"/>
      <c r="L20" s="439" t="s">
        <v>168</v>
      </c>
      <c r="O20" s="27" t="s">
        <v>138</v>
      </c>
      <c r="P20" s="216">
        <f>J22</f>
        <v>1.46186744</v>
      </c>
      <c r="Q20" s="203" t="s">
        <v>421</v>
      </c>
      <c r="R20" s="27">
        <f>O10</f>
        <v>1</v>
      </c>
      <c r="S20" s="27" t="s">
        <v>326</v>
      </c>
      <c r="T20" s="27">
        <f>O10</f>
        <v>1</v>
      </c>
      <c r="U20" s="30" t="s">
        <v>361</v>
      </c>
      <c r="V20" s="10"/>
    </row>
    <row r="21" spans="1:22" ht="18" customHeight="1">
      <c r="A21" s="9"/>
      <c r="B21" s="196" t="s">
        <v>423</v>
      </c>
      <c r="H21" s="438"/>
      <c r="I21" s="440" t="s">
        <v>138</v>
      </c>
      <c r="J21" s="999">
        <f>'CT-VT Burdens'!S22</f>
        <v>1.44186744</v>
      </c>
      <c r="K21" s="1000"/>
      <c r="L21" s="439" t="s">
        <v>168</v>
      </c>
      <c r="O21" s="27" t="s">
        <v>138</v>
      </c>
      <c r="P21" s="637">
        <f>P20/(R20*T20)</f>
        <v>1.46186744</v>
      </c>
      <c r="Q21" s="637"/>
      <c r="R21" s="204" t="s">
        <v>344</v>
      </c>
      <c r="V21" s="10"/>
    </row>
    <row r="22" spans="1:22" ht="18" customHeight="1">
      <c r="A22" s="9"/>
      <c r="B22" s="217" t="s">
        <v>424</v>
      </c>
      <c r="C22" s="218"/>
      <c r="D22" s="218"/>
      <c r="E22" s="218"/>
      <c r="F22" s="359"/>
      <c r="G22" s="359"/>
      <c r="H22" s="202" t="s">
        <v>420</v>
      </c>
      <c r="I22" s="220" t="s">
        <v>138</v>
      </c>
      <c r="J22" s="897">
        <f>SUM(J18:K21)</f>
        <v>1.46186744</v>
      </c>
      <c r="K22" s="1001"/>
      <c r="L22" s="441" t="s">
        <v>168</v>
      </c>
      <c r="V22" s="10"/>
    </row>
    <row r="23" spans="1:22" ht="18" customHeight="1">
      <c r="A23" s="9"/>
      <c r="V23" s="10"/>
    </row>
    <row r="24" spans="1:22" ht="18" customHeight="1">
      <c r="A24" s="116" t="s">
        <v>425</v>
      </c>
      <c r="V24" s="10"/>
    </row>
    <row r="25" spans="1:22" ht="18" customHeight="1">
      <c r="A25" s="1002" t="s">
        <v>426</v>
      </c>
      <c r="B25" s="1003"/>
      <c r="C25" s="1003"/>
      <c r="D25" s="1003"/>
      <c r="E25" s="1003"/>
      <c r="F25" s="1003"/>
      <c r="G25" s="1003"/>
      <c r="H25" s="1003"/>
      <c r="I25" s="1003"/>
      <c r="J25" s="1003"/>
      <c r="K25" s="1003"/>
      <c r="L25" s="1003"/>
      <c r="M25" s="1003"/>
      <c r="N25" s="1003"/>
      <c r="O25" s="1003"/>
      <c r="P25" s="1003"/>
      <c r="Q25" s="1003"/>
      <c r="R25" s="1003"/>
      <c r="S25" s="1003"/>
      <c r="T25" s="1003"/>
      <c r="U25" s="1003"/>
      <c r="V25" s="1004"/>
    </row>
    <row r="26" spans="1:22" ht="18" customHeight="1">
      <c r="A26" s="1002"/>
      <c r="B26" s="1003"/>
      <c r="C26" s="1003"/>
      <c r="D26" s="1003"/>
      <c r="E26" s="1003"/>
      <c r="F26" s="1003"/>
      <c r="G26" s="1003"/>
      <c r="H26" s="1003"/>
      <c r="I26" s="1003"/>
      <c r="J26" s="1003"/>
      <c r="K26" s="1003"/>
      <c r="L26" s="1003"/>
      <c r="M26" s="1003"/>
      <c r="N26" s="1003"/>
      <c r="O26" s="1003"/>
      <c r="P26" s="1003"/>
      <c r="Q26" s="1003"/>
      <c r="R26" s="1003"/>
      <c r="S26" s="1003"/>
      <c r="T26" s="1003"/>
      <c r="U26" s="1003"/>
      <c r="V26" s="1004"/>
    </row>
    <row r="27" spans="1:22" ht="18" customHeight="1">
      <c r="A27" s="205" t="s">
        <v>427</v>
      </c>
      <c r="V27" s="10"/>
    </row>
    <row r="28" spans="1:22" ht="18" customHeight="1">
      <c r="A28" s="1006" t="s">
        <v>428</v>
      </c>
      <c r="B28" s="956"/>
      <c r="C28" s="956"/>
      <c r="D28" s="14"/>
      <c r="E28" s="7"/>
      <c r="F28" s="1008" t="s">
        <v>429</v>
      </c>
      <c r="G28" s="887"/>
      <c r="H28" s="638" t="s">
        <v>326</v>
      </c>
      <c r="I28" s="661" t="s">
        <v>422</v>
      </c>
      <c r="J28" s="957"/>
      <c r="K28" s="638" t="s">
        <v>326</v>
      </c>
      <c r="L28" s="1008" t="s">
        <v>430</v>
      </c>
      <c r="M28" s="638" t="s">
        <v>431</v>
      </c>
      <c r="N28" s="958" t="s">
        <v>358</v>
      </c>
      <c r="O28" s="638" t="s">
        <v>419</v>
      </c>
      <c r="P28" s="638" t="s">
        <v>358</v>
      </c>
      <c r="Q28" s="953" t="s">
        <v>432</v>
      </c>
      <c r="R28" s="1005"/>
      <c r="S28" s="1005"/>
      <c r="T28" s="952" t="s">
        <v>361</v>
      </c>
      <c r="U28" s="242" t="s">
        <v>433</v>
      </c>
      <c r="V28" s="112"/>
    </row>
    <row r="29" spans="1:22" ht="18" customHeight="1">
      <c r="A29" s="1007"/>
      <c r="B29" s="956"/>
      <c r="C29" s="956"/>
      <c r="D29" s="14"/>
      <c r="E29" s="7"/>
      <c r="F29" s="887"/>
      <c r="G29" s="887"/>
      <c r="H29" s="638"/>
      <c r="I29" s="638" t="s">
        <v>434</v>
      </c>
      <c r="J29" s="887"/>
      <c r="K29" s="638"/>
      <c r="L29" s="1008"/>
      <c r="M29" s="638"/>
      <c r="N29" s="958"/>
      <c r="O29" s="638"/>
      <c r="P29" s="638"/>
      <c r="Q29" s="28" t="s">
        <v>157</v>
      </c>
      <c r="R29" s="28" t="s">
        <v>326</v>
      </c>
      <c r="S29" s="28" t="s">
        <v>157</v>
      </c>
      <c r="T29" s="952"/>
      <c r="U29" s="7"/>
      <c r="V29" s="112"/>
    </row>
    <row r="30" spans="1:22" ht="18" customHeight="1">
      <c r="A30" s="205" t="s">
        <v>435</v>
      </c>
      <c r="L30" s="442"/>
      <c r="M30" s="438"/>
      <c r="O30" s="438"/>
      <c r="V30" s="10"/>
    </row>
    <row r="31" spans="1:22" ht="18" customHeight="1">
      <c r="A31" s="1006" t="s">
        <v>428</v>
      </c>
      <c r="B31" s="956"/>
      <c r="C31" s="956"/>
      <c r="D31" s="638">
        <v>2</v>
      </c>
      <c r="E31" s="638" t="s">
        <v>326</v>
      </c>
      <c r="F31" s="1008" t="s">
        <v>436</v>
      </c>
      <c r="G31" s="887"/>
      <c r="H31" s="638" t="s">
        <v>326</v>
      </c>
      <c r="I31" s="661" t="s">
        <v>422</v>
      </c>
      <c r="J31" s="957"/>
      <c r="K31" s="638" t="s">
        <v>326</v>
      </c>
      <c r="L31" s="1008" t="s">
        <v>430</v>
      </c>
      <c r="M31" s="638" t="s">
        <v>431</v>
      </c>
      <c r="N31" s="958" t="s">
        <v>358</v>
      </c>
      <c r="O31" s="638" t="s">
        <v>419</v>
      </c>
      <c r="P31" s="638" t="s">
        <v>358</v>
      </c>
      <c r="Q31" s="953" t="s">
        <v>432</v>
      </c>
      <c r="R31" s="1005"/>
      <c r="S31" s="1005"/>
      <c r="T31" s="952" t="s">
        <v>361</v>
      </c>
      <c r="U31" s="242" t="s">
        <v>437</v>
      </c>
      <c r="V31" s="112"/>
    </row>
    <row r="32" spans="1:22" ht="18" customHeight="1">
      <c r="A32" s="1007"/>
      <c r="B32" s="956"/>
      <c r="C32" s="956"/>
      <c r="D32" s="638"/>
      <c r="E32" s="638"/>
      <c r="F32" s="887"/>
      <c r="G32" s="887"/>
      <c r="H32" s="638"/>
      <c r="I32" s="638" t="s">
        <v>434</v>
      </c>
      <c r="J32" s="887"/>
      <c r="K32" s="638"/>
      <c r="L32" s="1008"/>
      <c r="M32" s="638"/>
      <c r="N32" s="958"/>
      <c r="O32" s="638"/>
      <c r="P32" s="638"/>
      <c r="Q32" s="28" t="s">
        <v>157</v>
      </c>
      <c r="R32" s="28" t="s">
        <v>326</v>
      </c>
      <c r="S32" s="28" t="s">
        <v>157</v>
      </c>
      <c r="T32" s="952"/>
      <c r="U32" s="7"/>
      <c r="V32" s="112"/>
    </row>
    <row r="33" spans="1:22" ht="18" customHeight="1">
      <c r="A33" s="9"/>
      <c r="V33" s="10"/>
    </row>
    <row r="34" spans="1:22" ht="18" customHeight="1">
      <c r="A34" s="9"/>
      <c r="B34" s="14" t="s">
        <v>438</v>
      </c>
      <c r="C34" s="14"/>
      <c r="D34" s="103"/>
      <c r="E34" s="103"/>
      <c r="F34" s="14"/>
      <c r="G34" s="14"/>
      <c r="H34" s="5"/>
      <c r="I34" s="5"/>
      <c r="J34" s="5"/>
      <c r="P34" s="120" t="s">
        <v>439</v>
      </c>
      <c r="V34" s="10"/>
    </row>
    <row r="35" spans="1:22" ht="18" customHeight="1">
      <c r="A35" s="9"/>
      <c r="B35" s="14" t="s">
        <v>440</v>
      </c>
      <c r="C35" s="14"/>
      <c r="D35" s="103"/>
      <c r="E35" s="103"/>
      <c r="F35" s="14"/>
      <c r="G35" s="14"/>
      <c r="H35" s="5"/>
      <c r="I35" s="5"/>
      <c r="J35" s="5"/>
      <c r="P35" s="120" t="s">
        <v>441</v>
      </c>
      <c r="Q35" s="246" t="s">
        <v>138</v>
      </c>
      <c r="R35" s="639">
        <f>H10</f>
        <v>2500</v>
      </c>
      <c r="S35" s="639"/>
      <c r="T35" s="14" t="s">
        <v>9</v>
      </c>
      <c r="V35" s="10"/>
    </row>
    <row r="36" spans="1:22" ht="18" customHeight="1">
      <c r="A36" s="9"/>
      <c r="B36" s="14" t="s">
        <v>442</v>
      </c>
      <c r="C36" s="14"/>
      <c r="D36" s="14"/>
      <c r="E36" s="14"/>
      <c r="F36" s="14"/>
      <c r="G36" s="14"/>
      <c r="H36" s="14"/>
      <c r="I36" s="14"/>
      <c r="J36" s="14"/>
      <c r="P36" s="120" t="s">
        <v>429</v>
      </c>
      <c r="Q36" s="246" t="s">
        <v>138</v>
      </c>
      <c r="R36" s="639">
        <f>'Parameters &amp; Fault Cal. (4)'!Q32</f>
        <v>40000</v>
      </c>
      <c r="S36" s="639"/>
      <c r="T36" s="14" t="s">
        <v>9</v>
      </c>
      <c r="V36" s="10"/>
    </row>
    <row r="37" spans="1:22" ht="18" customHeight="1">
      <c r="A37" s="9"/>
      <c r="B37" s="14" t="s">
        <v>443</v>
      </c>
      <c r="C37" s="14"/>
      <c r="D37" s="14"/>
      <c r="E37" s="14"/>
      <c r="F37" s="14"/>
      <c r="G37" s="14"/>
      <c r="H37" s="14"/>
      <c r="I37" s="14"/>
      <c r="J37" s="14"/>
      <c r="P37" s="120" t="s">
        <v>436</v>
      </c>
      <c r="Q37" s="246" t="s">
        <v>138</v>
      </c>
      <c r="R37" s="873">
        <f>'Parameters &amp; Fault Cal. (4)'!M70</f>
        <v>19625.768379858539</v>
      </c>
      <c r="S37" s="639"/>
      <c r="T37" s="14" t="s">
        <v>9</v>
      </c>
      <c r="U37" s="30" t="s">
        <v>444</v>
      </c>
      <c r="V37" s="10"/>
    </row>
    <row r="38" spans="1:22" ht="18" customHeight="1">
      <c r="A38" s="9"/>
      <c r="B38" s="14"/>
      <c r="C38" s="14"/>
      <c r="D38" s="14"/>
      <c r="E38" s="14"/>
      <c r="F38" s="14"/>
      <c r="G38" s="14"/>
      <c r="H38" s="14"/>
      <c r="I38" s="14"/>
      <c r="J38" s="14"/>
      <c r="P38" s="120"/>
      <c r="Q38" s="246" t="s">
        <v>138</v>
      </c>
      <c r="R38" s="873">
        <f>'Parameters &amp; Fault Cal. (4)'!M91</f>
        <v>21361.580727736164</v>
      </c>
      <c r="S38" s="639"/>
      <c r="T38" s="14" t="s">
        <v>9</v>
      </c>
      <c r="U38" s="30" t="s">
        <v>445</v>
      </c>
      <c r="V38" s="10"/>
    </row>
    <row r="39" spans="1:22" ht="18" customHeight="1">
      <c r="A39" s="9"/>
      <c r="B39" s="14" t="s">
        <v>446</v>
      </c>
      <c r="C39" s="14"/>
      <c r="D39" s="103"/>
      <c r="E39" s="103"/>
      <c r="F39" s="14"/>
      <c r="G39" s="14"/>
      <c r="H39" s="5"/>
      <c r="I39" s="5"/>
      <c r="J39" s="5"/>
      <c r="P39" s="120" t="s">
        <v>447</v>
      </c>
      <c r="Q39" s="246" t="s">
        <v>138</v>
      </c>
      <c r="R39" s="639">
        <f>'CT-VT Burdens'!S17</f>
        <v>1</v>
      </c>
      <c r="S39" s="639"/>
      <c r="T39" s="14" t="s">
        <v>9</v>
      </c>
      <c r="V39" s="10"/>
    </row>
    <row r="40" spans="1:22" ht="18" customHeight="1">
      <c r="A40" s="9"/>
      <c r="B40" s="14" t="s">
        <v>448</v>
      </c>
      <c r="C40" s="14"/>
      <c r="D40" s="103"/>
      <c r="E40" s="103"/>
      <c r="F40" s="14"/>
      <c r="G40" s="14"/>
      <c r="H40" s="5"/>
      <c r="I40" s="5"/>
      <c r="J40" s="5"/>
      <c r="P40" s="120" t="s">
        <v>449</v>
      </c>
      <c r="Q40" s="246" t="s">
        <v>138</v>
      </c>
      <c r="R40" s="639">
        <f>'CT-VT Burdens'!S18</f>
        <v>1</v>
      </c>
      <c r="S40" s="639"/>
      <c r="T40" s="14" t="s">
        <v>9</v>
      </c>
      <c r="V40" s="10"/>
    </row>
    <row r="41" spans="1:22" ht="18" customHeight="1">
      <c r="A41" s="9"/>
      <c r="B41" s="14" t="s">
        <v>450</v>
      </c>
      <c r="C41" s="14"/>
      <c r="D41" s="103"/>
      <c r="E41" s="103"/>
      <c r="F41" s="14"/>
      <c r="G41" s="14"/>
      <c r="H41" s="5"/>
      <c r="I41" s="5"/>
      <c r="J41" s="5"/>
      <c r="P41" s="120" t="s">
        <v>451</v>
      </c>
      <c r="Q41" s="246" t="s">
        <v>138</v>
      </c>
      <c r="R41" s="639">
        <f>H12</f>
        <v>5</v>
      </c>
      <c r="S41" s="639"/>
      <c r="T41" s="204" t="s">
        <v>344</v>
      </c>
      <c r="V41" s="10"/>
    </row>
    <row r="42" spans="1:22" ht="18" customHeight="1">
      <c r="A42" s="9"/>
      <c r="B42" s="7" t="s">
        <v>164</v>
      </c>
      <c r="C42" s="14"/>
      <c r="D42" s="14"/>
      <c r="E42" s="14"/>
      <c r="F42" s="14"/>
      <c r="G42" s="14"/>
      <c r="H42" s="14"/>
      <c r="I42" s="14"/>
      <c r="J42" s="14"/>
      <c r="P42" s="249" t="s">
        <v>452</v>
      </c>
      <c r="Q42" s="246" t="s">
        <v>138</v>
      </c>
      <c r="R42" s="637">
        <f>P21</f>
        <v>1.46186744</v>
      </c>
      <c r="S42" s="639"/>
      <c r="T42" s="204" t="s">
        <v>344</v>
      </c>
      <c r="V42" s="10"/>
    </row>
    <row r="43" spans="1:22" ht="18" customHeight="1">
      <c r="A43" s="9"/>
      <c r="B43" s="40" t="s">
        <v>453</v>
      </c>
      <c r="C43" s="14"/>
      <c r="D43" s="14"/>
      <c r="E43" s="14"/>
      <c r="F43" s="14"/>
      <c r="G43" s="14"/>
      <c r="H43" s="5"/>
      <c r="I43" s="5"/>
      <c r="J43" s="5"/>
      <c r="P43" s="249" t="s">
        <v>454</v>
      </c>
      <c r="Q43" s="246" t="s">
        <v>138</v>
      </c>
      <c r="R43" s="637">
        <f>J18</f>
        <v>0.02</v>
      </c>
      <c r="S43" s="639"/>
      <c r="T43" s="14" t="s">
        <v>168</v>
      </c>
      <c r="V43" s="10"/>
    </row>
    <row r="44" spans="1:22" ht="18" customHeight="1">
      <c r="A44" s="9"/>
      <c r="B44" s="40"/>
      <c r="C44" s="14"/>
      <c r="D44" s="14"/>
      <c r="E44" s="14"/>
      <c r="F44" s="14"/>
      <c r="G44" s="14"/>
      <c r="H44" s="5"/>
      <c r="I44" s="5"/>
      <c r="J44" s="5"/>
      <c r="P44" s="249"/>
      <c r="Q44" s="246"/>
      <c r="R44" s="223"/>
      <c r="S44" s="27"/>
      <c r="T44" s="14"/>
      <c r="V44" s="10"/>
    </row>
    <row r="45" spans="1:22" s="7" customFormat="1" ht="18" customHeight="1">
      <c r="A45" s="395"/>
      <c r="B45" s="20"/>
      <c r="C45" s="20"/>
      <c r="D45" s="20"/>
      <c r="E45" s="20"/>
      <c r="F45" s="20"/>
      <c r="G45" s="20"/>
      <c r="H45" s="20"/>
      <c r="I45" s="20"/>
      <c r="J45" s="20"/>
      <c r="K45" s="20"/>
      <c r="L45" s="20"/>
      <c r="M45" s="20"/>
      <c r="N45" s="20"/>
      <c r="O45" s="20"/>
      <c r="P45" s="20"/>
      <c r="Q45" s="21"/>
      <c r="R45" s="22"/>
      <c r="S45" s="23"/>
      <c r="T45" s="20"/>
      <c r="U45" s="20"/>
      <c r="V45" s="140"/>
    </row>
    <row r="46" spans="1:22" ht="18" customHeight="1">
      <c r="A46" s="396" t="s">
        <v>427</v>
      </c>
      <c r="B46" s="397"/>
      <c r="C46" s="397"/>
      <c r="D46" s="397"/>
      <c r="E46" s="397"/>
      <c r="F46" s="397"/>
      <c r="G46" s="397"/>
      <c r="H46" s="397"/>
      <c r="I46" s="397"/>
      <c r="J46" s="397"/>
      <c r="K46" s="397"/>
      <c r="L46" s="397"/>
      <c r="M46" s="397"/>
      <c r="N46" s="397"/>
      <c r="O46" s="397"/>
      <c r="P46" s="397"/>
      <c r="Q46" s="397"/>
      <c r="R46" s="397"/>
      <c r="S46" s="397"/>
      <c r="T46" s="397"/>
      <c r="U46" s="397"/>
      <c r="V46" s="408"/>
    </row>
    <row r="47" spans="1:22" ht="18" customHeight="1">
      <c r="A47" s="1006" t="s">
        <v>428</v>
      </c>
      <c r="B47" s="956"/>
      <c r="C47" s="956"/>
      <c r="D47" s="14"/>
      <c r="E47" s="7"/>
      <c r="F47" s="1011">
        <f>R36</f>
        <v>40000</v>
      </c>
      <c r="G47" s="1012"/>
      <c r="H47" s="861" t="s">
        <v>326</v>
      </c>
      <c r="I47" s="1013">
        <f>R39</f>
        <v>1</v>
      </c>
      <c r="J47" s="1014"/>
      <c r="K47" s="861" t="s">
        <v>326</v>
      </c>
      <c r="L47" s="1011" t="s">
        <v>430</v>
      </c>
      <c r="M47" s="968">
        <f>R41</f>
        <v>5</v>
      </c>
      <c r="N47" s="1017" t="s">
        <v>358</v>
      </c>
      <c r="O47" s="1018">
        <f>R42</f>
        <v>1.46186744</v>
      </c>
      <c r="P47" s="861" t="s">
        <v>358</v>
      </c>
      <c r="Q47" s="1009">
        <f>R43</f>
        <v>0.02</v>
      </c>
      <c r="R47" s="1010"/>
      <c r="S47" s="1010"/>
      <c r="T47" s="952" t="s">
        <v>361</v>
      </c>
      <c r="U47" s="242" t="s">
        <v>433</v>
      </c>
      <c r="V47" s="112"/>
    </row>
    <row r="48" spans="1:22" ht="18" customHeight="1">
      <c r="A48" s="1007"/>
      <c r="B48" s="956"/>
      <c r="C48" s="956"/>
      <c r="D48" s="14"/>
      <c r="E48" s="7"/>
      <c r="F48" s="1012"/>
      <c r="G48" s="1012"/>
      <c r="H48" s="861"/>
      <c r="I48" s="861">
        <f>R35</f>
        <v>2500</v>
      </c>
      <c r="J48" s="1015"/>
      <c r="K48" s="861"/>
      <c r="L48" s="1011"/>
      <c r="M48" s="968"/>
      <c r="N48" s="1017"/>
      <c r="O48" s="968"/>
      <c r="P48" s="861"/>
      <c r="Q48" s="233">
        <f>R40</f>
        <v>1</v>
      </c>
      <c r="R48" s="233" t="s">
        <v>326</v>
      </c>
      <c r="S48" s="233">
        <f>R40</f>
        <v>1</v>
      </c>
      <c r="T48" s="952"/>
      <c r="U48" s="7"/>
      <c r="V48" s="112"/>
    </row>
    <row r="49" spans="1:22" ht="18" customHeight="1">
      <c r="A49" s="9"/>
      <c r="L49" s="442"/>
      <c r="V49" s="10"/>
    </row>
    <row r="50" spans="1:22" ht="18" customHeight="1">
      <c r="A50" s="9"/>
      <c r="C50" s="27" t="s">
        <v>138</v>
      </c>
      <c r="D50" s="798">
        <f>F47*(I47/I48)*(M47+O47+(Q47/(Q48*S48)))</f>
        <v>103.70987903999999</v>
      </c>
      <c r="E50" s="799"/>
      <c r="F50" s="27" t="s">
        <v>316</v>
      </c>
      <c r="L50" s="442"/>
      <c r="V50" s="10"/>
    </row>
    <row r="51" spans="1:22" ht="18" customHeight="1">
      <c r="A51" s="9"/>
      <c r="L51" s="442"/>
      <c r="V51" s="10"/>
    </row>
    <row r="52" spans="1:22" ht="18" customHeight="1">
      <c r="A52" s="205" t="s">
        <v>455</v>
      </c>
      <c r="L52" s="442"/>
      <c r="V52" s="10"/>
    </row>
    <row r="53" spans="1:22" ht="18" customHeight="1">
      <c r="A53" s="1006" t="s">
        <v>428</v>
      </c>
      <c r="B53" s="956"/>
      <c r="C53" s="956"/>
      <c r="D53" s="861">
        <v>2</v>
      </c>
      <c r="E53" s="861" t="s">
        <v>326</v>
      </c>
      <c r="F53" s="1016">
        <f>R37</f>
        <v>19625.768379858539</v>
      </c>
      <c r="G53" s="1015"/>
      <c r="H53" s="861" t="s">
        <v>326</v>
      </c>
      <c r="I53" s="1013">
        <f>R39</f>
        <v>1</v>
      </c>
      <c r="J53" s="1014"/>
      <c r="K53" s="861" t="s">
        <v>326</v>
      </c>
      <c r="L53" s="1011" t="s">
        <v>430</v>
      </c>
      <c r="M53" s="968">
        <f>R41</f>
        <v>5</v>
      </c>
      <c r="N53" s="1017" t="s">
        <v>358</v>
      </c>
      <c r="O53" s="1018">
        <f>R42</f>
        <v>1.46186744</v>
      </c>
      <c r="P53" s="861" t="s">
        <v>358</v>
      </c>
      <c r="Q53" s="1010">
        <f>Q47</f>
        <v>0.02</v>
      </c>
      <c r="R53" s="1010"/>
      <c r="S53" s="1010"/>
      <c r="T53" s="952" t="s">
        <v>361</v>
      </c>
      <c r="U53" s="242" t="s">
        <v>437</v>
      </c>
      <c r="V53" s="112"/>
    </row>
    <row r="54" spans="1:22" ht="18" customHeight="1">
      <c r="A54" s="1007"/>
      <c r="B54" s="956"/>
      <c r="C54" s="956"/>
      <c r="D54" s="861"/>
      <c r="E54" s="861"/>
      <c r="F54" s="1015"/>
      <c r="G54" s="1015"/>
      <c r="H54" s="861"/>
      <c r="I54" s="861">
        <f>R35</f>
        <v>2500</v>
      </c>
      <c r="J54" s="1015"/>
      <c r="K54" s="861"/>
      <c r="L54" s="1011"/>
      <c r="M54" s="968"/>
      <c r="N54" s="1017"/>
      <c r="O54" s="968"/>
      <c r="P54" s="861"/>
      <c r="Q54" s="233">
        <f>R40</f>
        <v>1</v>
      </c>
      <c r="R54" s="233" t="s">
        <v>326</v>
      </c>
      <c r="S54" s="233">
        <f>R40</f>
        <v>1</v>
      </c>
      <c r="T54" s="952"/>
      <c r="U54" s="7"/>
      <c r="V54" s="112"/>
    </row>
    <row r="55" spans="1:22" ht="18" customHeight="1">
      <c r="A55" s="9"/>
      <c r="L55" s="442"/>
      <c r="V55" s="10"/>
    </row>
    <row r="56" spans="1:22" ht="18" customHeight="1">
      <c r="A56" s="9"/>
      <c r="C56" s="27" t="s">
        <v>138</v>
      </c>
      <c r="D56" s="798">
        <f>D53*F53*(I53/I54)*(M53+O53+(Q53/(Q54*S54)))</f>
        <v>101.76930323710928</v>
      </c>
      <c r="E56" s="799"/>
      <c r="F56" s="27" t="s">
        <v>316</v>
      </c>
      <c r="L56" s="442"/>
      <c r="V56" s="10"/>
    </row>
    <row r="57" spans="1:22" ht="18" customHeight="1">
      <c r="A57" s="9"/>
      <c r="L57" s="442"/>
      <c r="V57" s="10"/>
    </row>
    <row r="58" spans="1:22" ht="18" customHeight="1">
      <c r="A58" s="205" t="s">
        <v>456</v>
      </c>
      <c r="L58" s="442"/>
      <c r="V58" s="10"/>
    </row>
    <row r="59" spans="1:22" ht="18" customHeight="1">
      <c r="A59" s="1006" t="s">
        <v>428</v>
      </c>
      <c r="B59" s="956"/>
      <c r="C59" s="956"/>
      <c r="D59" s="861">
        <v>2</v>
      </c>
      <c r="E59" s="861" t="s">
        <v>326</v>
      </c>
      <c r="F59" s="1016">
        <f>R38</f>
        <v>21361.580727736164</v>
      </c>
      <c r="G59" s="1015"/>
      <c r="H59" s="861" t="s">
        <v>326</v>
      </c>
      <c r="I59" s="1013">
        <f>R39</f>
        <v>1</v>
      </c>
      <c r="J59" s="1014"/>
      <c r="K59" s="861" t="s">
        <v>326</v>
      </c>
      <c r="L59" s="1011" t="s">
        <v>430</v>
      </c>
      <c r="M59" s="968">
        <f>R41</f>
        <v>5</v>
      </c>
      <c r="N59" s="1017" t="s">
        <v>358</v>
      </c>
      <c r="O59" s="1018">
        <f>R42</f>
        <v>1.46186744</v>
      </c>
      <c r="P59" s="861" t="s">
        <v>358</v>
      </c>
      <c r="Q59" s="1010">
        <f>R43</f>
        <v>0.02</v>
      </c>
      <c r="R59" s="1010"/>
      <c r="S59" s="1010"/>
      <c r="T59" s="952" t="s">
        <v>361</v>
      </c>
      <c r="U59" s="242" t="s">
        <v>437</v>
      </c>
      <c r="V59" s="112"/>
    </row>
    <row r="60" spans="1:22" ht="18" customHeight="1">
      <c r="A60" s="1007"/>
      <c r="B60" s="956"/>
      <c r="C60" s="956"/>
      <c r="D60" s="861"/>
      <c r="E60" s="861"/>
      <c r="F60" s="1015"/>
      <c r="G60" s="1015"/>
      <c r="H60" s="861"/>
      <c r="I60" s="861">
        <f>R35</f>
        <v>2500</v>
      </c>
      <c r="J60" s="1015"/>
      <c r="K60" s="861"/>
      <c r="L60" s="1011"/>
      <c r="M60" s="968"/>
      <c r="N60" s="1017"/>
      <c r="O60" s="968"/>
      <c r="P60" s="861"/>
      <c r="Q60" s="233">
        <f>R40</f>
        <v>1</v>
      </c>
      <c r="R60" s="233" t="s">
        <v>326</v>
      </c>
      <c r="S60" s="233">
        <f>R40</f>
        <v>1</v>
      </c>
      <c r="T60" s="952"/>
      <c r="U60" s="7"/>
      <c r="V60" s="112"/>
    </row>
    <row r="61" spans="1:22" ht="18" customHeight="1">
      <c r="A61" s="9"/>
      <c r="V61" s="10"/>
    </row>
    <row r="62" spans="1:22" ht="18" customHeight="1">
      <c r="A62" s="9"/>
      <c r="C62" s="27" t="s">
        <v>138</v>
      </c>
      <c r="D62" s="798">
        <f>D59*F59*(I59/I60)*(M59+O59+(Q59/(Q60*S60)))</f>
        <v>110.77034766883563</v>
      </c>
      <c r="E62" s="799"/>
      <c r="F62" s="27" t="s">
        <v>316</v>
      </c>
      <c r="V62" s="10"/>
    </row>
    <row r="63" spans="1:22" ht="18" customHeight="1">
      <c r="A63" s="9"/>
      <c r="V63" s="10"/>
    </row>
    <row r="64" spans="1:22" ht="18" customHeight="1">
      <c r="A64" s="116" t="s">
        <v>457</v>
      </c>
      <c r="V64" s="10"/>
    </row>
    <row r="65" spans="1:22" ht="18" customHeight="1">
      <c r="A65" s="1002" t="s">
        <v>426</v>
      </c>
      <c r="B65" s="1003"/>
      <c r="C65" s="1003"/>
      <c r="D65" s="1003"/>
      <c r="E65" s="1003"/>
      <c r="F65" s="1003"/>
      <c r="G65" s="1003"/>
      <c r="H65" s="1003"/>
      <c r="I65" s="1003"/>
      <c r="J65" s="1003"/>
      <c r="K65" s="1003"/>
      <c r="L65" s="1003"/>
      <c r="M65" s="1003"/>
      <c r="N65" s="1003"/>
      <c r="O65" s="1003"/>
      <c r="P65" s="1003"/>
      <c r="Q65" s="1003"/>
      <c r="R65" s="1003"/>
      <c r="S65" s="1003"/>
      <c r="T65" s="1003"/>
      <c r="U65" s="1003"/>
      <c r="V65" s="1004"/>
    </row>
    <row r="66" spans="1:22" ht="18" customHeight="1">
      <c r="A66" s="1002"/>
      <c r="B66" s="1003"/>
      <c r="C66" s="1003"/>
      <c r="D66" s="1003"/>
      <c r="E66" s="1003"/>
      <c r="F66" s="1003"/>
      <c r="G66" s="1003"/>
      <c r="H66" s="1003"/>
      <c r="I66" s="1003"/>
      <c r="J66" s="1003"/>
      <c r="K66" s="1003"/>
      <c r="L66" s="1003"/>
      <c r="M66" s="1003"/>
      <c r="N66" s="1003"/>
      <c r="O66" s="1003"/>
      <c r="P66" s="1003"/>
      <c r="Q66" s="1003"/>
      <c r="R66" s="1003"/>
      <c r="S66" s="1003"/>
      <c r="T66" s="1003"/>
      <c r="U66" s="1003"/>
      <c r="V66" s="1004"/>
    </row>
    <row r="67" spans="1:22" ht="18" customHeight="1">
      <c r="A67" s="205" t="s">
        <v>427</v>
      </c>
      <c r="V67" s="10"/>
    </row>
    <row r="68" spans="1:22" ht="18" customHeight="1">
      <c r="A68" s="1006" t="s">
        <v>428</v>
      </c>
      <c r="B68" s="956"/>
      <c r="C68" s="956"/>
      <c r="D68" s="1008" t="s">
        <v>429</v>
      </c>
      <c r="E68" s="887"/>
      <c r="F68" s="638" t="s">
        <v>326</v>
      </c>
      <c r="G68" s="661" t="s">
        <v>447</v>
      </c>
      <c r="H68" s="957"/>
      <c r="I68" s="638" t="s">
        <v>326</v>
      </c>
      <c r="J68" s="661" t="s">
        <v>146</v>
      </c>
      <c r="K68" s="638" t="s">
        <v>326</v>
      </c>
      <c r="L68" s="1008" t="s">
        <v>430</v>
      </c>
      <c r="M68" s="638" t="s">
        <v>451</v>
      </c>
      <c r="N68" s="958" t="s">
        <v>358</v>
      </c>
      <c r="O68" s="638" t="s">
        <v>458</v>
      </c>
      <c r="P68" s="638" t="s">
        <v>358</v>
      </c>
      <c r="Q68" s="953" t="s">
        <v>459</v>
      </c>
      <c r="R68" s="1005"/>
      <c r="S68" s="1005"/>
      <c r="T68" s="952" t="s">
        <v>361</v>
      </c>
      <c r="U68" s="242" t="s">
        <v>433</v>
      </c>
      <c r="V68" s="112"/>
    </row>
    <row r="69" spans="1:22" ht="18" customHeight="1">
      <c r="A69" s="1007"/>
      <c r="B69" s="956"/>
      <c r="C69" s="956"/>
      <c r="D69" s="887"/>
      <c r="E69" s="887"/>
      <c r="F69" s="638"/>
      <c r="G69" s="638" t="s">
        <v>441</v>
      </c>
      <c r="H69" s="887"/>
      <c r="I69" s="638"/>
      <c r="J69" s="638"/>
      <c r="K69" s="638"/>
      <c r="L69" s="1008"/>
      <c r="M69" s="638"/>
      <c r="N69" s="958"/>
      <c r="O69" s="638"/>
      <c r="P69" s="638"/>
      <c r="Q69" s="28" t="s">
        <v>449</v>
      </c>
      <c r="R69" s="28" t="s">
        <v>326</v>
      </c>
      <c r="S69" s="28" t="s">
        <v>449</v>
      </c>
      <c r="T69" s="952"/>
      <c r="U69" s="7"/>
      <c r="V69" s="112"/>
    </row>
    <row r="70" spans="1:22" ht="18" customHeight="1">
      <c r="A70" s="205" t="s">
        <v>460</v>
      </c>
      <c r="I70" s="7"/>
      <c r="J70" s="7"/>
      <c r="K70" s="7"/>
      <c r="L70" s="442"/>
      <c r="M70" s="438"/>
      <c r="O70" s="438"/>
      <c r="V70" s="10"/>
    </row>
    <row r="71" spans="1:22" ht="18" customHeight="1">
      <c r="A71" s="1006" t="s">
        <v>428</v>
      </c>
      <c r="B71" s="956"/>
      <c r="C71" s="956"/>
      <c r="D71" s="1008" t="s">
        <v>461</v>
      </c>
      <c r="E71" s="887"/>
      <c r="F71" s="638" t="s">
        <v>326</v>
      </c>
      <c r="G71" s="661" t="s">
        <v>447</v>
      </c>
      <c r="H71" s="957"/>
      <c r="I71" s="638" t="s">
        <v>326</v>
      </c>
      <c r="J71" s="661" t="s">
        <v>462</v>
      </c>
      <c r="K71" s="638" t="s">
        <v>326</v>
      </c>
      <c r="L71" s="1008" t="s">
        <v>430</v>
      </c>
      <c r="M71" s="638" t="s">
        <v>451</v>
      </c>
      <c r="N71" s="958" t="s">
        <v>358</v>
      </c>
      <c r="O71" s="638" t="s">
        <v>458</v>
      </c>
      <c r="P71" s="638" t="s">
        <v>358</v>
      </c>
      <c r="Q71" s="953" t="s">
        <v>459</v>
      </c>
      <c r="R71" s="1005"/>
      <c r="S71" s="1005"/>
      <c r="T71" s="952" t="s">
        <v>361</v>
      </c>
      <c r="U71" s="242" t="s">
        <v>437</v>
      </c>
      <c r="V71" s="112"/>
    </row>
    <row r="72" spans="1:22" ht="18" customHeight="1">
      <c r="A72" s="1007"/>
      <c r="B72" s="956"/>
      <c r="C72" s="956"/>
      <c r="D72" s="887"/>
      <c r="E72" s="887"/>
      <c r="F72" s="638"/>
      <c r="G72" s="638" t="s">
        <v>441</v>
      </c>
      <c r="H72" s="887"/>
      <c r="I72" s="638"/>
      <c r="J72" s="638"/>
      <c r="K72" s="638"/>
      <c r="L72" s="1008"/>
      <c r="M72" s="638"/>
      <c r="N72" s="958"/>
      <c r="O72" s="638"/>
      <c r="P72" s="638"/>
      <c r="Q72" s="28" t="s">
        <v>449</v>
      </c>
      <c r="R72" s="28" t="s">
        <v>326</v>
      </c>
      <c r="S72" s="28" t="s">
        <v>449</v>
      </c>
      <c r="T72" s="952"/>
      <c r="U72" s="7"/>
      <c r="V72" s="112"/>
    </row>
    <row r="73" spans="1:22" ht="18" customHeight="1">
      <c r="A73" s="9"/>
      <c r="V73" s="10"/>
    </row>
    <row r="74" spans="1:22" ht="18" customHeight="1">
      <c r="A74" s="9"/>
      <c r="B74" s="14" t="s">
        <v>438</v>
      </c>
      <c r="P74" s="120" t="s">
        <v>439</v>
      </c>
      <c r="V74" s="10"/>
    </row>
    <row r="75" spans="1:22" ht="18" customHeight="1">
      <c r="A75" s="9"/>
      <c r="B75" s="14" t="s">
        <v>440</v>
      </c>
      <c r="P75" s="120" t="s">
        <v>441</v>
      </c>
      <c r="Q75" s="246" t="s">
        <v>138</v>
      </c>
      <c r="R75" s="639">
        <f>R35</f>
        <v>2500</v>
      </c>
      <c r="S75" s="639"/>
      <c r="T75" s="14" t="s">
        <v>9</v>
      </c>
      <c r="V75" s="10"/>
    </row>
    <row r="76" spans="1:22" ht="18" customHeight="1">
      <c r="A76" s="9"/>
      <c r="B76" s="14" t="s">
        <v>442</v>
      </c>
      <c r="P76" s="120" t="s">
        <v>429</v>
      </c>
      <c r="Q76" s="246" t="s">
        <v>138</v>
      </c>
      <c r="R76" s="639">
        <f>R36</f>
        <v>40000</v>
      </c>
      <c r="S76" s="639"/>
      <c r="T76" s="14" t="s">
        <v>9</v>
      </c>
      <c r="V76" s="10"/>
    </row>
    <row r="77" spans="1:22" ht="18" customHeight="1">
      <c r="A77" s="9"/>
      <c r="B77" s="14" t="s">
        <v>463</v>
      </c>
      <c r="P77" s="120" t="s">
        <v>461</v>
      </c>
      <c r="Q77" s="246" t="s">
        <v>138</v>
      </c>
      <c r="R77" s="873">
        <f>'Parameters &amp; Fault Cal. (4)'!M110</f>
        <v>22086.904410813047</v>
      </c>
      <c r="S77" s="639"/>
      <c r="T77" s="14" t="s">
        <v>9</v>
      </c>
      <c r="U77" s="30" t="s">
        <v>444</v>
      </c>
      <c r="V77" s="10"/>
    </row>
    <row r="78" spans="1:22" ht="18" customHeight="1">
      <c r="A78" s="9"/>
      <c r="B78" s="14"/>
      <c r="P78" s="120"/>
      <c r="Q78" s="246" t="s">
        <v>138</v>
      </c>
      <c r="R78" s="873">
        <f>'Parameters &amp; Fault Cal. (4)'!M131</f>
        <v>23819.814378888525</v>
      </c>
      <c r="S78" s="639"/>
      <c r="T78" s="14" t="s">
        <v>9</v>
      </c>
      <c r="U78" s="30" t="s">
        <v>445</v>
      </c>
      <c r="V78" s="10"/>
    </row>
    <row r="79" spans="1:22" ht="18" customHeight="1">
      <c r="A79" s="9"/>
      <c r="B79" s="14" t="s">
        <v>464</v>
      </c>
      <c r="P79" s="120" t="s">
        <v>447</v>
      </c>
      <c r="Q79" s="246" t="s">
        <v>138</v>
      </c>
      <c r="R79" s="639">
        <f>R39</f>
        <v>1</v>
      </c>
      <c r="S79" s="639"/>
      <c r="T79" s="14" t="s">
        <v>9</v>
      </c>
      <c r="V79" s="10"/>
    </row>
    <row r="80" spans="1:22" ht="18" customHeight="1">
      <c r="A80" s="9"/>
      <c r="B80" s="14" t="s">
        <v>448</v>
      </c>
      <c r="P80" s="120" t="s">
        <v>449</v>
      </c>
      <c r="Q80" s="246" t="s">
        <v>138</v>
      </c>
      <c r="R80" s="639">
        <f>R40</f>
        <v>1</v>
      </c>
      <c r="S80" s="639"/>
      <c r="T80" s="14" t="s">
        <v>9</v>
      </c>
      <c r="V80" s="10"/>
    </row>
    <row r="81" spans="1:22" ht="18" customHeight="1">
      <c r="A81" s="9"/>
      <c r="B81" s="14" t="s">
        <v>450</v>
      </c>
      <c r="P81" s="120" t="s">
        <v>451</v>
      </c>
      <c r="Q81" s="246" t="s">
        <v>138</v>
      </c>
      <c r="R81" s="639">
        <f>R41</f>
        <v>5</v>
      </c>
      <c r="S81" s="639"/>
      <c r="T81" s="204" t="s">
        <v>344</v>
      </c>
      <c r="V81" s="10"/>
    </row>
    <row r="82" spans="1:22" ht="18" customHeight="1">
      <c r="A82" s="9"/>
      <c r="B82" s="14" t="s">
        <v>465</v>
      </c>
      <c r="P82" s="249" t="s">
        <v>452</v>
      </c>
      <c r="Q82" s="246" t="s">
        <v>138</v>
      </c>
      <c r="R82" s="637">
        <f>R42</f>
        <v>1.46186744</v>
      </c>
      <c r="S82" s="639"/>
      <c r="T82" s="204" t="s">
        <v>344</v>
      </c>
      <c r="V82" s="10"/>
    </row>
    <row r="83" spans="1:22" ht="18" customHeight="1">
      <c r="A83" s="9"/>
      <c r="B83" s="40" t="s">
        <v>453</v>
      </c>
      <c r="P83" s="249" t="s">
        <v>454</v>
      </c>
      <c r="Q83" s="246" t="s">
        <v>138</v>
      </c>
      <c r="R83" s="637">
        <f>J18</f>
        <v>0.02</v>
      </c>
      <c r="S83" s="639"/>
      <c r="T83" s="14" t="s">
        <v>168</v>
      </c>
      <c r="V83" s="10"/>
    </row>
    <row r="84" spans="1:22" ht="18" customHeight="1">
      <c r="A84" s="9"/>
      <c r="B84" s="40"/>
      <c r="P84" s="249"/>
      <c r="Q84" s="246"/>
      <c r="R84" s="223"/>
      <c r="S84" s="27"/>
      <c r="T84" s="14"/>
      <c r="V84" s="10"/>
    </row>
    <row r="85" spans="1:22" s="7" customFormat="1" ht="18" customHeight="1">
      <c r="A85" s="395"/>
      <c r="B85" s="20"/>
      <c r="C85" s="20"/>
      <c r="D85" s="20"/>
      <c r="E85" s="20"/>
      <c r="F85" s="20"/>
      <c r="G85" s="20"/>
      <c r="H85" s="20"/>
      <c r="I85" s="20"/>
      <c r="J85" s="20"/>
      <c r="K85" s="20"/>
      <c r="L85" s="20"/>
      <c r="M85" s="20"/>
      <c r="N85" s="20"/>
      <c r="O85" s="20"/>
      <c r="P85" s="20"/>
      <c r="Q85" s="21"/>
      <c r="R85" s="22"/>
      <c r="S85" s="23"/>
      <c r="T85" s="20"/>
      <c r="U85" s="20"/>
      <c r="V85" s="140"/>
    </row>
    <row r="86" spans="1:22" ht="18" customHeight="1">
      <c r="A86" s="444" t="s">
        <v>466</v>
      </c>
      <c r="B86" s="445"/>
      <c r="C86" s="446"/>
      <c r="D86" s="447"/>
      <c r="E86" s="446"/>
      <c r="F86" s="447"/>
      <c r="G86" s="447"/>
      <c r="H86" s="445"/>
      <c r="I86" s="445"/>
      <c r="J86" s="445"/>
      <c r="K86" s="448"/>
      <c r="L86" s="448"/>
      <c r="M86" s="111"/>
      <c r="N86" s="447"/>
      <c r="O86" s="447"/>
      <c r="P86" s="448"/>
      <c r="Q86" s="449"/>
      <c r="R86" s="111"/>
      <c r="S86" s="111"/>
      <c r="T86" s="111"/>
      <c r="U86" s="111"/>
      <c r="V86" s="147"/>
    </row>
    <row r="87" spans="1:22" ht="18" customHeight="1">
      <c r="A87" s="96" t="s">
        <v>467</v>
      </c>
      <c r="B87" s="164"/>
      <c r="C87" s="450"/>
      <c r="D87" s="389"/>
      <c r="E87" s="450"/>
      <c r="F87" s="389"/>
      <c r="G87" s="389"/>
      <c r="H87" s="164"/>
      <c r="I87" s="164"/>
      <c r="J87" s="164"/>
      <c r="K87" s="165"/>
      <c r="L87" s="165"/>
      <c r="M87" s="7"/>
      <c r="N87" s="389"/>
      <c r="O87" s="389"/>
      <c r="P87" s="165"/>
      <c r="Q87" s="451"/>
      <c r="R87" s="7"/>
      <c r="S87" s="7"/>
      <c r="T87" s="7"/>
      <c r="U87" s="7"/>
      <c r="V87" s="112"/>
    </row>
    <row r="88" spans="1:22" ht="18" customHeight="1">
      <c r="A88" s="409"/>
      <c r="B88" s="164"/>
      <c r="C88" s="450"/>
      <c r="D88" s="7"/>
      <c r="E88" s="7"/>
      <c r="F88" s="7"/>
      <c r="G88" s="389"/>
      <c r="H88" s="452" t="s">
        <v>468</v>
      </c>
      <c r="I88" s="14" t="s">
        <v>469</v>
      </c>
      <c r="J88" s="7"/>
      <c r="K88" s="28" t="s">
        <v>470</v>
      </c>
      <c r="L88" s="28" t="s">
        <v>146</v>
      </c>
      <c r="M88" s="453"/>
      <c r="N88" s="389"/>
      <c r="O88" s="389"/>
      <c r="P88" s="102" t="s">
        <v>138</v>
      </c>
      <c r="Q88" s="28">
        <v>1</v>
      </c>
      <c r="R88" s="7"/>
      <c r="S88" s="7"/>
      <c r="T88" s="7"/>
      <c r="U88" s="7"/>
      <c r="V88" s="112"/>
    </row>
    <row r="89" spans="1:22" ht="18" customHeight="1">
      <c r="A89" s="409"/>
      <c r="B89" s="164"/>
      <c r="C89" s="450"/>
      <c r="D89" s="7"/>
      <c r="E89" s="7"/>
      <c r="F89" s="7"/>
      <c r="G89" s="389"/>
      <c r="H89" s="452"/>
      <c r="I89" s="14"/>
      <c r="J89" s="7"/>
      <c r="K89" s="28"/>
      <c r="L89" s="28"/>
      <c r="M89" s="453"/>
      <c r="N89" s="389"/>
      <c r="O89" s="389"/>
      <c r="P89" s="102"/>
      <c r="Q89" s="28"/>
      <c r="R89" s="7"/>
      <c r="S89" s="7"/>
      <c r="T89" s="7"/>
      <c r="U89" s="7"/>
      <c r="V89" s="112"/>
    </row>
    <row r="90" spans="1:22" ht="18" customHeight="1">
      <c r="A90" s="96" t="s">
        <v>471</v>
      </c>
      <c r="B90" s="164"/>
      <c r="C90" s="450"/>
      <c r="D90" s="389"/>
      <c r="E90" s="450"/>
      <c r="F90" s="389"/>
      <c r="G90" s="389"/>
      <c r="H90" s="164"/>
      <c r="I90" s="7"/>
      <c r="J90" s="7"/>
      <c r="K90" s="121"/>
      <c r="L90" s="121"/>
      <c r="M90" s="7"/>
      <c r="N90" s="389"/>
      <c r="O90" s="389"/>
      <c r="P90" s="165"/>
      <c r="Q90" s="451"/>
      <c r="V90" s="10"/>
    </row>
    <row r="91" spans="1:22" ht="18" customHeight="1">
      <c r="A91" s="96" t="s">
        <v>472</v>
      </c>
      <c r="B91" s="164"/>
      <c r="C91" s="450"/>
      <c r="D91" s="389"/>
      <c r="E91" s="450"/>
      <c r="F91" s="389"/>
      <c r="G91" s="389"/>
      <c r="H91" s="164"/>
      <c r="I91" s="7"/>
      <c r="J91" s="7"/>
      <c r="K91" s="121"/>
      <c r="L91" s="121"/>
      <c r="M91" s="7"/>
      <c r="N91" s="389"/>
      <c r="O91" s="389"/>
      <c r="P91" s="165"/>
      <c r="Q91" s="451"/>
      <c r="V91" s="10"/>
    </row>
    <row r="92" spans="1:22" ht="18" customHeight="1">
      <c r="A92" s="409"/>
      <c r="B92" s="164"/>
      <c r="C92" s="450"/>
      <c r="D92" s="7"/>
      <c r="E92" s="7"/>
      <c r="F92" s="7"/>
      <c r="G92" s="389"/>
      <c r="H92" s="452" t="s">
        <v>468</v>
      </c>
      <c r="I92" s="14" t="s">
        <v>473</v>
      </c>
      <c r="J92" s="7"/>
      <c r="K92" s="28" t="s">
        <v>470</v>
      </c>
      <c r="L92" s="28" t="s">
        <v>462</v>
      </c>
      <c r="M92" s="453"/>
      <c r="N92" s="389"/>
      <c r="O92" s="389"/>
      <c r="P92" s="102" t="s">
        <v>138</v>
      </c>
      <c r="Q92" s="28">
        <v>3</v>
      </c>
      <c r="V92" s="10"/>
    </row>
    <row r="93" spans="1:22" ht="18" customHeight="1">
      <c r="A93" s="409"/>
      <c r="B93" s="164"/>
      <c r="C93" s="450"/>
      <c r="D93" s="7"/>
      <c r="E93" s="7"/>
      <c r="F93" s="7"/>
      <c r="G93" s="389"/>
      <c r="H93" s="452"/>
      <c r="I93" s="14"/>
      <c r="J93" s="7"/>
      <c r="K93" s="28"/>
      <c r="L93" s="28"/>
      <c r="M93" s="453"/>
      <c r="N93" s="389"/>
      <c r="O93" s="389"/>
      <c r="P93" s="102"/>
      <c r="Q93" s="28"/>
      <c r="V93" s="10"/>
    </row>
    <row r="94" spans="1:22" ht="18" customHeight="1">
      <c r="A94" s="205" t="s">
        <v>427</v>
      </c>
      <c r="V94" s="10"/>
    </row>
    <row r="95" spans="1:22" ht="18" customHeight="1">
      <c r="A95" s="114"/>
      <c r="B95" s="7"/>
      <c r="C95" s="7"/>
      <c r="D95" s="7"/>
      <c r="E95" s="7"/>
      <c r="F95" s="7"/>
      <c r="G95" s="14" t="s">
        <v>474</v>
      </c>
      <c r="H95" s="7"/>
      <c r="I95" s="7"/>
      <c r="J95" s="7"/>
      <c r="K95" s="28" t="s">
        <v>138</v>
      </c>
      <c r="L95" s="641">
        <f>'Parameters &amp; Fault Cal. (4)'!Q59</f>
        <v>159.09090909090909</v>
      </c>
      <c r="M95" s="638"/>
      <c r="N95" s="14" t="s">
        <v>475</v>
      </c>
      <c r="O95" s="28" t="s">
        <v>146</v>
      </c>
      <c r="P95" s="28" t="s">
        <v>138</v>
      </c>
      <c r="Q95" s="28">
        <f>IF(L95&lt;=400,Q88,Q89)</f>
        <v>1</v>
      </c>
      <c r="R95" s="7"/>
      <c r="S95" s="7"/>
      <c r="T95" s="7"/>
      <c r="V95" s="10"/>
    </row>
    <row r="96" spans="1:22" ht="18" customHeight="1">
      <c r="A96" s="1006" t="s">
        <v>428</v>
      </c>
      <c r="B96" s="956"/>
      <c r="C96" s="956"/>
      <c r="D96" s="1011">
        <f>R76</f>
        <v>40000</v>
      </c>
      <c r="E96" s="1019"/>
      <c r="F96" s="861" t="s">
        <v>326</v>
      </c>
      <c r="G96" s="1013">
        <f>R79</f>
        <v>1</v>
      </c>
      <c r="H96" s="1020"/>
      <c r="I96" s="861" t="s">
        <v>326</v>
      </c>
      <c r="J96" s="862">
        <f>Q95</f>
        <v>1</v>
      </c>
      <c r="K96" s="861" t="s">
        <v>326</v>
      </c>
      <c r="L96" s="1011" t="s">
        <v>430</v>
      </c>
      <c r="M96" s="968">
        <f>R81</f>
        <v>5</v>
      </c>
      <c r="N96" s="1017" t="s">
        <v>358</v>
      </c>
      <c r="O96" s="1018">
        <f>R82</f>
        <v>1.46186744</v>
      </c>
      <c r="P96" s="861" t="s">
        <v>358</v>
      </c>
      <c r="Q96" s="1010">
        <f>R83</f>
        <v>0.02</v>
      </c>
      <c r="R96" s="1010"/>
      <c r="S96" s="1010"/>
      <c r="T96" s="952" t="s">
        <v>361</v>
      </c>
      <c r="U96" s="242" t="s">
        <v>433</v>
      </c>
      <c r="V96" s="112"/>
    </row>
    <row r="97" spans="1:22" ht="18" customHeight="1">
      <c r="A97" s="1007"/>
      <c r="B97" s="956"/>
      <c r="C97" s="956"/>
      <c r="D97" s="1019"/>
      <c r="E97" s="1019"/>
      <c r="F97" s="861"/>
      <c r="G97" s="861">
        <f>R75</f>
        <v>2500</v>
      </c>
      <c r="H97" s="1019"/>
      <c r="I97" s="861"/>
      <c r="J97" s="861"/>
      <c r="K97" s="861"/>
      <c r="L97" s="1011"/>
      <c r="M97" s="968"/>
      <c r="N97" s="1017"/>
      <c r="O97" s="968"/>
      <c r="P97" s="861"/>
      <c r="Q97" s="233">
        <f>R80</f>
        <v>1</v>
      </c>
      <c r="R97" s="233" t="s">
        <v>326</v>
      </c>
      <c r="S97" s="233">
        <f>R80</f>
        <v>1</v>
      </c>
      <c r="T97" s="952"/>
      <c r="U97" s="7"/>
      <c r="V97" s="112"/>
    </row>
    <row r="98" spans="1:22" ht="18" customHeight="1">
      <c r="A98" s="114"/>
      <c r="B98" s="7"/>
      <c r="C98" s="7"/>
      <c r="D98" s="7"/>
      <c r="E98" s="7"/>
      <c r="F98" s="7"/>
      <c r="G98" s="7"/>
      <c r="H98" s="7"/>
      <c r="I98" s="7"/>
      <c r="J98" s="7"/>
      <c r="K98" s="7"/>
      <c r="L98" s="7"/>
      <c r="M98" s="7"/>
      <c r="N98" s="7"/>
      <c r="O98" s="7"/>
      <c r="P98" s="7"/>
      <c r="Q98" s="7"/>
      <c r="R98" s="7"/>
      <c r="S98" s="7"/>
      <c r="T98" s="7"/>
      <c r="V98" s="10"/>
    </row>
    <row r="99" spans="1:22" ht="18" customHeight="1">
      <c r="A99" s="9"/>
      <c r="C99" s="30" t="s">
        <v>138</v>
      </c>
      <c r="D99" s="797">
        <f>D96*(G96/G97)*J96*(M96+O96+(Q96/(Q97*S97)))</f>
        <v>103.70987903999999</v>
      </c>
      <c r="E99" s="645"/>
      <c r="F99" s="27" t="s">
        <v>316</v>
      </c>
      <c r="V99" s="10"/>
    </row>
    <row r="100" spans="1:22" ht="18" customHeight="1">
      <c r="A100" s="9"/>
      <c r="V100" s="10"/>
    </row>
    <row r="101" spans="1:22" ht="18" customHeight="1">
      <c r="A101" s="205" t="s">
        <v>476</v>
      </c>
      <c r="V101" s="10"/>
    </row>
    <row r="102" spans="1:22" ht="18" customHeight="1">
      <c r="A102" s="9"/>
      <c r="E102" s="30" t="s">
        <v>477</v>
      </c>
      <c r="K102" s="27" t="s">
        <v>138</v>
      </c>
      <c r="L102" s="637">
        <f>'Parameters &amp; Fault Cal. (4)'!Q116</f>
        <v>6.7473490103646627</v>
      </c>
      <c r="M102" s="639"/>
      <c r="N102" s="30" t="s">
        <v>475</v>
      </c>
      <c r="O102" s="28" t="s">
        <v>462</v>
      </c>
      <c r="P102" s="27" t="s">
        <v>138</v>
      </c>
      <c r="Q102" s="27">
        <f>IF(L102&lt;=200,Q92,Q93)</f>
        <v>3</v>
      </c>
      <c r="V102" s="10"/>
    </row>
    <row r="103" spans="1:22" ht="18" customHeight="1">
      <c r="A103" s="1006" t="s">
        <v>428</v>
      </c>
      <c r="B103" s="956"/>
      <c r="C103" s="956"/>
      <c r="D103" s="1016">
        <f>R77</f>
        <v>22086.904410813047</v>
      </c>
      <c r="E103" s="1015"/>
      <c r="F103" s="861" t="s">
        <v>326</v>
      </c>
      <c r="G103" s="1013">
        <f>R79</f>
        <v>1</v>
      </c>
      <c r="H103" s="1014"/>
      <c r="I103" s="861" t="s">
        <v>326</v>
      </c>
      <c r="J103" s="862">
        <f>Q102</f>
        <v>3</v>
      </c>
      <c r="K103" s="861" t="s">
        <v>326</v>
      </c>
      <c r="L103" s="1011" t="s">
        <v>430</v>
      </c>
      <c r="M103" s="968">
        <f>R81</f>
        <v>5</v>
      </c>
      <c r="N103" s="1017" t="s">
        <v>358</v>
      </c>
      <c r="O103" s="1018">
        <f>R82</f>
        <v>1.46186744</v>
      </c>
      <c r="P103" s="861" t="s">
        <v>358</v>
      </c>
      <c r="Q103" s="1010">
        <f>R83</f>
        <v>0.02</v>
      </c>
      <c r="R103" s="1010"/>
      <c r="S103" s="1010"/>
      <c r="T103" s="952" t="s">
        <v>361</v>
      </c>
      <c r="U103" s="242" t="s">
        <v>437</v>
      </c>
      <c r="V103" s="112"/>
    </row>
    <row r="104" spans="1:22" ht="18" customHeight="1">
      <c r="A104" s="1007"/>
      <c r="B104" s="956"/>
      <c r="C104" s="956"/>
      <c r="D104" s="1015"/>
      <c r="E104" s="1015"/>
      <c r="F104" s="861"/>
      <c r="G104" s="861">
        <f>R75</f>
        <v>2500</v>
      </c>
      <c r="H104" s="1015"/>
      <c r="I104" s="861"/>
      <c r="J104" s="861"/>
      <c r="K104" s="861"/>
      <c r="L104" s="1011"/>
      <c r="M104" s="968"/>
      <c r="N104" s="1017"/>
      <c r="O104" s="968"/>
      <c r="P104" s="861"/>
      <c r="Q104" s="233">
        <f>R80</f>
        <v>1</v>
      </c>
      <c r="R104" s="233" t="s">
        <v>326</v>
      </c>
      <c r="S104" s="233">
        <f>R80</f>
        <v>1</v>
      </c>
      <c r="T104" s="952"/>
      <c r="U104" s="7"/>
      <c r="V104" s="112"/>
    </row>
    <row r="105" spans="1:22" ht="18" customHeight="1">
      <c r="A105" s="9"/>
      <c r="I105" s="7"/>
      <c r="J105" s="7"/>
      <c r="K105" s="7"/>
      <c r="V105" s="10"/>
    </row>
    <row r="106" spans="1:22" ht="18" customHeight="1">
      <c r="A106" s="9"/>
      <c r="C106" s="27" t="s">
        <v>138</v>
      </c>
      <c r="D106" s="797">
        <f>D103*(G103/G104)*J103*(M103+O103+(Q103/(Q104*S104)))</f>
        <v>171.79726386100975</v>
      </c>
      <c r="E106" s="645"/>
      <c r="F106" s="27" t="s">
        <v>316</v>
      </c>
      <c r="I106" s="7"/>
      <c r="J106" s="7"/>
      <c r="K106" s="7"/>
      <c r="V106" s="10"/>
    </row>
    <row r="107" spans="1:22" ht="18" customHeight="1">
      <c r="A107" s="9"/>
      <c r="I107" s="7"/>
      <c r="J107" s="7"/>
      <c r="K107" s="7"/>
      <c r="V107" s="10"/>
    </row>
    <row r="108" spans="1:22" ht="18" customHeight="1">
      <c r="A108" s="205" t="s">
        <v>478</v>
      </c>
      <c r="I108" s="7"/>
      <c r="J108" s="7"/>
      <c r="K108" s="7"/>
      <c r="V108" s="10"/>
    </row>
    <row r="109" spans="1:22" ht="18" customHeight="1">
      <c r="A109" s="9"/>
      <c r="E109" s="30" t="s">
        <v>479</v>
      </c>
      <c r="I109" s="7"/>
      <c r="J109" s="7"/>
      <c r="K109" s="28" t="s">
        <v>138</v>
      </c>
      <c r="L109" s="637">
        <f>'Parameters &amp; Fault Cal. (4)'!Q139</f>
        <v>6.9289372966517959</v>
      </c>
      <c r="M109" s="639"/>
      <c r="N109" s="27" t="s">
        <v>475</v>
      </c>
      <c r="O109" s="28" t="s">
        <v>462</v>
      </c>
      <c r="P109" s="27" t="s">
        <v>138</v>
      </c>
      <c r="Q109" s="27">
        <f>IF(L109&lt;=200,Q92,Q93)</f>
        <v>3</v>
      </c>
      <c r="V109" s="10"/>
    </row>
    <row r="110" spans="1:22" ht="18" customHeight="1">
      <c r="A110" s="1006" t="s">
        <v>428</v>
      </c>
      <c r="B110" s="956"/>
      <c r="C110" s="956"/>
      <c r="D110" s="1016">
        <f>R78</f>
        <v>23819.814378888525</v>
      </c>
      <c r="E110" s="1015"/>
      <c r="F110" s="861" t="s">
        <v>326</v>
      </c>
      <c r="G110" s="1013">
        <f>R79</f>
        <v>1</v>
      </c>
      <c r="H110" s="1014"/>
      <c r="I110" s="861" t="s">
        <v>326</v>
      </c>
      <c r="J110" s="862">
        <f>Q109</f>
        <v>3</v>
      </c>
      <c r="K110" s="861" t="s">
        <v>326</v>
      </c>
      <c r="L110" s="1011" t="s">
        <v>430</v>
      </c>
      <c r="M110" s="968">
        <f>R81</f>
        <v>5</v>
      </c>
      <c r="N110" s="1017" t="s">
        <v>358</v>
      </c>
      <c r="O110" s="1018">
        <f>R82</f>
        <v>1.46186744</v>
      </c>
      <c r="P110" s="861" t="s">
        <v>358</v>
      </c>
      <c r="Q110" s="1010">
        <f>R83</f>
        <v>0.02</v>
      </c>
      <c r="R110" s="1010"/>
      <c r="S110" s="1010"/>
      <c r="T110" s="952" t="s">
        <v>361</v>
      </c>
      <c r="U110" s="242" t="s">
        <v>437</v>
      </c>
      <c r="V110" s="112"/>
    </row>
    <row r="111" spans="1:22" ht="18" customHeight="1">
      <c r="A111" s="1007"/>
      <c r="B111" s="956"/>
      <c r="C111" s="956"/>
      <c r="D111" s="1015"/>
      <c r="E111" s="1015"/>
      <c r="F111" s="861"/>
      <c r="G111" s="861">
        <f>R75</f>
        <v>2500</v>
      </c>
      <c r="H111" s="1015"/>
      <c r="I111" s="861"/>
      <c r="J111" s="861"/>
      <c r="K111" s="861"/>
      <c r="L111" s="1011"/>
      <c r="M111" s="968"/>
      <c r="N111" s="1017"/>
      <c r="O111" s="968"/>
      <c r="P111" s="861"/>
      <c r="Q111" s="233">
        <f>R80</f>
        <v>1</v>
      </c>
      <c r="R111" s="233" t="s">
        <v>326</v>
      </c>
      <c r="S111" s="233">
        <f>R80</f>
        <v>1</v>
      </c>
      <c r="T111" s="952"/>
      <c r="U111" s="7"/>
      <c r="V111" s="112"/>
    </row>
    <row r="112" spans="1:22" ht="18" customHeight="1">
      <c r="A112" s="9"/>
      <c r="V112" s="10"/>
    </row>
    <row r="113" spans="1:26" ht="18" customHeight="1">
      <c r="A113" s="9"/>
      <c r="C113" s="30" t="s">
        <v>138</v>
      </c>
      <c r="D113" s="1021">
        <f>D110*(G110/G111)*J110*(M110+O110+(Q110/(Q111*S111)))</f>
        <v>185.27625509923362</v>
      </c>
      <c r="E113" s="1022"/>
      <c r="F113" s="27" t="s">
        <v>316</v>
      </c>
      <c r="V113" s="10"/>
    </row>
    <row r="114" spans="1:26" ht="18" customHeight="1">
      <c r="A114" s="9"/>
      <c r="V114" s="10"/>
    </row>
    <row r="115" spans="1:26" ht="18" customHeight="1">
      <c r="A115" s="196" t="s">
        <v>480</v>
      </c>
      <c r="M115" s="1023">
        <f>H10</f>
        <v>2500</v>
      </c>
      <c r="N115" s="1024"/>
      <c r="O115" s="30" t="s">
        <v>481</v>
      </c>
      <c r="Q115" s="798">
        <f>MAX(D50,D56,D62,D99,D106,D113)</f>
        <v>185.27625509923362</v>
      </c>
      <c r="R115" s="799"/>
      <c r="S115" s="30" t="s">
        <v>316</v>
      </c>
      <c r="V115" s="10"/>
    </row>
    <row r="116" spans="1:26" ht="18" customHeight="1">
      <c r="A116" s="364" t="s">
        <v>482</v>
      </c>
      <c r="B116" s="7"/>
      <c r="C116" s="7"/>
      <c r="D116" s="454"/>
      <c r="E116" s="7"/>
      <c r="F116" s="7"/>
      <c r="G116" s="385"/>
      <c r="H116" s="7"/>
      <c r="J116" s="7"/>
      <c r="K116" s="7"/>
      <c r="L116" s="7"/>
      <c r="M116" s="7"/>
      <c r="N116" s="7"/>
      <c r="O116" s="7"/>
      <c r="P116" s="262"/>
      <c r="Q116" s="263"/>
      <c r="R116" s="385"/>
      <c r="S116" s="7"/>
      <c r="V116" s="10"/>
    </row>
    <row r="117" spans="1:26" ht="18" customHeight="1">
      <c r="A117" s="96" t="s">
        <v>483</v>
      </c>
      <c r="V117" s="10"/>
    </row>
    <row r="118" spans="1:26" ht="18" customHeight="1">
      <c r="A118" s="9"/>
      <c r="N118" s="7"/>
      <c r="O118" s="28" t="s">
        <v>484</v>
      </c>
      <c r="P118" s="102" t="s">
        <v>138</v>
      </c>
      <c r="Q118" s="906" t="s">
        <v>485</v>
      </c>
      <c r="R118" s="906"/>
      <c r="S118" s="28" t="s">
        <v>326</v>
      </c>
      <c r="T118" s="28">
        <v>0.8</v>
      </c>
      <c r="V118" s="10"/>
    </row>
    <row r="119" spans="1:26" ht="18" customHeight="1">
      <c r="A119" s="9"/>
      <c r="N119" s="264"/>
      <c r="O119" s="28"/>
      <c r="P119" s="102" t="s">
        <v>138</v>
      </c>
      <c r="Q119" s="1026">
        <f>+Q115</f>
        <v>185.27625509923362</v>
      </c>
      <c r="R119" s="661"/>
      <c r="S119" s="234" t="s">
        <v>326</v>
      </c>
      <c r="T119" s="265">
        <f>+T118</f>
        <v>0.8</v>
      </c>
      <c r="V119" s="10"/>
    </row>
    <row r="120" spans="1:26" ht="18" customHeight="1">
      <c r="A120" s="9"/>
      <c r="O120" s="28"/>
      <c r="P120" s="28" t="s">
        <v>138</v>
      </c>
      <c r="Q120" s="1027">
        <f>Q119*T119</f>
        <v>148.22100407938692</v>
      </c>
      <c r="R120" s="651"/>
      <c r="S120" s="47" t="s">
        <v>316</v>
      </c>
      <c r="T120" s="28"/>
      <c r="V120" s="10"/>
    </row>
    <row r="121" spans="1:26" ht="18" customHeight="1">
      <c r="A121" s="9"/>
      <c r="D121" s="14" t="s">
        <v>486</v>
      </c>
      <c r="G121" s="27" t="s">
        <v>487</v>
      </c>
      <c r="H121" s="14" t="s">
        <v>488</v>
      </c>
      <c r="V121" s="10"/>
      <c r="Z121" t="str">
        <f>IF(E122&gt;H122,"&gt;","&lt;")</f>
        <v>&gt;</v>
      </c>
    </row>
    <row r="122" spans="1:26" ht="18" customHeight="1">
      <c r="A122" s="9"/>
      <c r="E122" s="639">
        <f>H13</f>
        <v>3750</v>
      </c>
      <c r="F122" s="639"/>
      <c r="G122" s="27" t="s">
        <v>487</v>
      </c>
      <c r="H122" s="637">
        <f>Q120</f>
        <v>148.22100407938692</v>
      </c>
      <c r="I122" s="639"/>
      <c r="V122" s="10"/>
    </row>
    <row r="123" spans="1:26" ht="18" customHeight="1">
      <c r="A123" s="9"/>
      <c r="F123" s="256" t="s">
        <v>489</v>
      </c>
      <c r="H123" s="18" t="str">
        <f>IF(E122&gt;H122,"Suitably Dimensioned","Under Dimensioned")</f>
        <v>Suitably Dimensioned</v>
      </c>
      <c r="V123" s="10"/>
      <c r="Z123" t="str">
        <f>IF(G121="&gt;","Suitably Dimensioned","Under Dimensioned")</f>
        <v>Suitably Dimensioned</v>
      </c>
    </row>
    <row r="124" spans="1:26" ht="18" customHeight="1">
      <c r="A124" s="9"/>
      <c r="F124" s="256"/>
      <c r="H124" s="18"/>
      <c r="V124" s="10"/>
    </row>
    <row r="125" spans="1:26" s="7" customFormat="1" ht="18" customHeight="1">
      <c r="A125" s="395"/>
      <c r="B125" s="20"/>
      <c r="C125" s="20"/>
      <c r="D125" s="20"/>
      <c r="E125" s="20"/>
      <c r="F125" s="20"/>
      <c r="G125" s="20"/>
      <c r="H125" s="20"/>
      <c r="I125" s="20"/>
      <c r="J125" s="20"/>
      <c r="K125" s="20"/>
      <c r="L125" s="20"/>
      <c r="M125" s="20"/>
      <c r="N125" s="20"/>
      <c r="O125" s="20"/>
      <c r="P125" s="20"/>
      <c r="Q125" s="21"/>
      <c r="R125" s="22"/>
      <c r="S125" s="23"/>
      <c r="T125" s="20"/>
      <c r="U125" s="20"/>
      <c r="V125" s="140"/>
    </row>
    <row r="126" spans="1:26" ht="18" hidden="1" customHeight="1">
      <c r="A126" s="455"/>
      <c r="B126" s="397"/>
      <c r="C126" s="397"/>
      <c r="D126" s="397"/>
      <c r="E126" s="397"/>
      <c r="F126" s="397"/>
      <c r="G126" s="397"/>
      <c r="H126" s="397"/>
      <c r="I126" s="397"/>
      <c r="J126" s="397"/>
      <c r="K126" s="397"/>
      <c r="L126" s="397"/>
      <c r="M126" s="397"/>
      <c r="N126" s="397"/>
      <c r="O126" s="397"/>
      <c r="P126" s="397"/>
      <c r="Q126" s="397"/>
      <c r="R126" s="397"/>
      <c r="S126" s="397"/>
      <c r="T126" s="397"/>
      <c r="U126" s="397"/>
      <c r="V126" s="408"/>
    </row>
    <row r="127" spans="1:26" ht="18" hidden="1" customHeight="1">
      <c r="A127" s="116" t="s">
        <v>490</v>
      </c>
      <c r="V127" s="10"/>
    </row>
    <row r="128" spans="1:26" ht="18" hidden="1" customHeight="1">
      <c r="A128" s="1002" t="s">
        <v>491</v>
      </c>
      <c r="B128" s="965"/>
      <c r="C128" s="965"/>
      <c r="D128" s="965"/>
      <c r="E128" s="965"/>
      <c r="F128" s="965"/>
      <c r="G128" s="965"/>
      <c r="H128" s="965"/>
      <c r="I128" s="965"/>
      <c r="J128" s="965"/>
      <c r="K128" s="965"/>
      <c r="L128" s="965"/>
      <c r="M128" s="965"/>
      <c r="N128" s="965"/>
      <c r="O128" s="965"/>
      <c r="P128" s="965"/>
      <c r="Q128" s="965"/>
      <c r="R128" s="965"/>
      <c r="S128" s="965"/>
      <c r="T128" s="965"/>
      <c r="U128" s="965"/>
      <c r="V128" s="966"/>
    </row>
    <row r="129" spans="1:22" ht="18" hidden="1" customHeight="1">
      <c r="A129" s="967"/>
      <c r="B129" s="965"/>
      <c r="C129" s="965"/>
      <c r="D129" s="965"/>
      <c r="E129" s="965"/>
      <c r="F129" s="965"/>
      <c r="G129" s="965"/>
      <c r="H129" s="965"/>
      <c r="I129" s="965"/>
      <c r="J129" s="965"/>
      <c r="K129" s="965"/>
      <c r="L129" s="965"/>
      <c r="M129" s="965"/>
      <c r="N129" s="965"/>
      <c r="O129" s="965"/>
      <c r="P129" s="965"/>
      <c r="Q129" s="965"/>
      <c r="R129" s="965"/>
      <c r="S129" s="965"/>
      <c r="T129" s="965"/>
      <c r="U129" s="965"/>
      <c r="V129" s="966"/>
    </row>
    <row r="130" spans="1:22" ht="18" hidden="1" customHeight="1">
      <c r="A130" s="456"/>
      <c r="B130" s="5"/>
      <c r="C130" s="5"/>
      <c r="D130" s="5"/>
      <c r="E130" s="5"/>
      <c r="F130" s="30"/>
      <c r="G130" s="30"/>
      <c r="H130" s="30"/>
      <c r="I130" s="30"/>
      <c r="J130" s="30"/>
      <c r="K130" s="30"/>
      <c r="L130" s="30"/>
      <c r="M130" s="224"/>
      <c r="N130" s="224"/>
      <c r="O130" s="103"/>
      <c r="P130" s="30"/>
      <c r="Q130" s="235"/>
      <c r="R130" s="14"/>
      <c r="S130" s="226"/>
      <c r="T130" s="30"/>
      <c r="U130" s="30"/>
      <c r="V130" s="197"/>
    </row>
    <row r="131" spans="1:22" ht="18" hidden="1" customHeight="1">
      <c r="A131" s="1006" t="s">
        <v>428</v>
      </c>
      <c r="B131" s="1008"/>
      <c r="C131" s="1008"/>
      <c r="D131" s="638">
        <v>5</v>
      </c>
      <c r="E131" s="638" t="s">
        <v>326</v>
      </c>
      <c r="F131" s="638" t="s">
        <v>492</v>
      </c>
      <c r="G131" s="639"/>
      <c r="H131" s="638" t="s">
        <v>326</v>
      </c>
      <c r="I131" s="661" t="s">
        <v>493</v>
      </c>
      <c r="J131" s="1068"/>
      <c r="K131" s="638" t="s">
        <v>326</v>
      </c>
      <c r="L131" s="920" t="s">
        <v>430</v>
      </c>
      <c r="M131" s="920" t="s">
        <v>431</v>
      </c>
      <c r="N131" s="958" t="s">
        <v>358</v>
      </c>
      <c r="O131" s="920" t="s">
        <v>419</v>
      </c>
      <c r="P131" s="638" t="s">
        <v>358</v>
      </c>
      <c r="Q131" s="953" t="s">
        <v>432</v>
      </c>
      <c r="R131" s="1005"/>
      <c r="S131" s="1005"/>
      <c r="T131" s="952" t="s">
        <v>361</v>
      </c>
      <c r="U131" s="242" t="s">
        <v>433</v>
      </c>
      <c r="V131" s="97"/>
    </row>
    <row r="132" spans="1:22" ht="18" hidden="1" customHeight="1">
      <c r="A132" s="1067"/>
      <c r="B132" s="1008"/>
      <c r="C132" s="1008"/>
      <c r="D132" s="638"/>
      <c r="E132" s="638"/>
      <c r="F132" s="639"/>
      <c r="G132" s="639"/>
      <c r="H132" s="638"/>
      <c r="I132" s="638" t="s">
        <v>494</v>
      </c>
      <c r="J132" s="985"/>
      <c r="K132" s="638"/>
      <c r="L132" s="920"/>
      <c r="M132" s="920"/>
      <c r="N132" s="958"/>
      <c r="O132" s="920"/>
      <c r="P132" s="638"/>
      <c r="Q132" s="28" t="s">
        <v>157</v>
      </c>
      <c r="R132" s="28" t="s">
        <v>326</v>
      </c>
      <c r="S132" s="28" t="s">
        <v>157</v>
      </c>
      <c r="T132" s="952"/>
      <c r="U132" s="14"/>
      <c r="V132" s="97"/>
    </row>
    <row r="133" spans="1:22" ht="18" hidden="1" customHeight="1">
      <c r="A133" s="159"/>
      <c r="B133" s="14" t="s">
        <v>438</v>
      </c>
      <c r="C133" s="14"/>
      <c r="D133" s="103"/>
      <c r="E133" s="103"/>
      <c r="F133" s="14"/>
      <c r="G133" s="14"/>
      <c r="H133" s="5"/>
      <c r="I133" s="5"/>
      <c r="J133" s="5"/>
      <c r="K133" s="30"/>
      <c r="L133" s="30"/>
      <c r="M133" s="30"/>
      <c r="N133" s="30"/>
      <c r="O133" s="30"/>
      <c r="P133" s="120" t="s">
        <v>439</v>
      </c>
      <c r="Q133" s="30"/>
      <c r="R133" s="30"/>
      <c r="S133" s="30"/>
      <c r="T133" s="30"/>
      <c r="U133" s="457"/>
      <c r="V133" s="458"/>
    </row>
    <row r="134" spans="1:22" ht="18" hidden="1" customHeight="1">
      <c r="A134" s="459"/>
      <c r="B134" s="14" t="s">
        <v>440</v>
      </c>
      <c r="C134" s="14"/>
      <c r="D134" s="103"/>
      <c r="E134" s="103"/>
      <c r="F134" s="14"/>
      <c r="G134" s="14"/>
      <c r="H134" s="5"/>
      <c r="I134" s="5"/>
      <c r="J134" s="5"/>
      <c r="K134" s="30"/>
      <c r="L134" s="30"/>
      <c r="M134" s="30"/>
      <c r="N134" s="30"/>
      <c r="O134" s="30"/>
      <c r="P134" s="120" t="s">
        <v>495</v>
      </c>
      <c r="Q134" s="246" t="s">
        <v>138</v>
      </c>
      <c r="R134" s="639">
        <f>R35</f>
        <v>2500</v>
      </c>
      <c r="S134" s="639"/>
      <c r="T134" s="14" t="s">
        <v>9</v>
      </c>
      <c r="U134" s="457"/>
      <c r="V134" s="458"/>
    </row>
    <row r="135" spans="1:22" ht="18" hidden="1" customHeight="1">
      <c r="A135" s="459"/>
      <c r="B135" s="14" t="s">
        <v>496</v>
      </c>
      <c r="C135" s="14"/>
      <c r="D135" s="14"/>
      <c r="E135" s="14"/>
      <c r="F135" s="14"/>
      <c r="G135" s="14"/>
      <c r="H135" s="14"/>
      <c r="I135" s="14"/>
      <c r="J135" s="14"/>
      <c r="K135" s="30"/>
      <c r="L135" s="30"/>
      <c r="M135" s="30"/>
      <c r="N135" s="30"/>
      <c r="O135" s="30"/>
      <c r="P135" s="120" t="s">
        <v>492</v>
      </c>
      <c r="Q135" s="246" t="s">
        <v>138</v>
      </c>
      <c r="R135" s="873">
        <f>R76</f>
        <v>40000</v>
      </c>
      <c r="S135" s="873"/>
      <c r="T135" s="14" t="s">
        <v>9</v>
      </c>
      <c r="U135" s="457"/>
      <c r="V135" s="458"/>
    </row>
    <row r="136" spans="1:22" ht="18" hidden="1" customHeight="1">
      <c r="A136" s="459"/>
      <c r="B136" s="14" t="s">
        <v>446</v>
      </c>
      <c r="C136" s="14"/>
      <c r="D136" s="103"/>
      <c r="E136" s="103"/>
      <c r="F136" s="14"/>
      <c r="G136" s="14"/>
      <c r="H136" s="5"/>
      <c r="I136" s="5"/>
      <c r="J136" s="5"/>
      <c r="K136" s="30"/>
      <c r="L136" s="30"/>
      <c r="M136" s="30"/>
      <c r="N136" s="30"/>
      <c r="O136" s="30"/>
      <c r="P136" s="120" t="s">
        <v>497</v>
      </c>
      <c r="Q136" s="246" t="s">
        <v>138</v>
      </c>
      <c r="R136" s="639">
        <f>R79</f>
        <v>1</v>
      </c>
      <c r="S136" s="639"/>
      <c r="T136" s="14" t="s">
        <v>9</v>
      </c>
      <c r="U136" s="457"/>
      <c r="V136" s="458"/>
    </row>
    <row r="137" spans="1:22" ht="18" hidden="1" customHeight="1">
      <c r="A137" s="159"/>
      <c r="B137" s="14" t="s">
        <v>448</v>
      </c>
      <c r="C137" s="14"/>
      <c r="D137" s="103"/>
      <c r="E137" s="103"/>
      <c r="F137" s="14"/>
      <c r="G137" s="14"/>
      <c r="H137" s="5"/>
      <c r="I137" s="5"/>
      <c r="J137" s="5"/>
      <c r="K137" s="30"/>
      <c r="L137" s="30"/>
      <c r="M137" s="30"/>
      <c r="N137" s="30"/>
      <c r="O137" s="30"/>
      <c r="P137" s="120" t="s">
        <v>449</v>
      </c>
      <c r="Q137" s="246" t="s">
        <v>138</v>
      </c>
      <c r="R137" s="639">
        <f>R80</f>
        <v>1</v>
      </c>
      <c r="S137" s="639"/>
      <c r="T137" s="14" t="s">
        <v>9</v>
      </c>
      <c r="U137" s="18"/>
      <c r="V137" s="97"/>
    </row>
    <row r="138" spans="1:22" ht="18" hidden="1" customHeight="1">
      <c r="A138" s="159"/>
      <c r="B138" s="14" t="s">
        <v>450</v>
      </c>
      <c r="C138" s="14"/>
      <c r="D138" s="103"/>
      <c r="E138" s="103"/>
      <c r="F138" s="14"/>
      <c r="G138" s="14"/>
      <c r="H138" s="5"/>
      <c r="I138" s="5"/>
      <c r="J138" s="5"/>
      <c r="K138" s="30"/>
      <c r="L138" s="30"/>
      <c r="M138" s="30"/>
      <c r="N138" s="30"/>
      <c r="O138" s="30"/>
      <c r="P138" s="120" t="s">
        <v>451</v>
      </c>
      <c r="Q138" s="246" t="s">
        <v>138</v>
      </c>
      <c r="R138" s="639">
        <f>R81</f>
        <v>5</v>
      </c>
      <c r="S138" s="639"/>
      <c r="T138" s="204" t="s">
        <v>344</v>
      </c>
      <c r="U138" s="18"/>
      <c r="V138" s="97"/>
    </row>
    <row r="139" spans="1:22" ht="18" hidden="1" customHeight="1">
      <c r="A139" s="196"/>
      <c r="B139" s="14" t="s">
        <v>498</v>
      </c>
      <c r="C139" s="14"/>
      <c r="D139" s="14"/>
      <c r="E139" s="14"/>
      <c r="F139" s="14"/>
      <c r="G139" s="14"/>
      <c r="H139" s="14"/>
      <c r="I139" s="14"/>
      <c r="J139" s="14"/>
      <c r="K139" s="30"/>
      <c r="L139" s="30"/>
      <c r="M139" s="30"/>
      <c r="N139" s="30"/>
      <c r="O139" s="30"/>
      <c r="P139" s="249" t="s">
        <v>452</v>
      </c>
      <c r="Q139" s="246" t="s">
        <v>138</v>
      </c>
      <c r="R139" s="637">
        <f>R82</f>
        <v>1.46186744</v>
      </c>
      <c r="S139" s="637"/>
      <c r="T139" s="204" t="s">
        <v>344</v>
      </c>
      <c r="U139" s="30"/>
      <c r="V139" s="197"/>
    </row>
    <row r="140" spans="1:22" ht="18" hidden="1" customHeight="1">
      <c r="A140" s="96"/>
      <c r="B140" s="40" t="s">
        <v>499</v>
      </c>
      <c r="C140" s="14"/>
      <c r="D140" s="14"/>
      <c r="E140" s="14"/>
      <c r="F140" s="14"/>
      <c r="G140" s="14"/>
      <c r="H140" s="5"/>
      <c r="I140" s="5"/>
      <c r="J140" s="5"/>
      <c r="K140" s="30"/>
      <c r="L140" s="30"/>
      <c r="M140" s="30"/>
      <c r="N140" s="30"/>
      <c r="O140" s="30"/>
      <c r="P140" s="249" t="s">
        <v>454</v>
      </c>
      <c r="Q140" s="246" t="s">
        <v>138</v>
      </c>
      <c r="R140" s="637">
        <f>J19</f>
        <v>0</v>
      </c>
      <c r="S140" s="639"/>
      <c r="T140" s="14" t="s">
        <v>168</v>
      </c>
      <c r="U140" s="30"/>
      <c r="V140" s="197"/>
    </row>
    <row r="141" spans="1:22" ht="18" hidden="1" customHeight="1">
      <c r="A141" s="96"/>
      <c r="B141" s="30" t="s">
        <v>500</v>
      </c>
      <c r="C141" s="30"/>
      <c r="D141" s="30"/>
      <c r="E141" s="30"/>
      <c r="F141" s="30" t="s">
        <v>501</v>
      </c>
      <c r="G141" s="27" t="s">
        <v>431</v>
      </c>
      <c r="H141" s="27" t="s">
        <v>326</v>
      </c>
      <c r="I141" s="27" t="s">
        <v>493</v>
      </c>
      <c r="J141" s="27" t="s">
        <v>326</v>
      </c>
      <c r="K141" s="27" t="s">
        <v>493</v>
      </c>
      <c r="L141" s="30"/>
      <c r="M141" s="30"/>
      <c r="N141" s="30"/>
      <c r="O141" s="30"/>
      <c r="P141" s="256" t="s">
        <v>502</v>
      </c>
      <c r="Q141" s="246" t="s">
        <v>138</v>
      </c>
      <c r="R141" s="637">
        <f>R138*R136*R136</f>
        <v>5</v>
      </c>
      <c r="S141" s="639"/>
      <c r="T141" s="14" t="s">
        <v>168</v>
      </c>
      <c r="U141" s="30"/>
      <c r="V141" s="197"/>
    </row>
    <row r="142" spans="1:22" ht="18" hidden="1" customHeight="1">
      <c r="A142" s="96"/>
      <c r="B142" s="30" t="s">
        <v>503</v>
      </c>
      <c r="C142" s="30"/>
      <c r="D142" s="30"/>
      <c r="E142" s="30"/>
      <c r="F142" s="30"/>
      <c r="G142" s="30"/>
      <c r="H142" s="30"/>
      <c r="I142" s="30"/>
      <c r="J142" s="30"/>
      <c r="K142" s="30"/>
      <c r="L142" s="30"/>
      <c r="M142" s="30"/>
      <c r="N142" s="30"/>
      <c r="O142" s="30"/>
      <c r="P142" s="120" t="s">
        <v>504</v>
      </c>
      <c r="Q142" s="246" t="s">
        <v>138</v>
      </c>
      <c r="R142" s="637">
        <f>H122</f>
        <v>148.22100407938692</v>
      </c>
      <c r="S142" s="639"/>
      <c r="T142" s="14" t="s">
        <v>168</v>
      </c>
      <c r="U142" s="30"/>
      <c r="V142" s="197"/>
    </row>
    <row r="143" spans="1:22" ht="18" hidden="1" customHeight="1">
      <c r="A143" s="96"/>
      <c r="B143" s="30" t="s">
        <v>505</v>
      </c>
      <c r="C143" s="30"/>
      <c r="D143" s="30"/>
      <c r="E143" s="30"/>
      <c r="F143" s="30"/>
      <c r="G143" s="30"/>
      <c r="H143" s="30"/>
      <c r="I143" s="30"/>
      <c r="J143" s="30"/>
      <c r="K143" s="30"/>
      <c r="L143" s="30"/>
      <c r="M143" s="30"/>
      <c r="N143" s="30"/>
      <c r="O143" s="30"/>
      <c r="P143" s="256" t="s">
        <v>506</v>
      </c>
      <c r="Q143" s="246" t="s">
        <v>138</v>
      </c>
      <c r="R143" s="639">
        <f>I120</f>
        <v>0</v>
      </c>
      <c r="S143" s="639"/>
      <c r="T143" s="30"/>
      <c r="U143" s="30"/>
      <c r="V143" s="197"/>
    </row>
    <row r="144" spans="1:22" ht="18" hidden="1" customHeight="1">
      <c r="A144" s="1006" t="s">
        <v>428</v>
      </c>
      <c r="B144" s="1008"/>
      <c r="C144" s="1008"/>
      <c r="D144" s="638">
        <v>5</v>
      </c>
      <c r="E144" s="638" t="s">
        <v>326</v>
      </c>
      <c r="F144" s="959">
        <f>R135</f>
        <v>40000</v>
      </c>
      <c r="G144" s="873"/>
      <c r="H144" s="638" t="s">
        <v>326</v>
      </c>
      <c r="I144" s="661">
        <f>R136</f>
        <v>1</v>
      </c>
      <c r="J144" s="1068"/>
      <c r="K144" s="638" t="s">
        <v>326</v>
      </c>
      <c r="L144" s="920" t="s">
        <v>430</v>
      </c>
      <c r="M144" s="920">
        <f>R138</f>
        <v>5</v>
      </c>
      <c r="N144" s="958" t="s">
        <v>358</v>
      </c>
      <c r="O144" s="1065">
        <f>R139</f>
        <v>1.46186744</v>
      </c>
      <c r="P144" s="638" t="s">
        <v>358</v>
      </c>
      <c r="Q144" s="1066">
        <f>R140</f>
        <v>0</v>
      </c>
      <c r="R144" s="1005"/>
      <c r="S144" s="1005"/>
      <c r="T144" s="952" t="s">
        <v>361</v>
      </c>
      <c r="U144" s="242" t="s">
        <v>433</v>
      </c>
      <c r="V144" s="97"/>
    </row>
    <row r="145" spans="1:22" ht="18" hidden="1" customHeight="1">
      <c r="A145" s="1067"/>
      <c r="B145" s="1008"/>
      <c r="C145" s="1008"/>
      <c r="D145" s="638"/>
      <c r="E145" s="638"/>
      <c r="F145" s="873"/>
      <c r="G145" s="873"/>
      <c r="H145" s="638"/>
      <c r="I145" s="638">
        <f>R134</f>
        <v>2500</v>
      </c>
      <c r="J145" s="985"/>
      <c r="K145" s="638"/>
      <c r="L145" s="920"/>
      <c r="M145" s="920"/>
      <c r="N145" s="958"/>
      <c r="O145" s="920"/>
      <c r="P145" s="638"/>
      <c r="Q145" s="28">
        <f>R137</f>
        <v>1</v>
      </c>
      <c r="R145" s="28" t="s">
        <v>326</v>
      </c>
      <c r="S145" s="28">
        <f>R137</f>
        <v>1</v>
      </c>
      <c r="T145" s="952"/>
      <c r="U145" s="14"/>
      <c r="V145" s="97"/>
    </row>
    <row r="146" spans="1:22" ht="18" hidden="1" customHeight="1">
      <c r="A146" s="196"/>
      <c r="B146" s="30"/>
      <c r="C146" s="30"/>
      <c r="D146" s="30"/>
      <c r="E146" s="30"/>
      <c r="F146" s="30"/>
      <c r="G146" s="30"/>
      <c r="H146" s="30"/>
      <c r="I146" s="30"/>
      <c r="J146" s="30"/>
      <c r="K146" s="30"/>
      <c r="L146" s="30"/>
      <c r="M146" s="30"/>
      <c r="N146" s="30"/>
      <c r="O146" s="30"/>
      <c r="P146" s="30"/>
      <c r="Q146" s="30"/>
      <c r="R146" s="30"/>
      <c r="S146" s="30"/>
      <c r="T146" s="30"/>
      <c r="U146" s="30"/>
      <c r="V146" s="197"/>
    </row>
    <row r="147" spans="1:22" ht="18" hidden="1" customHeight="1">
      <c r="A147" s="196"/>
      <c r="B147" s="30"/>
      <c r="C147" s="30" t="s">
        <v>138</v>
      </c>
      <c r="D147" s="798">
        <f>D144*F144*(I144/I145)*(M144+O144+(Q144/(Q145*S145)))</f>
        <v>516.94939520000003</v>
      </c>
      <c r="E147" s="799"/>
      <c r="F147" s="30" t="s">
        <v>316</v>
      </c>
      <c r="G147" s="30"/>
      <c r="H147" s="30"/>
      <c r="I147" s="30"/>
      <c r="J147" s="30"/>
      <c r="K147" s="30"/>
      <c r="L147" s="30"/>
      <c r="M147" s="30"/>
      <c r="N147" s="30"/>
      <c r="O147" s="30"/>
      <c r="P147" s="30"/>
      <c r="Q147" s="30"/>
      <c r="R147" s="30"/>
      <c r="S147" s="30"/>
      <c r="T147" s="30"/>
      <c r="U147" s="30"/>
      <c r="V147" s="197"/>
    </row>
    <row r="148" spans="1:22" ht="18" hidden="1" customHeight="1">
      <c r="A148" s="9"/>
      <c r="V148" s="10"/>
    </row>
    <row r="149" spans="1:22" ht="18" hidden="1" customHeight="1">
      <c r="A149" s="364" t="s">
        <v>482</v>
      </c>
      <c r="B149" s="7"/>
      <c r="C149" s="7"/>
      <c r="D149" s="454"/>
      <c r="E149" s="7"/>
      <c r="F149" s="7"/>
      <c r="G149" s="385"/>
      <c r="H149" s="7"/>
      <c r="J149" s="7"/>
      <c r="K149" s="7"/>
      <c r="L149" s="7"/>
      <c r="M149" s="7"/>
      <c r="N149" s="7"/>
      <c r="O149" s="7"/>
      <c r="P149" s="262"/>
      <c r="Q149" s="263"/>
      <c r="R149" s="385"/>
      <c r="S149" s="7"/>
      <c r="V149" s="10"/>
    </row>
    <row r="150" spans="1:22" ht="18" hidden="1" customHeight="1">
      <c r="A150" s="96" t="s">
        <v>507</v>
      </c>
      <c r="V150" s="10"/>
    </row>
    <row r="151" spans="1:22" ht="18" hidden="1" customHeight="1">
      <c r="A151" s="9"/>
      <c r="N151" s="7"/>
      <c r="O151" s="28" t="s">
        <v>484</v>
      </c>
      <c r="P151" s="102" t="s">
        <v>138</v>
      </c>
      <c r="Q151" s="906" t="s">
        <v>485</v>
      </c>
      <c r="R151" s="906"/>
      <c r="S151" s="28" t="s">
        <v>326</v>
      </c>
      <c r="T151" s="28">
        <v>0.8</v>
      </c>
      <c r="V151" s="10"/>
    </row>
    <row r="152" spans="1:22" ht="18" hidden="1" customHeight="1">
      <c r="A152" s="9"/>
      <c r="N152" s="264"/>
      <c r="O152" s="28"/>
      <c r="P152" s="102" t="s">
        <v>138</v>
      </c>
      <c r="Q152" s="1026">
        <f>D147</f>
        <v>516.94939520000003</v>
      </c>
      <c r="R152" s="661"/>
      <c r="S152" s="234" t="s">
        <v>326</v>
      </c>
      <c r="T152" s="265">
        <f>+T151</f>
        <v>0.8</v>
      </c>
      <c r="V152" s="10"/>
    </row>
    <row r="153" spans="1:22" ht="18" hidden="1" customHeight="1">
      <c r="A153" s="9"/>
      <c r="O153" s="28"/>
      <c r="P153" s="28" t="s">
        <v>138</v>
      </c>
      <c r="Q153" s="1027">
        <f>Q152*T152</f>
        <v>413.55951616000004</v>
      </c>
      <c r="R153" s="651"/>
      <c r="S153" s="47" t="s">
        <v>316</v>
      </c>
      <c r="T153" s="28"/>
      <c r="V153" s="10"/>
    </row>
    <row r="154" spans="1:22" ht="18" hidden="1" customHeight="1">
      <c r="A154" s="9"/>
      <c r="D154" s="14" t="s">
        <v>486</v>
      </c>
      <c r="G154" s="27" t="str">
        <f>IF(E155&gt;H155,"&gt;","&lt;")</f>
        <v>&gt;</v>
      </c>
      <c r="H154" s="14" t="s">
        <v>488</v>
      </c>
      <c r="V154" s="10"/>
    </row>
    <row r="155" spans="1:22" ht="18" hidden="1" customHeight="1">
      <c r="A155" s="9"/>
      <c r="E155" s="639">
        <f>H13</f>
        <v>3750</v>
      </c>
      <c r="F155" s="639"/>
      <c r="G155" s="27" t="str">
        <f>G154</f>
        <v>&gt;</v>
      </c>
      <c r="H155" s="637">
        <f>Q153</f>
        <v>413.55951616000004</v>
      </c>
      <c r="I155" s="639"/>
      <c r="V155" s="10"/>
    </row>
    <row r="156" spans="1:22" ht="18" hidden="1" customHeight="1">
      <c r="A156" s="9"/>
      <c r="F156" s="256" t="s">
        <v>489</v>
      </c>
      <c r="H156" s="18" t="str">
        <f>IF(G154="&gt;","Suitably Dimensioned","Under Dimensioned")</f>
        <v>Suitably Dimensioned</v>
      </c>
      <c r="V156" s="10"/>
    </row>
    <row r="157" spans="1:22" ht="18" hidden="1" customHeight="1">
      <c r="A157" s="9"/>
      <c r="V157" s="10"/>
    </row>
    <row r="158" spans="1:22" ht="18" hidden="1" customHeight="1">
      <c r="A158" s="9"/>
      <c r="V158" s="10"/>
    </row>
    <row r="159" spans="1:22" ht="18" hidden="1" customHeight="1">
      <c r="A159" s="9"/>
      <c r="V159" s="10"/>
    </row>
    <row r="160" spans="1:22" ht="18" hidden="1" customHeight="1">
      <c r="A160" s="9"/>
      <c r="V160" s="10"/>
    </row>
    <row r="161" spans="1:22" ht="18" hidden="1" customHeight="1">
      <c r="A161" s="9"/>
      <c r="V161" s="10"/>
    </row>
    <row r="162" spans="1:22" ht="18" hidden="1" customHeight="1">
      <c r="A162" s="9"/>
      <c r="V162" s="10"/>
    </row>
    <row r="163" spans="1:22" ht="18" hidden="1" customHeight="1">
      <c r="A163" s="9"/>
      <c r="V163" s="10"/>
    </row>
    <row r="164" spans="1:22" ht="18" hidden="1" customHeight="1">
      <c r="A164" s="9"/>
      <c r="V164" s="10"/>
    </row>
    <row r="165" spans="1:22" ht="18" hidden="1" customHeight="1">
      <c r="A165" s="9"/>
      <c r="V165" s="10"/>
    </row>
    <row r="166" spans="1:22" ht="18" hidden="1" customHeight="1">
      <c r="A166" s="9"/>
      <c r="V166" s="10"/>
    </row>
    <row r="167" spans="1:22" ht="18" hidden="1" customHeight="1">
      <c r="A167" s="9"/>
      <c r="V167" s="10"/>
    </row>
    <row r="168" spans="1:22" ht="18" hidden="1" customHeight="1">
      <c r="A168" s="9"/>
      <c r="V168" s="10"/>
    </row>
    <row r="169" spans="1:22" ht="18" hidden="1" customHeight="1">
      <c r="A169" s="9"/>
      <c r="V169" s="10"/>
    </row>
    <row r="170" spans="1:22" ht="18" hidden="1" customHeight="1">
      <c r="A170" s="9"/>
      <c r="V170" s="10"/>
    </row>
    <row r="171" spans="1:22" ht="18" hidden="1" customHeight="1">
      <c r="A171" s="395"/>
      <c r="B171" s="20"/>
      <c r="C171" s="20"/>
      <c r="D171" s="20"/>
      <c r="E171" s="20"/>
      <c r="F171" s="20"/>
      <c r="G171" s="20"/>
      <c r="H171" s="20"/>
      <c r="I171" s="20"/>
      <c r="J171" s="20"/>
      <c r="K171" s="20"/>
      <c r="L171" s="20"/>
      <c r="M171" s="20"/>
      <c r="N171" s="20"/>
      <c r="O171" s="20"/>
      <c r="P171" s="20"/>
      <c r="Q171" s="21"/>
      <c r="R171" s="22"/>
      <c r="S171" s="23"/>
      <c r="T171" s="20"/>
      <c r="U171" s="20"/>
      <c r="V171" s="140"/>
    </row>
    <row r="172" spans="1:22" ht="18" hidden="1" customHeight="1">
      <c r="A172" s="455"/>
      <c r="B172" s="397"/>
      <c r="C172" s="397"/>
      <c r="D172" s="397"/>
      <c r="E172" s="397"/>
      <c r="F172" s="397"/>
      <c r="G172" s="397"/>
      <c r="H172" s="397"/>
      <c r="I172" s="397"/>
      <c r="J172" s="397"/>
      <c r="K172" s="397"/>
      <c r="L172" s="397"/>
      <c r="M172" s="397"/>
      <c r="N172" s="397"/>
      <c r="O172" s="397"/>
      <c r="P172" s="397"/>
      <c r="Q172" s="397"/>
      <c r="R172" s="397"/>
      <c r="S172" s="397"/>
      <c r="T172" s="397"/>
      <c r="U172" s="397"/>
      <c r="V172" s="408"/>
    </row>
    <row r="173" spans="1:22" ht="18" hidden="1" customHeight="1">
      <c r="A173" s="9"/>
      <c r="B173" s="667" t="str">
        <f>B7</f>
        <v>T1</v>
      </c>
      <c r="C173" s="668"/>
      <c r="D173" s="1025" t="str">
        <f>D7</f>
        <v>Core1</v>
      </c>
      <c r="E173" s="681"/>
      <c r="F173" s="638">
        <f>F7</f>
        <v>0</v>
      </c>
      <c r="G173" s="638"/>
      <c r="H173" s="638" t="str">
        <f>H7</f>
        <v>(Diff. + Dist.)</v>
      </c>
      <c r="I173" s="638"/>
      <c r="J173" s="638"/>
      <c r="K173" s="638"/>
      <c r="L173" s="638"/>
      <c r="M173" s="638"/>
      <c r="P173" s="198"/>
      <c r="S173" s="199" t="s">
        <v>398</v>
      </c>
      <c r="T173" s="667" t="str">
        <f>T7</f>
        <v>RED670</v>
      </c>
      <c r="U173" s="668"/>
      <c r="V173" s="10"/>
    </row>
    <row r="174" spans="1:22" ht="18" hidden="1" customHeight="1">
      <c r="A174" s="9"/>
      <c r="B174" s="679">
        <f>B8</f>
        <v>0</v>
      </c>
      <c r="C174" s="679"/>
      <c r="D174" s="682"/>
      <c r="E174" s="683"/>
      <c r="T174" s="992">
        <f>T8</f>
        <v>0</v>
      </c>
      <c r="U174" s="993"/>
      <c r="V174" s="10"/>
    </row>
    <row r="175" spans="1:22" ht="18" hidden="1" customHeight="1">
      <c r="A175" s="9"/>
      <c r="H175" s="661" t="s">
        <v>401</v>
      </c>
      <c r="I175" s="661"/>
      <c r="J175" s="662" t="s">
        <v>402</v>
      </c>
      <c r="K175" s="662"/>
      <c r="L175" s="701" t="s">
        <v>403</v>
      </c>
      <c r="M175" s="701"/>
      <c r="T175" s="992">
        <f>T9</f>
        <v>0</v>
      </c>
      <c r="U175" s="993"/>
      <c r="V175" s="10"/>
    </row>
    <row r="176" spans="1:22" ht="18" hidden="1" customHeight="1">
      <c r="A176" s="9"/>
      <c r="B176" s="47" t="s">
        <v>404</v>
      </c>
      <c r="H176" s="667">
        <f>H10</f>
        <v>2500</v>
      </c>
      <c r="I176" s="668"/>
      <c r="J176" s="1030" t="str">
        <f>J10</f>
        <v>-</v>
      </c>
      <c r="K176" s="1031"/>
      <c r="L176" s="667" t="str">
        <f>L10</f>
        <v>-</v>
      </c>
      <c r="M176" s="668"/>
      <c r="N176" s="203" t="s">
        <v>353</v>
      </c>
      <c r="O176" s="504">
        <f>O10</f>
        <v>1</v>
      </c>
      <c r="P176" s="27" t="s">
        <v>9</v>
      </c>
      <c r="V176" s="10"/>
    </row>
    <row r="177" spans="1:29" ht="18" hidden="1" customHeight="1">
      <c r="A177" s="9"/>
      <c r="B177" s="47" t="s">
        <v>405</v>
      </c>
      <c r="J177" s="667" t="str">
        <f>H11</f>
        <v>PX-A</v>
      </c>
      <c r="K177" s="668"/>
      <c r="V177" s="10"/>
    </row>
    <row r="178" spans="1:29" ht="18" hidden="1" customHeight="1">
      <c r="A178" s="9"/>
      <c r="B178" s="47" t="s">
        <v>407</v>
      </c>
      <c r="I178" s="120" t="s">
        <v>508</v>
      </c>
      <c r="J178" s="656">
        <v>3</v>
      </c>
      <c r="K178" s="657"/>
      <c r="L178" s="204" t="s">
        <v>344</v>
      </c>
      <c r="N178" s="7"/>
      <c r="O178" s="7"/>
      <c r="V178" s="10"/>
    </row>
    <row r="179" spans="1:29" ht="18" hidden="1" customHeight="1">
      <c r="A179" s="9"/>
      <c r="B179" s="47" t="s">
        <v>409</v>
      </c>
      <c r="I179" s="120" t="s">
        <v>509</v>
      </c>
      <c r="J179" s="656">
        <v>200</v>
      </c>
      <c r="K179" s="657"/>
      <c r="L179" s="14" t="s">
        <v>316</v>
      </c>
      <c r="O179" s="7"/>
      <c r="V179" s="10"/>
      <c r="W179" s="30" t="s">
        <v>411</v>
      </c>
      <c r="AB179" s="996" t="e">
        <f>Q286</f>
        <v>#VALUE!</v>
      </c>
      <c r="AC179" s="997"/>
    </row>
    <row r="180" spans="1:29" ht="18" hidden="1" customHeight="1">
      <c r="A180" s="9"/>
      <c r="B180" s="14" t="s">
        <v>412</v>
      </c>
      <c r="I180" s="120" t="s">
        <v>413</v>
      </c>
      <c r="J180" s="656">
        <v>100</v>
      </c>
      <c r="K180" s="657"/>
      <c r="L180" s="14" t="s">
        <v>414</v>
      </c>
      <c r="O180" s="7"/>
      <c r="V180" s="10"/>
    </row>
    <row r="181" spans="1:29" ht="18" hidden="1" customHeight="1">
      <c r="A181" s="9"/>
      <c r="V181" s="10"/>
    </row>
    <row r="182" spans="1:29" ht="18" hidden="1" customHeight="1">
      <c r="A182" s="116" t="s">
        <v>415</v>
      </c>
      <c r="V182" s="10"/>
    </row>
    <row r="183" spans="1:29" ht="18" hidden="1" customHeight="1">
      <c r="A183" s="9"/>
      <c r="V183" s="10"/>
    </row>
    <row r="184" spans="1:29" ht="18" hidden="1" customHeight="1">
      <c r="A184" s="9"/>
      <c r="B184" s="206" t="s">
        <v>416</v>
      </c>
      <c r="C184" s="207"/>
      <c r="D184" s="207" t="str">
        <f>T173</f>
        <v>RED670</v>
      </c>
      <c r="E184" s="436"/>
      <c r="F184" s="436"/>
      <c r="G184" s="436"/>
      <c r="H184" s="194" t="s">
        <v>417</v>
      </c>
      <c r="I184" s="195" t="s">
        <v>138</v>
      </c>
      <c r="J184" s="1028">
        <f>J18</f>
        <v>0.02</v>
      </c>
      <c r="K184" s="1029"/>
      <c r="L184" s="214" t="s">
        <v>168</v>
      </c>
      <c r="N184" s="209" t="s">
        <v>418</v>
      </c>
      <c r="V184" s="10"/>
    </row>
    <row r="185" spans="1:29" ht="18" hidden="1" customHeight="1">
      <c r="A185" s="9"/>
      <c r="B185" s="9" t="s">
        <v>416</v>
      </c>
      <c r="D185" s="437">
        <f>T174</f>
        <v>0</v>
      </c>
      <c r="I185" s="28" t="s">
        <v>138</v>
      </c>
      <c r="J185" s="1028">
        <f>J19</f>
        <v>0</v>
      </c>
      <c r="K185" s="1032"/>
      <c r="L185" s="309" t="s">
        <v>168</v>
      </c>
      <c r="V185" s="10"/>
    </row>
    <row r="186" spans="1:29" ht="18" hidden="1" customHeight="1">
      <c r="A186" s="9"/>
      <c r="B186" s="9" t="s">
        <v>416</v>
      </c>
      <c r="D186" s="437">
        <f>T175</f>
        <v>0</v>
      </c>
      <c r="E186" s="14"/>
      <c r="G186" s="211"/>
      <c r="H186" s="438"/>
      <c r="I186" s="101" t="s">
        <v>138</v>
      </c>
      <c r="J186" s="1033">
        <f>J20</f>
        <v>0</v>
      </c>
      <c r="K186" s="1034"/>
      <c r="L186" s="439" t="s">
        <v>168</v>
      </c>
      <c r="N186" s="27" t="s">
        <v>419</v>
      </c>
      <c r="O186" s="27" t="s">
        <v>138</v>
      </c>
      <c r="P186" s="27" t="s">
        <v>420</v>
      </c>
      <c r="Q186" s="203" t="s">
        <v>421</v>
      </c>
      <c r="R186" s="27" t="s">
        <v>422</v>
      </c>
      <c r="S186" s="27" t="s">
        <v>326</v>
      </c>
      <c r="T186" s="27" t="s">
        <v>422</v>
      </c>
      <c r="U186" s="30" t="s">
        <v>361</v>
      </c>
      <c r="V186" s="10"/>
    </row>
    <row r="187" spans="1:29" ht="18" hidden="1" customHeight="1">
      <c r="A187" s="9"/>
      <c r="B187" s="9" t="s">
        <v>423</v>
      </c>
      <c r="H187" s="438"/>
      <c r="I187" s="440" t="s">
        <v>138</v>
      </c>
      <c r="J187" s="1035">
        <f>J21</f>
        <v>1.44186744</v>
      </c>
      <c r="K187" s="1036"/>
      <c r="L187" s="439" t="s">
        <v>168</v>
      </c>
      <c r="N187" s="27"/>
      <c r="O187" s="27" t="s">
        <v>138</v>
      </c>
      <c r="P187" s="223">
        <f>J188</f>
        <v>1.46186744</v>
      </c>
      <c r="Q187" s="203" t="s">
        <v>421</v>
      </c>
      <c r="R187" s="27">
        <f>O176</f>
        <v>1</v>
      </c>
      <c r="S187" s="27" t="s">
        <v>326</v>
      </c>
      <c r="T187" s="27">
        <f>O176</f>
        <v>1</v>
      </c>
      <c r="U187" s="30" t="s">
        <v>361</v>
      </c>
      <c r="V187" s="10"/>
    </row>
    <row r="188" spans="1:29" ht="18" hidden="1" customHeight="1">
      <c r="A188" s="9"/>
      <c r="B188" s="217" t="s">
        <v>424</v>
      </c>
      <c r="C188" s="218"/>
      <c r="D188" s="218"/>
      <c r="E188" s="218"/>
      <c r="F188" s="359"/>
      <c r="G188" s="359"/>
      <c r="H188" s="202" t="s">
        <v>420</v>
      </c>
      <c r="I188" s="220" t="s">
        <v>138</v>
      </c>
      <c r="J188" s="897">
        <f>SUM(J184:K187)</f>
        <v>1.46186744</v>
      </c>
      <c r="K188" s="1001"/>
      <c r="L188" s="441" t="s">
        <v>168</v>
      </c>
      <c r="O188" s="27" t="s">
        <v>138</v>
      </c>
      <c r="P188" s="637">
        <f>P187/(R187*T187)</f>
        <v>1.46186744</v>
      </c>
      <c r="Q188" s="637"/>
      <c r="R188" s="204" t="s">
        <v>344</v>
      </c>
      <c r="V188" s="10"/>
    </row>
    <row r="189" spans="1:29" ht="18" hidden="1" customHeight="1">
      <c r="A189" s="9"/>
      <c r="V189" s="10"/>
    </row>
    <row r="190" spans="1:29" ht="18" hidden="1" customHeight="1">
      <c r="A190" s="116" t="s">
        <v>425</v>
      </c>
      <c r="V190" s="10"/>
    </row>
    <row r="191" spans="1:29" ht="18" hidden="1" customHeight="1">
      <c r="A191" s="1002" t="s">
        <v>426</v>
      </c>
      <c r="B191" s="1003"/>
      <c r="C191" s="1003"/>
      <c r="D191" s="1003"/>
      <c r="E191" s="1003"/>
      <c r="F191" s="1003"/>
      <c r="G191" s="1003"/>
      <c r="H191" s="1003"/>
      <c r="I191" s="1003"/>
      <c r="J191" s="1003"/>
      <c r="K191" s="1003"/>
      <c r="L191" s="1003"/>
      <c r="M191" s="1003"/>
      <c r="N191" s="1003"/>
      <c r="O191" s="1003"/>
      <c r="P191" s="1003"/>
      <c r="Q191" s="1003"/>
      <c r="R191" s="1003"/>
      <c r="S191" s="1003"/>
      <c r="T191" s="1003"/>
      <c r="U191" s="1003"/>
      <c r="V191" s="1004"/>
    </row>
    <row r="192" spans="1:29" ht="18" hidden="1" customHeight="1">
      <c r="A192" s="1002"/>
      <c r="B192" s="1003"/>
      <c r="C192" s="1003"/>
      <c r="D192" s="1003"/>
      <c r="E192" s="1003"/>
      <c r="F192" s="1003"/>
      <c r="G192" s="1003"/>
      <c r="H192" s="1003"/>
      <c r="I192" s="1003"/>
      <c r="J192" s="1003"/>
      <c r="K192" s="1003"/>
      <c r="L192" s="1003"/>
      <c r="M192" s="1003"/>
      <c r="N192" s="1003"/>
      <c r="O192" s="1003"/>
      <c r="P192" s="1003"/>
      <c r="Q192" s="1003"/>
      <c r="R192" s="1003"/>
      <c r="S192" s="1003"/>
      <c r="T192" s="1003"/>
      <c r="U192" s="1003"/>
      <c r="V192" s="1004"/>
    </row>
    <row r="193" spans="1:22" ht="18" hidden="1" customHeight="1">
      <c r="A193" s="205" t="s">
        <v>427</v>
      </c>
      <c r="V193" s="10"/>
    </row>
    <row r="194" spans="1:22" ht="18" hidden="1" customHeight="1">
      <c r="A194" s="1006" t="s">
        <v>428</v>
      </c>
      <c r="B194" s="956"/>
      <c r="C194" s="956"/>
      <c r="D194" s="14"/>
      <c r="E194" s="7"/>
      <c r="F194" s="1011" t="s">
        <v>429</v>
      </c>
      <c r="G194" s="1015"/>
      <c r="H194" s="861" t="s">
        <v>326</v>
      </c>
      <c r="I194" s="862" t="s">
        <v>422</v>
      </c>
      <c r="J194" s="1014"/>
      <c r="K194" s="861" t="s">
        <v>326</v>
      </c>
      <c r="L194" s="1011" t="s">
        <v>430</v>
      </c>
      <c r="M194" s="861" t="s">
        <v>431</v>
      </c>
      <c r="N194" s="1017" t="s">
        <v>358</v>
      </c>
      <c r="O194" s="861" t="s">
        <v>419</v>
      </c>
      <c r="P194" s="861" t="s">
        <v>358</v>
      </c>
      <c r="Q194" s="1037" t="s">
        <v>432</v>
      </c>
      <c r="R194" s="1010"/>
      <c r="S194" s="1010"/>
      <c r="T194" s="952" t="s">
        <v>361</v>
      </c>
      <c r="U194" s="242" t="s">
        <v>433</v>
      </c>
      <c r="V194" s="112"/>
    </row>
    <row r="195" spans="1:22" ht="18" hidden="1" customHeight="1">
      <c r="A195" s="1007"/>
      <c r="B195" s="956"/>
      <c r="C195" s="956"/>
      <c r="D195" s="14"/>
      <c r="E195" s="7"/>
      <c r="F195" s="1015"/>
      <c r="G195" s="1015"/>
      <c r="H195" s="861"/>
      <c r="I195" s="861" t="s">
        <v>434</v>
      </c>
      <c r="J195" s="1015"/>
      <c r="K195" s="861"/>
      <c r="L195" s="1011"/>
      <c r="M195" s="861"/>
      <c r="N195" s="1017"/>
      <c r="O195" s="861"/>
      <c r="P195" s="861"/>
      <c r="Q195" s="233" t="s">
        <v>157</v>
      </c>
      <c r="R195" s="233" t="s">
        <v>326</v>
      </c>
      <c r="S195" s="233" t="s">
        <v>157</v>
      </c>
      <c r="T195" s="952"/>
      <c r="U195" s="7"/>
      <c r="V195" s="112"/>
    </row>
    <row r="196" spans="1:22" ht="18" hidden="1" customHeight="1">
      <c r="A196" s="205" t="s">
        <v>435</v>
      </c>
      <c r="L196" s="442"/>
      <c r="M196" s="27"/>
      <c r="N196" s="27"/>
      <c r="O196" s="27"/>
      <c r="V196" s="10"/>
    </row>
    <row r="197" spans="1:22" ht="18" hidden="1" customHeight="1">
      <c r="A197" s="1006" t="s">
        <v>428</v>
      </c>
      <c r="B197" s="956"/>
      <c r="C197" s="956"/>
      <c r="D197" s="638">
        <v>2</v>
      </c>
      <c r="E197" s="638" t="s">
        <v>326</v>
      </c>
      <c r="F197" s="1011" t="s">
        <v>436</v>
      </c>
      <c r="G197" s="1015"/>
      <c r="H197" s="861" t="s">
        <v>326</v>
      </c>
      <c r="I197" s="862" t="s">
        <v>422</v>
      </c>
      <c r="J197" s="1014"/>
      <c r="K197" s="861" t="s">
        <v>326</v>
      </c>
      <c r="L197" s="1011" t="s">
        <v>430</v>
      </c>
      <c r="M197" s="861" t="s">
        <v>431</v>
      </c>
      <c r="N197" s="1017" t="s">
        <v>358</v>
      </c>
      <c r="O197" s="861" t="s">
        <v>419</v>
      </c>
      <c r="P197" s="861" t="s">
        <v>358</v>
      </c>
      <c r="Q197" s="1037" t="s">
        <v>432</v>
      </c>
      <c r="R197" s="1010"/>
      <c r="S197" s="1010"/>
      <c r="T197" s="952" t="s">
        <v>361</v>
      </c>
      <c r="U197" s="242" t="s">
        <v>437</v>
      </c>
      <c r="V197" s="112"/>
    </row>
    <row r="198" spans="1:22" ht="18" hidden="1" customHeight="1">
      <c r="A198" s="1007"/>
      <c r="B198" s="956"/>
      <c r="C198" s="956"/>
      <c r="D198" s="638"/>
      <c r="E198" s="638"/>
      <c r="F198" s="1015"/>
      <c r="G198" s="1015"/>
      <c r="H198" s="861"/>
      <c r="I198" s="861" t="s">
        <v>434</v>
      </c>
      <c r="J198" s="1015"/>
      <c r="K198" s="861"/>
      <c r="L198" s="1011"/>
      <c r="M198" s="861"/>
      <c r="N198" s="1017"/>
      <c r="O198" s="861"/>
      <c r="P198" s="861"/>
      <c r="Q198" s="233" t="s">
        <v>157</v>
      </c>
      <c r="R198" s="233" t="s">
        <v>326</v>
      </c>
      <c r="S198" s="233" t="s">
        <v>157</v>
      </c>
      <c r="T198" s="952"/>
      <c r="U198" s="7"/>
      <c r="V198" s="112"/>
    </row>
    <row r="199" spans="1:22" ht="18" hidden="1" customHeight="1">
      <c r="A199" s="9"/>
      <c r="V199" s="10"/>
    </row>
    <row r="200" spans="1:22" ht="18" hidden="1" customHeight="1">
      <c r="A200" s="9"/>
      <c r="B200" s="14" t="s">
        <v>438</v>
      </c>
      <c r="C200" s="14"/>
      <c r="D200" s="103"/>
      <c r="E200" s="103"/>
      <c r="F200" s="14"/>
      <c r="G200" s="14"/>
      <c r="H200" s="5"/>
      <c r="I200" s="5"/>
      <c r="J200" s="5"/>
      <c r="P200" s="120" t="s">
        <v>439</v>
      </c>
      <c r="V200" s="10"/>
    </row>
    <row r="201" spans="1:22" ht="18" hidden="1" customHeight="1">
      <c r="A201" s="9"/>
      <c r="B201" s="14" t="s">
        <v>440</v>
      </c>
      <c r="C201" s="14"/>
      <c r="D201" s="103"/>
      <c r="E201" s="103"/>
      <c r="F201" s="14"/>
      <c r="G201" s="14"/>
      <c r="H201" s="5"/>
      <c r="I201" s="5"/>
      <c r="J201" s="5"/>
      <c r="P201" s="120" t="s">
        <v>441</v>
      </c>
      <c r="Q201" s="246" t="s">
        <v>138</v>
      </c>
      <c r="R201" s="639" t="str">
        <f>J176</f>
        <v>-</v>
      </c>
      <c r="S201" s="639"/>
      <c r="T201" s="14" t="s">
        <v>9</v>
      </c>
      <c r="V201" s="10"/>
    </row>
    <row r="202" spans="1:22" ht="18" hidden="1" customHeight="1">
      <c r="A202" s="9"/>
      <c r="B202" s="14" t="s">
        <v>442</v>
      </c>
      <c r="C202" s="14"/>
      <c r="D202" s="14"/>
      <c r="E202" s="14"/>
      <c r="F202" s="14"/>
      <c r="G202" s="14"/>
      <c r="H202" s="14"/>
      <c r="I202" s="14"/>
      <c r="J202" s="14"/>
      <c r="P202" s="120" t="s">
        <v>429</v>
      </c>
      <c r="Q202" s="246" t="s">
        <v>138</v>
      </c>
      <c r="R202" s="639">
        <f>R36</f>
        <v>40000</v>
      </c>
      <c r="S202" s="639"/>
      <c r="T202" s="14" t="s">
        <v>9</v>
      </c>
      <c r="V202" s="10"/>
    </row>
    <row r="203" spans="1:22" ht="18" hidden="1" customHeight="1">
      <c r="A203" s="9"/>
      <c r="B203" s="14" t="s">
        <v>443</v>
      </c>
      <c r="C203" s="14"/>
      <c r="D203" s="14"/>
      <c r="E203" s="14"/>
      <c r="F203" s="14"/>
      <c r="G203" s="14"/>
      <c r="H203" s="14"/>
      <c r="I203" s="14"/>
      <c r="J203" s="14"/>
      <c r="P203" s="120" t="s">
        <v>436</v>
      </c>
      <c r="Q203" s="246" t="s">
        <v>138</v>
      </c>
      <c r="R203" s="873">
        <f>R37</f>
        <v>19625.768379858539</v>
      </c>
      <c r="S203" s="639"/>
      <c r="T203" s="14" t="s">
        <v>9</v>
      </c>
      <c r="U203" s="30" t="s">
        <v>444</v>
      </c>
      <c r="V203" s="10"/>
    </row>
    <row r="204" spans="1:22" ht="18" hidden="1" customHeight="1">
      <c r="A204" s="9"/>
      <c r="B204" s="14"/>
      <c r="C204" s="14"/>
      <c r="D204" s="14"/>
      <c r="E204" s="14"/>
      <c r="F204" s="14"/>
      <c r="G204" s="14"/>
      <c r="H204" s="14"/>
      <c r="I204" s="14"/>
      <c r="J204" s="14"/>
      <c r="P204" s="120"/>
      <c r="Q204" s="246" t="s">
        <v>138</v>
      </c>
      <c r="R204" s="873">
        <f>R38</f>
        <v>21361.580727736164</v>
      </c>
      <c r="S204" s="639"/>
      <c r="T204" s="14" t="s">
        <v>9</v>
      </c>
      <c r="U204" s="30" t="s">
        <v>445</v>
      </c>
      <c r="V204" s="10"/>
    </row>
    <row r="205" spans="1:22" ht="18" hidden="1" customHeight="1">
      <c r="A205" s="9"/>
      <c r="B205" s="14" t="s">
        <v>446</v>
      </c>
      <c r="C205" s="14"/>
      <c r="D205" s="103"/>
      <c r="E205" s="103"/>
      <c r="F205" s="14"/>
      <c r="G205" s="14"/>
      <c r="H205" s="5"/>
      <c r="I205" s="5"/>
      <c r="J205" s="5"/>
      <c r="P205" s="120" t="s">
        <v>447</v>
      </c>
      <c r="Q205" s="246" t="s">
        <v>138</v>
      </c>
      <c r="R205" s="639">
        <f>R39</f>
        <v>1</v>
      </c>
      <c r="S205" s="639"/>
      <c r="T205" s="14" t="s">
        <v>9</v>
      </c>
      <c r="V205" s="10"/>
    </row>
    <row r="206" spans="1:22" ht="18" hidden="1" customHeight="1">
      <c r="A206" s="9"/>
      <c r="B206" s="14" t="s">
        <v>448</v>
      </c>
      <c r="C206" s="14"/>
      <c r="D206" s="103"/>
      <c r="E206" s="103"/>
      <c r="F206" s="14"/>
      <c r="G206" s="14"/>
      <c r="H206" s="5"/>
      <c r="I206" s="5"/>
      <c r="J206" s="5"/>
      <c r="P206" s="120" t="s">
        <v>449</v>
      </c>
      <c r="Q206" s="246" t="s">
        <v>138</v>
      </c>
      <c r="R206" s="639">
        <f>R40</f>
        <v>1</v>
      </c>
      <c r="S206" s="639"/>
      <c r="T206" s="14" t="s">
        <v>9</v>
      </c>
      <c r="V206" s="10"/>
    </row>
    <row r="207" spans="1:22" ht="18" hidden="1" customHeight="1">
      <c r="A207" s="9"/>
      <c r="B207" s="14" t="s">
        <v>450</v>
      </c>
      <c r="C207" s="14"/>
      <c r="D207" s="103"/>
      <c r="E207" s="103"/>
      <c r="F207" s="14"/>
      <c r="G207" s="14"/>
      <c r="H207" s="5"/>
      <c r="I207" s="5"/>
      <c r="J207" s="5"/>
      <c r="P207" s="120" t="s">
        <v>451</v>
      </c>
      <c r="Q207" s="246" t="s">
        <v>138</v>
      </c>
      <c r="R207" s="639">
        <f>J178</f>
        <v>3</v>
      </c>
      <c r="S207" s="639"/>
      <c r="T207" s="204" t="s">
        <v>344</v>
      </c>
      <c r="V207" s="10"/>
    </row>
    <row r="208" spans="1:22" ht="18" hidden="1" customHeight="1">
      <c r="A208" s="9"/>
      <c r="B208" s="14" t="s">
        <v>164</v>
      </c>
      <c r="C208" s="14"/>
      <c r="D208" s="14"/>
      <c r="E208" s="14"/>
      <c r="F208" s="14"/>
      <c r="G208" s="14"/>
      <c r="H208" s="14"/>
      <c r="I208" s="14"/>
      <c r="J208" s="14"/>
      <c r="P208" s="249" t="s">
        <v>452</v>
      </c>
      <c r="Q208" s="246" t="s">
        <v>138</v>
      </c>
      <c r="R208" s="637">
        <f>R42</f>
        <v>1.46186744</v>
      </c>
      <c r="S208" s="639"/>
      <c r="T208" s="204" t="s">
        <v>344</v>
      </c>
      <c r="V208" s="10"/>
    </row>
    <row r="209" spans="1:22" ht="18" hidden="1" customHeight="1">
      <c r="A209" s="9"/>
      <c r="B209" s="40" t="s">
        <v>453</v>
      </c>
      <c r="C209" s="14"/>
      <c r="D209" s="14"/>
      <c r="E209" s="14"/>
      <c r="F209" s="14"/>
      <c r="G209" s="14"/>
      <c r="H209" s="5"/>
      <c r="I209" s="5"/>
      <c r="J209" s="5"/>
      <c r="P209" s="249" t="s">
        <v>454</v>
      </c>
      <c r="Q209" s="246" t="s">
        <v>138</v>
      </c>
      <c r="R209" s="637">
        <f>R43</f>
        <v>0.02</v>
      </c>
      <c r="S209" s="639"/>
      <c r="T209" s="14" t="s">
        <v>168</v>
      </c>
      <c r="V209" s="10"/>
    </row>
    <row r="210" spans="1:22" ht="18" hidden="1" customHeight="1">
      <c r="A210" s="9"/>
      <c r="B210" s="40"/>
      <c r="C210" s="14"/>
      <c r="D210" s="14"/>
      <c r="E210" s="14"/>
      <c r="F210" s="14"/>
      <c r="G210" s="14"/>
      <c r="H210" s="5"/>
      <c r="I210" s="5"/>
      <c r="J210" s="5"/>
      <c r="P210" s="249"/>
      <c r="Q210" s="246"/>
      <c r="R210" s="223"/>
      <c r="S210" s="27"/>
      <c r="T210" s="14"/>
      <c r="V210" s="10"/>
    </row>
    <row r="211" spans="1:22" s="7" customFormat="1" ht="18" hidden="1" customHeight="1">
      <c r="A211" s="395"/>
      <c r="B211" s="20"/>
      <c r="C211" s="20"/>
      <c r="D211" s="20"/>
      <c r="E211" s="20"/>
      <c r="F211" s="20"/>
      <c r="G211" s="20"/>
      <c r="H211" s="20"/>
      <c r="I211" s="20"/>
      <c r="J211" s="20"/>
      <c r="K211" s="20"/>
      <c r="L211" s="20"/>
      <c r="M211" s="20"/>
      <c r="N211" s="20"/>
      <c r="O211" s="20"/>
      <c r="P211" s="20"/>
      <c r="Q211" s="21"/>
      <c r="R211" s="22"/>
      <c r="S211" s="23"/>
      <c r="T211" s="20"/>
      <c r="U211" s="20"/>
      <c r="V211" s="140"/>
    </row>
    <row r="212" spans="1:22" ht="18" hidden="1" customHeight="1">
      <c r="A212" s="396" t="s">
        <v>427</v>
      </c>
      <c r="B212" s="397"/>
      <c r="C212" s="397"/>
      <c r="D212" s="397"/>
      <c r="E212" s="397"/>
      <c r="F212" s="397"/>
      <c r="G212" s="397"/>
      <c r="H212" s="397"/>
      <c r="I212" s="397"/>
      <c r="J212" s="397"/>
      <c r="K212" s="397"/>
      <c r="L212" s="397"/>
      <c r="M212" s="397"/>
      <c r="N212" s="397"/>
      <c r="O212" s="397"/>
      <c r="P212" s="397"/>
      <c r="Q212" s="397"/>
      <c r="R212" s="397"/>
      <c r="S212" s="397"/>
      <c r="T212" s="397"/>
      <c r="U212" s="397"/>
      <c r="V212" s="408"/>
    </row>
    <row r="213" spans="1:22" ht="18" hidden="1" customHeight="1">
      <c r="A213" s="1006" t="s">
        <v>428</v>
      </c>
      <c r="B213" s="956"/>
      <c r="C213" s="956"/>
      <c r="D213" s="14"/>
      <c r="E213" s="7"/>
      <c r="F213" s="1011">
        <f>R202</f>
        <v>40000</v>
      </c>
      <c r="G213" s="1015"/>
      <c r="H213" s="861" t="s">
        <v>326</v>
      </c>
      <c r="I213" s="1013">
        <f>R205</f>
        <v>1</v>
      </c>
      <c r="J213" s="1014"/>
      <c r="K213" s="861" t="s">
        <v>326</v>
      </c>
      <c r="L213" s="1011" t="s">
        <v>430</v>
      </c>
      <c r="M213" s="968">
        <f>R207</f>
        <v>3</v>
      </c>
      <c r="N213" s="1017" t="s">
        <v>358</v>
      </c>
      <c r="O213" s="1018">
        <f>R208</f>
        <v>1.46186744</v>
      </c>
      <c r="P213" s="861" t="s">
        <v>358</v>
      </c>
      <c r="Q213" s="1010">
        <f>R209</f>
        <v>0.02</v>
      </c>
      <c r="R213" s="1010"/>
      <c r="S213" s="1010"/>
      <c r="T213" s="952" t="s">
        <v>361</v>
      </c>
      <c r="U213" s="242" t="s">
        <v>433</v>
      </c>
      <c r="V213" s="112"/>
    </row>
    <row r="214" spans="1:22" ht="18" hidden="1" customHeight="1">
      <c r="A214" s="1007"/>
      <c r="B214" s="956"/>
      <c r="C214" s="956"/>
      <c r="D214" s="14"/>
      <c r="E214" s="7"/>
      <c r="F214" s="1015"/>
      <c r="G214" s="1015"/>
      <c r="H214" s="861"/>
      <c r="I214" s="861" t="str">
        <f>R201</f>
        <v>-</v>
      </c>
      <c r="J214" s="1015"/>
      <c r="K214" s="861"/>
      <c r="L214" s="1011"/>
      <c r="M214" s="968"/>
      <c r="N214" s="1017"/>
      <c r="O214" s="968"/>
      <c r="P214" s="861"/>
      <c r="Q214" s="233">
        <f>R206</f>
        <v>1</v>
      </c>
      <c r="R214" s="233" t="s">
        <v>326</v>
      </c>
      <c r="S214" s="233">
        <f>R206</f>
        <v>1</v>
      </c>
      <c r="T214" s="952"/>
      <c r="U214" s="7"/>
      <c r="V214" s="112"/>
    </row>
    <row r="215" spans="1:22" ht="18" hidden="1" customHeight="1">
      <c r="A215" s="9"/>
      <c r="L215" s="442"/>
      <c r="V215" s="10"/>
    </row>
    <row r="216" spans="1:22" ht="18" hidden="1" customHeight="1">
      <c r="A216" s="9"/>
      <c r="C216" s="27" t="s">
        <v>138</v>
      </c>
      <c r="D216" s="798" t="e">
        <f>F213*(I213/I214)*(M213+O213+(Q213/(Q214*S214)))</f>
        <v>#VALUE!</v>
      </c>
      <c r="E216" s="799"/>
      <c r="F216" s="27" t="s">
        <v>316</v>
      </c>
      <c r="L216" s="442"/>
      <c r="V216" s="10"/>
    </row>
    <row r="217" spans="1:22" ht="18" hidden="1" customHeight="1">
      <c r="A217" s="9"/>
      <c r="L217" s="442"/>
      <c r="V217" s="10"/>
    </row>
    <row r="218" spans="1:22" ht="18" hidden="1" customHeight="1">
      <c r="A218" s="205" t="s">
        <v>455</v>
      </c>
      <c r="L218" s="442"/>
      <c r="V218" s="10"/>
    </row>
    <row r="219" spans="1:22" ht="18" hidden="1" customHeight="1">
      <c r="A219" s="1006" t="s">
        <v>428</v>
      </c>
      <c r="B219" s="956"/>
      <c r="C219" s="956"/>
      <c r="D219" s="638">
        <v>2</v>
      </c>
      <c r="E219" s="638" t="s">
        <v>326</v>
      </c>
      <c r="F219" s="1016">
        <f>R203</f>
        <v>19625.768379858539</v>
      </c>
      <c r="G219" s="1015"/>
      <c r="H219" s="861" t="s">
        <v>326</v>
      </c>
      <c r="I219" s="1013">
        <f>R205</f>
        <v>1</v>
      </c>
      <c r="J219" s="1014"/>
      <c r="K219" s="861" t="s">
        <v>326</v>
      </c>
      <c r="L219" s="1011" t="s">
        <v>430</v>
      </c>
      <c r="M219" s="968">
        <f>R207</f>
        <v>3</v>
      </c>
      <c r="N219" s="1017" t="s">
        <v>358</v>
      </c>
      <c r="O219" s="1018">
        <f>R208</f>
        <v>1.46186744</v>
      </c>
      <c r="P219" s="861" t="s">
        <v>358</v>
      </c>
      <c r="Q219" s="1010">
        <f>Q213</f>
        <v>0.02</v>
      </c>
      <c r="R219" s="1010"/>
      <c r="S219" s="1010"/>
      <c r="T219" s="952" t="s">
        <v>361</v>
      </c>
      <c r="U219" s="242" t="s">
        <v>437</v>
      </c>
      <c r="V219" s="112"/>
    </row>
    <row r="220" spans="1:22" ht="18" hidden="1" customHeight="1">
      <c r="A220" s="1007"/>
      <c r="B220" s="956"/>
      <c r="C220" s="956"/>
      <c r="D220" s="638"/>
      <c r="E220" s="638"/>
      <c r="F220" s="1015"/>
      <c r="G220" s="1015"/>
      <c r="H220" s="861"/>
      <c r="I220" s="861" t="str">
        <f>R201</f>
        <v>-</v>
      </c>
      <c r="J220" s="1015"/>
      <c r="K220" s="861"/>
      <c r="L220" s="1011"/>
      <c r="M220" s="968"/>
      <c r="N220" s="1017"/>
      <c r="O220" s="968"/>
      <c r="P220" s="861"/>
      <c r="Q220" s="233">
        <f>R206</f>
        <v>1</v>
      </c>
      <c r="R220" s="233" t="s">
        <v>326</v>
      </c>
      <c r="S220" s="233">
        <f>R206</f>
        <v>1</v>
      </c>
      <c r="T220" s="952"/>
      <c r="U220" s="7"/>
      <c r="V220" s="112"/>
    </row>
    <row r="221" spans="1:22" ht="18" hidden="1" customHeight="1">
      <c r="A221" s="9"/>
      <c r="L221" s="442"/>
      <c r="V221" s="10"/>
    </row>
    <row r="222" spans="1:22" ht="18" hidden="1" customHeight="1">
      <c r="A222" s="9"/>
      <c r="C222" s="27" t="s">
        <v>138</v>
      </c>
      <c r="D222" s="798" t="e">
        <f>D219*F219*(I219/I220)*(M219+O219+(Q219/(Q220*S220)))</f>
        <v>#VALUE!</v>
      </c>
      <c r="E222" s="799"/>
      <c r="F222" s="27" t="s">
        <v>316</v>
      </c>
      <c r="L222" s="442"/>
      <c r="V222" s="10"/>
    </row>
    <row r="223" spans="1:22" ht="18" hidden="1" customHeight="1">
      <c r="A223" s="9"/>
      <c r="L223" s="442"/>
      <c r="V223" s="10"/>
    </row>
    <row r="224" spans="1:22" ht="18" hidden="1" customHeight="1">
      <c r="A224" s="205" t="s">
        <v>456</v>
      </c>
      <c r="L224" s="442"/>
      <c r="V224" s="10"/>
    </row>
    <row r="225" spans="1:22" ht="18" hidden="1" customHeight="1">
      <c r="A225" s="1006" t="s">
        <v>428</v>
      </c>
      <c r="B225" s="956"/>
      <c r="C225" s="956"/>
      <c r="D225" s="861">
        <v>2</v>
      </c>
      <c r="E225" s="861" t="s">
        <v>326</v>
      </c>
      <c r="F225" s="1016">
        <f>R204</f>
        <v>21361.580727736164</v>
      </c>
      <c r="G225" s="1015"/>
      <c r="H225" s="861" t="s">
        <v>326</v>
      </c>
      <c r="I225" s="1013">
        <f>R205</f>
        <v>1</v>
      </c>
      <c r="J225" s="1014"/>
      <c r="K225" s="861" t="s">
        <v>326</v>
      </c>
      <c r="L225" s="1011" t="s">
        <v>430</v>
      </c>
      <c r="M225" s="968">
        <f>R207</f>
        <v>3</v>
      </c>
      <c r="N225" s="1017" t="s">
        <v>358</v>
      </c>
      <c r="O225" s="1018">
        <f>R208</f>
        <v>1.46186744</v>
      </c>
      <c r="P225" s="861" t="s">
        <v>358</v>
      </c>
      <c r="Q225" s="1010">
        <f>R209</f>
        <v>0.02</v>
      </c>
      <c r="R225" s="1010"/>
      <c r="S225" s="1010"/>
      <c r="T225" s="952" t="s">
        <v>361</v>
      </c>
      <c r="U225" s="242" t="s">
        <v>437</v>
      </c>
      <c r="V225" s="112"/>
    </row>
    <row r="226" spans="1:22" ht="18" hidden="1" customHeight="1">
      <c r="A226" s="1007"/>
      <c r="B226" s="956"/>
      <c r="C226" s="956"/>
      <c r="D226" s="861"/>
      <c r="E226" s="861"/>
      <c r="F226" s="1015"/>
      <c r="G226" s="1015"/>
      <c r="H226" s="861"/>
      <c r="I226" s="861" t="str">
        <f>R201</f>
        <v>-</v>
      </c>
      <c r="J226" s="1015"/>
      <c r="K226" s="861"/>
      <c r="L226" s="1011"/>
      <c r="M226" s="968"/>
      <c r="N226" s="1017"/>
      <c r="O226" s="968"/>
      <c r="P226" s="861"/>
      <c r="Q226" s="233">
        <f>R206</f>
        <v>1</v>
      </c>
      <c r="R226" s="233" t="s">
        <v>326</v>
      </c>
      <c r="S226" s="233">
        <f>R206</f>
        <v>1</v>
      </c>
      <c r="T226" s="952"/>
      <c r="U226" s="7"/>
      <c r="V226" s="112"/>
    </row>
    <row r="227" spans="1:22" ht="18" hidden="1" customHeight="1">
      <c r="A227" s="9"/>
      <c r="V227" s="10"/>
    </row>
    <row r="228" spans="1:22" ht="18" hidden="1" customHeight="1">
      <c r="A228" s="9"/>
      <c r="C228" s="27" t="s">
        <v>138</v>
      </c>
      <c r="D228" s="798" t="e">
        <f>D225*F225*(I225/I226)*(M225+O225+(Q225/(Q226*S226)))</f>
        <v>#VALUE!</v>
      </c>
      <c r="E228" s="799"/>
      <c r="F228" s="27" t="s">
        <v>316</v>
      </c>
      <c r="V228" s="10"/>
    </row>
    <row r="229" spans="1:22" ht="18" hidden="1" customHeight="1">
      <c r="A229" s="9"/>
      <c r="V229" s="10"/>
    </row>
    <row r="230" spans="1:22" ht="18" hidden="1" customHeight="1">
      <c r="A230" s="116" t="s">
        <v>457</v>
      </c>
      <c r="V230" s="10"/>
    </row>
    <row r="231" spans="1:22" ht="18" hidden="1" customHeight="1">
      <c r="A231" s="1002" t="s">
        <v>510</v>
      </c>
      <c r="B231" s="1003"/>
      <c r="C231" s="1003"/>
      <c r="D231" s="1003"/>
      <c r="E231" s="1003"/>
      <c r="F231" s="1003"/>
      <c r="G231" s="1003"/>
      <c r="H231" s="1003"/>
      <c r="I231" s="1003"/>
      <c r="J231" s="1003"/>
      <c r="K231" s="1003"/>
      <c r="L231" s="1003"/>
      <c r="M231" s="1003"/>
      <c r="N231" s="1003"/>
      <c r="O231" s="1003"/>
      <c r="P231" s="1003"/>
      <c r="Q231" s="1003"/>
      <c r="R231" s="1003"/>
      <c r="S231" s="1003"/>
      <c r="T231" s="1003"/>
      <c r="U231" s="1003"/>
      <c r="V231" s="1004"/>
    </row>
    <row r="232" spans="1:22" ht="18" hidden="1" customHeight="1">
      <c r="A232" s="1002"/>
      <c r="B232" s="1003"/>
      <c r="C232" s="1003"/>
      <c r="D232" s="1003"/>
      <c r="E232" s="1003"/>
      <c r="F232" s="1003"/>
      <c r="G232" s="1003"/>
      <c r="H232" s="1003"/>
      <c r="I232" s="1003"/>
      <c r="J232" s="1003"/>
      <c r="K232" s="1003"/>
      <c r="L232" s="1003"/>
      <c r="M232" s="1003"/>
      <c r="N232" s="1003"/>
      <c r="O232" s="1003"/>
      <c r="P232" s="1003"/>
      <c r="Q232" s="1003"/>
      <c r="R232" s="1003"/>
      <c r="S232" s="1003"/>
      <c r="T232" s="1003"/>
      <c r="U232" s="1003"/>
      <c r="V232" s="1004"/>
    </row>
    <row r="233" spans="1:22" ht="18" hidden="1" customHeight="1">
      <c r="A233" s="460" t="s">
        <v>427</v>
      </c>
      <c r="V233" s="10"/>
    </row>
    <row r="234" spans="1:22" ht="18" hidden="1" customHeight="1">
      <c r="A234" s="1006" t="s">
        <v>428</v>
      </c>
      <c r="B234" s="956"/>
      <c r="C234" s="956"/>
      <c r="D234" s="1008" t="s">
        <v>429</v>
      </c>
      <c r="E234" s="887"/>
      <c r="F234" s="638" t="s">
        <v>326</v>
      </c>
      <c r="G234" s="661" t="s">
        <v>447</v>
      </c>
      <c r="H234" s="957"/>
      <c r="I234" s="638" t="s">
        <v>326</v>
      </c>
      <c r="J234" s="1038" t="s">
        <v>146</v>
      </c>
      <c r="K234" s="638" t="s">
        <v>326</v>
      </c>
      <c r="L234" s="1008" t="s">
        <v>430</v>
      </c>
      <c r="M234" s="920" t="s">
        <v>451</v>
      </c>
      <c r="N234" s="958" t="s">
        <v>358</v>
      </c>
      <c r="O234" s="920" t="s">
        <v>458</v>
      </c>
      <c r="P234" s="638" t="s">
        <v>358</v>
      </c>
      <c r="Q234" s="953" t="s">
        <v>459</v>
      </c>
      <c r="R234" s="1005"/>
      <c r="S234" s="1005"/>
      <c r="T234" s="952" t="s">
        <v>361</v>
      </c>
      <c r="U234" s="242" t="s">
        <v>433</v>
      </c>
      <c r="V234" s="112"/>
    </row>
    <row r="235" spans="1:22" ht="18" hidden="1" customHeight="1">
      <c r="A235" s="1007"/>
      <c r="B235" s="956"/>
      <c r="C235" s="956"/>
      <c r="D235" s="887"/>
      <c r="E235" s="887"/>
      <c r="F235" s="638"/>
      <c r="G235" s="638" t="s">
        <v>441</v>
      </c>
      <c r="H235" s="887"/>
      <c r="I235" s="638"/>
      <c r="J235" s="638"/>
      <c r="K235" s="638"/>
      <c r="L235" s="1008"/>
      <c r="M235" s="920"/>
      <c r="N235" s="958"/>
      <c r="O235" s="920"/>
      <c r="P235" s="638"/>
      <c r="Q235" s="28" t="s">
        <v>449</v>
      </c>
      <c r="R235" s="28" t="s">
        <v>326</v>
      </c>
      <c r="S235" s="28" t="s">
        <v>449</v>
      </c>
      <c r="T235" s="952"/>
      <c r="U235" s="7"/>
      <c r="V235" s="112"/>
    </row>
    <row r="236" spans="1:22" ht="18" hidden="1" customHeight="1">
      <c r="A236" s="460" t="s">
        <v>460</v>
      </c>
      <c r="L236" s="442"/>
      <c r="V236" s="10"/>
    </row>
    <row r="237" spans="1:22" ht="18" hidden="1" customHeight="1">
      <c r="A237" s="1006" t="s">
        <v>428</v>
      </c>
      <c r="B237" s="956"/>
      <c r="C237" s="956"/>
      <c r="D237" s="1008" t="s">
        <v>461</v>
      </c>
      <c r="E237" s="887"/>
      <c r="F237" s="638" t="s">
        <v>326</v>
      </c>
      <c r="G237" s="661" t="s">
        <v>447</v>
      </c>
      <c r="H237" s="957"/>
      <c r="I237" s="638" t="s">
        <v>326</v>
      </c>
      <c r="J237" s="1038" t="s">
        <v>462</v>
      </c>
      <c r="K237" s="638" t="s">
        <v>326</v>
      </c>
      <c r="L237" s="1008" t="s">
        <v>430</v>
      </c>
      <c r="M237" s="920" t="s">
        <v>451</v>
      </c>
      <c r="N237" s="958" t="s">
        <v>358</v>
      </c>
      <c r="O237" s="920" t="s">
        <v>458</v>
      </c>
      <c r="P237" s="638" t="s">
        <v>358</v>
      </c>
      <c r="Q237" s="953" t="s">
        <v>459</v>
      </c>
      <c r="R237" s="1005"/>
      <c r="S237" s="1005"/>
      <c r="T237" s="952" t="s">
        <v>361</v>
      </c>
      <c r="U237" s="242" t="s">
        <v>437</v>
      </c>
      <c r="V237" s="112"/>
    </row>
    <row r="238" spans="1:22" ht="18" hidden="1" customHeight="1">
      <c r="A238" s="1007"/>
      <c r="B238" s="956"/>
      <c r="C238" s="956"/>
      <c r="D238" s="887"/>
      <c r="E238" s="887"/>
      <c r="F238" s="638"/>
      <c r="G238" s="638" t="s">
        <v>441</v>
      </c>
      <c r="H238" s="887"/>
      <c r="I238" s="638"/>
      <c r="J238" s="638"/>
      <c r="K238" s="638"/>
      <c r="L238" s="1008"/>
      <c r="M238" s="920"/>
      <c r="N238" s="958"/>
      <c r="O238" s="920"/>
      <c r="P238" s="638"/>
      <c r="Q238" s="28" t="s">
        <v>449</v>
      </c>
      <c r="R238" s="28" t="s">
        <v>326</v>
      </c>
      <c r="S238" s="28" t="s">
        <v>449</v>
      </c>
      <c r="T238" s="952"/>
      <c r="U238" s="7"/>
      <c r="V238" s="112"/>
    </row>
    <row r="239" spans="1:22" ht="18" hidden="1" customHeight="1">
      <c r="A239" s="9"/>
      <c r="V239" s="10"/>
    </row>
    <row r="240" spans="1:22" ht="18" hidden="1" customHeight="1">
      <c r="A240" s="9"/>
      <c r="B240" s="14" t="s">
        <v>438</v>
      </c>
      <c r="P240" s="120" t="s">
        <v>439</v>
      </c>
      <c r="V240" s="10"/>
    </row>
    <row r="241" spans="1:22" ht="18" hidden="1" customHeight="1">
      <c r="A241" s="9"/>
      <c r="B241" s="14" t="s">
        <v>440</v>
      </c>
      <c r="P241" s="120" t="s">
        <v>441</v>
      </c>
      <c r="Q241" s="246" t="s">
        <v>138</v>
      </c>
      <c r="R241" s="639" t="str">
        <f>R201</f>
        <v>-</v>
      </c>
      <c r="S241" s="639"/>
      <c r="T241" s="14" t="s">
        <v>9</v>
      </c>
      <c r="V241" s="10"/>
    </row>
    <row r="242" spans="1:22" ht="18" hidden="1" customHeight="1">
      <c r="A242" s="9"/>
      <c r="B242" s="14" t="s">
        <v>442</v>
      </c>
      <c r="P242" s="120" t="s">
        <v>429</v>
      </c>
      <c r="Q242" s="246" t="s">
        <v>138</v>
      </c>
      <c r="R242" s="639">
        <f>R202</f>
        <v>40000</v>
      </c>
      <c r="S242" s="639"/>
      <c r="T242" s="14" t="s">
        <v>9</v>
      </c>
      <c r="V242" s="10"/>
    </row>
    <row r="243" spans="1:22" ht="18" hidden="1" customHeight="1">
      <c r="A243" s="9"/>
      <c r="B243" s="14" t="s">
        <v>463</v>
      </c>
      <c r="P243" s="120" t="s">
        <v>461</v>
      </c>
      <c r="Q243" s="246" t="s">
        <v>138</v>
      </c>
      <c r="R243" s="873">
        <f>R77</f>
        <v>22086.904410813047</v>
      </c>
      <c r="S243" s="639"/>
      <c r="T243" s="14" t="s">
        <v>9</v>
      </c>
      <c r="U243" s="30" t="s">
        <v>444</v>
      </c>
      <c r="V243" s="10"/>
    </row>
    <row r="244" spans="1:22" ht="18" hidden="1" customHeight="1">
      <c r="A244" s="9"/>
      <c r="B244" s="14"/>
      <c r="P244" s="120"/>
      <c r="Q244" s="246" t="s">
        <v>138</v>
      </c>
      <c r="R244" s="873">
        <f>R78</f>
        <v>23819.814378888525</v>
      </c>
      <c r="S244" s="639"/>
      <c r="T244" s="14" t="s">
        <v>9</v>
      </c>
      <c r="U244" s="30" t="s">
        <v>445</v>
      </c>
      <c r="V244" s="10"/>
    </row>
    <row r="245" spans="1:22" ht="18" hidden="1" customHeight="1">
      <c r="A245" s="9"/>
      <c r="B245" s="14" t="s">
        <v>464</v>
      </c>
      <c r="P245" s="120" t="s">
        <v>447</v>
      </c>
      <c r="Q245" s="246" t="s">
        <v>138</v>
      </c>
      <c r="R245" s="639">
        <f>R205</f>
        <v>1</v>
      </c>
      <c r="S245" s="639"/>
      <c r="T245" s="14" t="s">
        <v>9</v>
      </c>
      <c r="V245" s="10"/>
    </row>
    <row r="246" spans="1:22" ht="18" hidden="1" customHeight="1">
      <c r="A246" s="9"/>
      <c r="B246" s="14" t="s">
        <v>448</v>
      </c>
      <c r="P246" s="120" t="s">
        <v>449</v>
      </c>
      <c r="Q246" s="246" t="s">
        <v>138</v>
      </c>
      <c r="R246" s="639">
        <f>R206</f>
        <v>1</v>
      </c>
      <c r="S246" s="639"/>
      <c r="T246" s="14" t="s">
        <v>9</v>
      </c>
      <c r="V246" s="10"/>
    </row>
    <row r="247" spans="1:22" ht="18" hidden="1" customHeight="1">
      <c r="A247" s="9"/>
      <c r="B247" s="14" t="s">
        <v>450</v>
      </c>
      <c r="P247" s="120" t="s">
        <v>451</v>
      </c>
      <c r="Q247" s="246" t="s">
        <v>138</v>
      </c>
      <c r="R247" s="639">
        <f>R207</f>
        <v>3</v>
      </c>
      <c r="S247" s="639"/>
      <c r="T247" s="204" t="s">
        <v>344</v>
      </c>
      <c r="V247" s="10"/>
    </row>
    <row r="248" spans="1:22" ht="18" hidden="1" customHeight="1">
      <c r="A248" s="9"/>
      <c r="B248" s="14" t="s">
        <v>465</v>
      </c>
      <c r="P248" s="249" t="s">
        <v>452</v>
      </c>
      <c r="Q248" s="246" t="s">
        <v>138</v>
      </c>
      <c r="R248" s="637">
        <f>R208</f>
        <v>1.46186744</v>
      </c>
      <c r="S248" s="639"/>
      <c r="T248" s="204" t="s">
        <v>344</v>
      </c>
      <c r="V248" s="10"/>
    </row>
    <row r="249" spans="1:22" ht="18" hidden="1" customHeight="1">
      <c r="A249" s="9"/>
      <c r="B249" s="40" t="s">
        <v>453</v>
      </c>
      <c r="P249" s="249" t="s">
        <v>454</v>
      </c>
      <c r="Q249" s="246" t="s">
        <v>138</v>
      </c>
      <c r="R249" s="637">
        <f>R209</f>
        <v>0.02</v>
      </c>
      <c r="S249" s="639"/>
      <c r="T249" s="14" t="s">
        <v>168</v>
      </c>
      <c r="V249" s="10"/>
    </row>
    <row r="250" spans="1:22" ht="18" hidden="1" customHeight="1">
      <c r="A250" s="9"/>
      <c r="B250" s="40"/>
      <c r="P250" s="249"/>
      <c r="Q250" s="246"/>
      <c r="R250" s="223"/>
      <c r="S250" s="27"/>
      <c r="T250" s="14"/>
      <c r="V250" s="10"/>
    </row>
    <row r="251" spans="1:22" s="7" customFormat="1" ht="18" hidden="1" customHeight="1">
      <c r="A251" s="395"/>
      <c r="B251" s="20"/>
      <c r="C251" s="20"/>
      <c r="D251" s="20"/>
      <c r="E251" s="20"/>
      <c r="F251" s="20"/>
      <c r="G251" s="20"/>
      <c r="H251" s="20"/>
      <c r="I251" s="20"/>
      <c r="J251" s="20"/>
      <c r="K251" s="20"/>
      <c r="L251" s="20"/>
      <c r="M251" s="20"/>
      <c r="N251" s="20"/>
      <c r="O251" s="20"/>
      <c r="P251" s="20"/>
      <c r="Q251" s="21"/>
      <c r="R251" s="22"/>
      <c r="S251" s="23"/>
      <c r="T251" s="20"/>
      <c r="U251" s="20"/>
      <c r="V251" s="140"/>
    </row>
    <row r="252" spans="1:22" ht="18" hidden="1" customHeight="1">
      <c r="A252" s="444" t="s">
        <v>466</v>
      </c>
      <c r="B252" s="445"/>
      <c r="C252" s="446"/>
      <c r="D252" s="447"/>
      <c r="E252" s="446"/>
      <c r="F252" s="447"/>
      <c r="G252" s="447"/>
      <c r="H252" s="445"/>
      <c r="I252" s="445"/>
      <c r="J252" s="445"/>
      <c r="K252" s="448"/>
      <c r="L252" s="448"/>
      <c r="M252" s="111"/>
      <c r="N252" s="447"/>
      <c r="O252" s="447"/>
      <c r="P252" s="448"/>
      <c r="Q252" s="449"/>
      <c r="R252" s="111"/>
      <c r="S252" s="111"/>
      <c r="T252" s="111"/>
      <c r="U252" s="111"/>
      <c r="V252" s="147"/>
    </row>
    <row r="253" spans="1:22" ht="18" hidden="1" customHeight="1">
      <c r="A253" s="96" t="s">
        <v>467</v>
      </c>
      <c r="B253" s="164"/>
      <c r="C253" s="450"/>
      <c r="D253" s="389"/>
      <c r="E253" s="450"/>
      <c r="F253" s="389"/>
      <c r="G253" s="389"/>
      <c r="H253" s="164"/>
      <c r="I253" s="164"/>
      <c r="J253" s="164"/>
      <c r="K253" s="165"/>
      <c r="L253" s="165"/>
      <c r="M253" s="7"/>
      <c r="N253" s="389"/>
      <c r="O253" s="389"/>
      <c r="P253" s="165"/>
      <c r="Q253" s="451"/>
      <c r="R253" s="7"/>
      <c r="S253" s="7"/>
      <c r="T253" s="7"/>
      <c r="U253" s="7"/>
      <c r="V253" s="112"/>
    </row>
    <row r="254" spans="1:22" ht="18" hidden="1" customHeight="1">
      <c r="A254" s="409"/>
      <c r="B254" s="164"/>
      <c r="C254" s="450"/>
      <c r="D254" s="7"/>
      <c r="E254" s="7"/>
      <c r="F254" s="7"/>
      <c r="G254" s="389"/>
      <c r="H254" s="452" t="s">
        <v>468</v>
      </c>
      <c r="I254" s="14" t="s">
        <v>469</v>
      </c>
      <c r="J254" s="7"/>
      <c r="K254" s="28" t="s">
        <v>470</v>
      </c>
      <c r="L254" s="28" t="s">
        <v>146</v>
      </c>
      <c r="M254" s="453"/>
      <c r="N254" s="389"/>
      <c r="O254" s="389"/>
      <c r="P254" s="102" t="s">
        <v>138</v>
      </c>
      <c r="Q254" s="28">
        <v>1</v>
      </c>
      <c r="R254" s="7"/>
      <c r="S254" s="7"/>
      <c r="T254" s="7"/>
      <c r="U254" s="7"/>
      <c r="V254" s="112"/>
    </row>
    <row r="255" spans="1:22" ht="18" hidden="1" customHeight="1">
      <c r="A255" s="409"/>
      <c r="B255" s="164"/>
      <c r="C255" s="450"/>
      <c r="D255" s="7"/>
      <c r="E255" s="7"/>
      <c r="F255" s="7"/>
      <c r="G255" s="389"/>
      <c r="H255" s="452"/>
      <c r="I255" s="14"/>
      <c r="J255" s="7"/>
      <c r="K255" s="28"/>
      <c r="L255" s="28"/>
      <c r="M255" s="453"/>
      <c r="N255" s="389"/>
      <c r="O255" s="389"/>
      <c r="P255" s="102"/>
      <c r="Q255" s="28"/>
      <c r="R255" s="7"/>
      <c r="S255" s="7"/>
      <c r="T255" s="7"/>
      <c r="U255" s="7"/>
      <c r="V255" s="112"/>
    </row>
    <row r="256" spans="1:22" ht="18" hidden="1" customHeight="1">
      <c r="A256" s="96" t="s">
        <v>471</v>
      </c>
      <c r="B256" s="164"/>
      <c r="C256" s="450"/>
      <c r="D256" s="389"/>
      <c r="E256" s="450"/>
      <c r="F256" s="389"/>
      <c r="G256" s="389"/>
      <c r="H256" s="164"/>
      <c r="I256" s="7"/>
      <c r="J256" s="7"/>
      <c r="K256" s="121"/>
      <c r="L256" s="121"/>
      <c r="M256" s="7"/>
      <c r="N256" s="389"/>
      <c r="O256" s="389"/>
      <c r="P256" s="165"/>
      <c r="Q256" s="451"/>
      <c r="V256" s="10"/>
    </row>
    <row r="257" spans="1:22" ht="18" hidden="1" customHeight="1">
      <c r="A257" s="96" t="s">
        <v>472</v>
      </c>
      <c r="B257" s="164"/>
      <c r="C257" s="450"/>
      <c r="D257" s="389"/>
      <c r="E257" s="450"/>
      <c r="F257" s="389"/>
      <c r="G257" s="389"/>
      <c r="H257" s="164"/>
      <c r="I257" s="7"/>
      <c r="J257" s="7"/>
      <c r="K257" s="121"/>
      <c r="L257" s="121"/>
      <c r="M257" s="7"/>
      <c r="N257" s="389"/>
      <c r="O257" s="389"/>
      <c r="P257" s="165"/>
      <c r="Q257" s="451"/>
      <c r="V257" s="10"/>
    </row>
    <row r="258" spans="1:22" ht="18" hidden="1" customHeight="1">
      <c r="A258" s="409"/>
      <c r="B258" s="164"/>
      <c r="C258" s="450"/>
      <c r="D258" s="7"/>
      <c r="E258" s="7"/>
      <c r="F258" s="7"/>
      <c r="G258" s="389"/>
      <c r="H258" s="452" t="s">
        <v>468</v>
      </c>
      <c r="I258" s="14" t="s">
        <v>473</v>
      </c>
      <c r="J258" s="7"/>
      <c r="K258" s="28" t="s">
        <v>470</v>
      </c>
      <c r="L258" s="28" t="s">
        <v>462</v>
      </c>
      <c r="M258" s="453"/>
      <c r="N258" s="389"/>
      <c r="O258" s="389"/>
      <c r="P258" s="102" t="s">
        <v>138</v>
      </c>
      <c r="Q258" s="28">
        <v>3</v>
      </c>
      <c r="V258" s="10"/>
    </row>
    <row r="259" spans="1:22" ht="18" hidden="1" customHeight="1">
      <c r="A259" s="409"/>
      <c r="B259" s="164"/>
      <c r="C259" s="450"/>
      <c r="D259" s="7"/>
      <c r="E259" s="7"/>
      <c r="F259" s="7"/>
      <c r="G259" s="389"/>
      <c r="H259" s="452"/>
      <c r="I259" s="14"/>
      <c r="J259" s="7"/>
      <c r="K259" s="28"/>
      <c r="L259" s="28"/>
      <c r="M259" s="453"/>
      <c r="N259" s="389"/>
      <c r="O259" s="389"/>
      <c r="P259" s="102"/>
      <c r="Q259" s="28"/>
      <c r="V259" s="10"/>
    </row>
    <row r="260" spans="1:22" ht="18" hidden="1" customHeight="1">
      <c r="A260" s="205" t="s">
        <v>427</v>
      </c>
      <c r="V260" s="10"/>
    </row>
    <row r="261" spans="1:22" ht="18" hidden="1" customHeight="1">
      <c r="A261" s="114"/>
      <c r="B261" s="7"/>
      <c r="C261" s="7"/>
      <c r="D261" s="7"/>
      <c r="E261" s="7"/>
      <c r="F261" s="7"/>
      <c r="G261" s="14" t="s">
        <v>474</v>
      </c>
      <c r="H261" s="7"/>
      <c r="I261" s="7"/>
      <c r="J261" s="7"/>
      <c r="K261" s="28" t="s">
        <v>138</v>
      </c>
      <c r="L261" s="641">
        <f>L95</f>
        <v>159.09090909090909</v>
      </c>
      <c r="M261" s="638"/>
      <c r="N261" s="28" t="s">
        <v>475</v>
      </c>
      <c r="O261" s="28" t="s">
        <v>146</v>
      </c>
      <c r="P261" s="28" t="s">
        <v>138</v>
      </c>
      <c r="Q261" s="28">
        <f>IF(L261&lt;=400,Q254,Q255)</f>
        <v>1</v>
      </c>
      <c r="R261" s="7"/>
      <c r="S261" s="7"/>
      <c r="T261" s="7"/>
      <c r="V261" s="10"/>
    </row>
    <row r="262" spans="1:22" ht="18" hidden="1" customHeight="1">
      <c r="A262" s="1006" t="s">
        <v>428</v>
      </c>
      <c r="B262" s="956"/>
      <c r="C262" s="956"/>
      <c r="D262" s="1011">
        <f>R242</f>
        <v>40000</v>
      </c>
      <c r="E262" s="1019"/>
      <c r="F262" s="861" t="s">
        <v>326</v>
      </c>
      <c r="G262" s="1013">
        <f>R245</f>
        <v>1</v>
      </c>
      <c r="H262" s="1020"/>
      <c r="I262" s="861" t="s">
        <v>326</v>
      </c>
      <c r="J262" s="862">
        <f>Q261</f>
        <v>1</v>
      </c>
      <c r="K262" s="861" t="s">
        <v>326</v>
      </c>
      <c r="L262" s="1011" t="s">
        <v>430</v>
      </c>
      <c r="M262" s="968">
        <f>R247</f>
        <v>3</v>
      </c>
      <c r="N262" s="1017" t="s">
        <v>358</v>
      </c>
      <c r="O262" s="1018">
        <f>R248</f>
        <v>1.46186744</v>
      </c>
      <c r="P262" s="861" t="s">
        <v>358</v>
      </c>
      <c r="Q262" s="1010">
        <f>R249</f>
        <v>0.02</v>
      </c>
      <c r="R262" s="1010"/>
      <c r="S262" s="1010"/>
      <c r="T262" s="952" t="s">
        <v>361</v>
      </c>
      <c r="U262" s="242" t="s">
        <v>433</v>
      </c>
      <c r="V262" s="112"/>
    </row>
    <row r="263" spans="1:22" ht="18" hidden="1" customHeight="1">
      <c r="A263" s="1007"/>
      <c r="B263" s="956"/>
      <c r="C263" s="956"/>
      <c r="D263" s="1019"/>
      <c r="E263" s="1019"/>
      <c r="F263" s="861"/>
      <c r="G263" s="861" t="str">
        <f>R241</f>
        <v>-</v>
      </c>
      <c r="H263" s="1019"/>
      <c r="I263" s="861"/>
      <c r="J263" s="861"/>
      <c r="K263" s="861"/>
      <c r="L263" s="1011"/>
      <c r="M263" s="968"/>
      <c r="N263" s="1017"/>
      <c r="O263" s="968"/>
      <c r="P263" s="861"/>
      <c r="Q263" s="233">
        <f>R246</f>
        <v>1</v>
      </c>
      <c r="R263" s="233" t="s">
        <v>326</v>
      </c>
      <c r="S263" s="233">
        <f>R246</f>
        <v>1</v>
      </c>
      <c r="T263" s="952"/>
      <c r="U263" s="7"/>
      <c r="V263" s="112"/>
    </row>
    <row r="264" spans="1:22" ht="18" hidden="1" customHeight="1">
      <c r="A264" s="9"/>
      <c r="V264" s="10"/>
    </row>
    <row r="265" spans="1:22" ht="18" hidden="1" customHeight="1">
      <c r="A265" s="9"/>
      <c r="C265" s="27" t="s">
        <v>138</v>
      </c>
      <c r="D265" s="797" t="e">
        <f>D262*(G262/G263)*J262*(M262+O262+(Q262/(Q263*S263)))</f>
        <v>#VALUE!</v>
      </c>
      <c r="E265" s="645"/>
      <c r="F265" s="27" t="s">
        <v>316</v>
      </c>
      <c r="V265" s="10"/>
    </row>
    <row r="266" spans="1:22" ht="18" hidden="1" customHeight="1">
      <c r="A266" s="9"/>
      <c r="V266" s="10"/>
    </row>
    <row r="267" spans="1:22" ht="18" hidden="1" customHeight="1">
      <c r="A267" s="205" t="s">
        <v>476</v>
      </c>
      <c r="V267" s="10"/>
    </row>
    <row r="268" spans="1:22" ht="18" hidden="1" customHeight="1">
      <c r="A268" s="9"/>
      <c r="E268" s="30" t="s">
        <v>477</v>
      </c>
      <c r="K268" s="27" t="s">
        <v>138</v>
      </c>
      <c r="L268" s="637">
        <f>L102</f>
        <v>6.7473490103646627</v>
      </c>
      <c r="M268" s="639"/>
      <c r="N268" s="27" t="s">
        <v>475</v>
      </c>
      <c r="O268" s="28" t="s">
        <v>462</v>
      </c>
      <c r="P268" s="27" t="s">
        <v>138</v>
      </c>
      <c r="Q268" s="27">
        <f>IF(L268&lt;=200,Q258,Q259)</f>
        <v>3</v>
      </c>
      <c r="V268" s="10"/>
    </row>
    <row r="269" spans="1:22" ht="18" hidden="1" customHeight="1">
      <c r="A269" s="1006" t="s">
        <v>428</v>
      </c>
      <c r="B269" s="956"/>
      <c r="C269" s="956"/>
      <c r="D269" s="1016">
        <f>R243</f>
        <v>22086.904410813047</v>
      </c>
      <c r="E269" s="1015"/>
      <c r="F269" s="861" t="s">
        <v>326</v>
      </c>
      <c r="G269" s="1013">
        <f>R245</f>
        <v>1</v>
      </c>
      <c r="H269" s="1014"/>
      <c r="I269" s="861" t="s">
        <v>326</v>
      </c>
      <c r="J269" s="1039">
        <f>Q268</f>
        <v>3</v>
      </c>
      <c r="K269" s="861" t="s">
        <v>326</v>
      </c>
      <c r="L269" s="1011" t="s">
        <v>430</v>
      </c>
      <c r="M269" s="968">
        <f>R247</f>
        <v>3</v>
      </c>
      <c r="N269" s="1017" t="s">
        <v>358</v>
      </c>
      <c r="O269" s="1018">
        <f>R248</f>
        <v>1.46186744</v>
      </c>
      <c r="P269" s="861" t="s">
        <v>358</v>
      </c>
      <c r="Q269" s="1010">
        <f>R249</f>
        <v>0.02</v>
      </c>
      <c r="R269" s="1010"/>
      <c r="S269" s="1010"/>
      <c r="T269" s="952" t="s">
        <v>361</v>
      </c>
      <c r="U269" s="242" t="s">
        <v>437</v>
      </c>
      <c r="V269" s="112"/>
    </row>
    <row r="270" spans="1:22" ht="18" hidden="1" customHeight="1">
      <c r="A270" s="1007"/>
      <c r="B270" s="956"/>
      <c r="C270" s="956"/>
      <c r="D270" s="1015"/>
      <c r="E270" s="1015"/>
      <c r="F270" s="861"/>
      <c r="G270" s="861" t="str">
        <f>R241</f>
        <v>-</v>
      </c>
      <c r="H270" s="1015"/>
      <c r="I270" s="861"/>
      <c r="J270" s="861"/>
      <c r="K270" s="861"/>
      <c r="L270" s="1011"/>
      <c r="M270" s="968"/>
      <c r="N270" s="1017"/>
      <c r="O270" s="968"/>
      <c r="P270" s="861"/>
      <c r="Q270" s="233">
        <f>R246</f>
        <v>1</v>
      </c>
      <c r="R270" s="233" t="s">
        <v>326</v>
      </c>
      <c r="S270" s="233">
        <f>R246</f>
        <v>1</v>
      </c>
      <c r="T270" s="952"/>
      <c r="U270" s="7"/>
      <c r="V270" s="112"/>
    </row>
    <row r="271" spans="1:22" ht="18" hidden="1" customHeight="1">
      <c r="A271" s="9"/>
      <c r="V271" s="10"/>
    </row>
    <row r="272" spans="1:22" ht="18" hidden="1" customHeight="1">
      <c r="A272" s="9"/>
      <c r="C272" s="27" t="s">
        <v>138</v>
      </c>
      <c r="D272" s="797" t="e">
        <f>D269*(G269/G270)*J269*(M269+O269+(Q269/(Q270*S270)))</f>
        <v>#VALUE!</v>
      </c>
      <c r="E272" s="645"/>
      <c r="F272" s="27" t="s">
        <v>316</v>
      </c>
      <c r="V272" s="10"/>
    </row>
    <row r="273" spans="1:22" ht="18" hidden="1" customHeight="1">
      <c r="A273" s="9"/>
      <c r="V273" s="10"/>
    </row>
    <row r="274" spans="1:22" ht="18" hidden="1" customHeight="1">
      <c r="A274" s="205" t="s">
        <v>478</v>
      </c>
      <c r="V274" s="10"/>
    </row>
    <row r="275" spans="1:22" ht="18" hidden="1" customHeight="1">
      <c r="A275" s="9"/>
      <c r="E275" s="30" t="s">
        <v>479</v>
      </c>
      <c r="K275" s="27" t="s">
        <v>138</v>
      </c>
      <c r="L275" s="637">
        <f>L109</f>
        <v>6.9289372966517959</v>
      </c>
      <c r="M275" s="639"/>
      <c r="N275" s="27" t="s">
        <v>475</v>
      </c>
      <c r="O275" s="28" t="s">
        <v>462</v>
      </c>
      <c r="P275" s="27" t="s">
        <v>138</v>
      </c>
      <c r="Q275" s="27">
        <f>IF(L275&lt;=200,Q258,Q259)</f>
        <v>3</v>
      </c>
      <c r="V275" s="10"/>
    </row>
    <row r="276" spans="1:22" ht="18" hidden="1" customHeight="1">
      <c r="A276" s="1006" t="s">
        <v>428</v>
      </c>
      <c r="B276" s="956"/>
      <c r="C276" s="956"/>
      <c r="D276" s="1016">
        <f>R244</f>
        <v>23819.814378888525</v>
      </c>
      <c r="E276" s="1015"/>
      <c r="F276" s="861" t="s">
        <v>326</v>
      </c>
      <c r="G276" s="1013">
        <f>R245</f>
        <v>1</v>
      </c>
      <c r="H276" s="1014"/>
      <c r="I276" s="861" t="s">
        <v>326</v>
      </c>
      <c r="J276" s="1039">
        <f>Q275</f>
        <v>3</v>
      </c>
      <c r="K276" s="861" t="s">
        <v>326</v>
      </c>
      <c r="L276" s="1011" t="s">
        <v>430</v>
      </c>
      <c r="M276" s="968">
        <f>R247</f>
        <v>3</v>
      </c>
      <c r="N276" s="1017" t="s">
        <v>358</v>
      </c>
      <c r="O276" s="1018">
        <f>R248</f>
        <v>1.46186744</v>
      </c>
      <c r="P276" s="861" t="s">
        <v>358</v>
      </c>
      <c r="Q276" s="1010">
        <f>R249</f>
        <v>0.02</v>
      </c>
      <c r="R276" s="1010"/>
      <c r="S276" s="1010"/>
      <c r="T276" s="952" t="s">
        <v>361</v>
      </c>
      <c r="U276" s="242" t="s">
        <v>437</v>
      </c>
      <c r="V276" s="112"/>
    </row>
    <row r="277" spans="1:22" ht="18" hidden="1" customHeight="1">
      <c r="A277" s="1007"/>
      <c r="B277" s="956"/>
      <c r="C277" s="956"/>
      <c r="D277" s="1015"/>
      <c r="E277" s="1015"/>
      <c r="F277" s="861"/>
      <c r="G277" s="861" t="str">
        <f>R241</f>
        <v>-</v>
      </c>
      <c r="H277" s="1015"/>
      <c r="I277" s="861"/>
      <c r="J277" s="861"/>
      <c r="K277" s="861"/>
      <c r="L277" s="1011"/>
      <c r="M277" s="968"/>
      <c r="N277" s="1017"/>
      <c r="O277" s="968"/>
      <c r="P277" s="861"/>
      <c r="Q277" s="233">
        <f>R246</f>
        <v>1</v>
      </c>
      <c r="R277" s="233" t="s">
        <v>326</v>
      </c>
      <c r="S277" s="233">
        <f>R246</f>
        <v>1</v>
      </c>
      <c r="T277" s="952"/>
      <c r="U277" s="7"/>
      <c r="V277" s="112"/>
    </row>
    <row r="278" spans="1:22" ht="18" hidden="1" customHeight="1">
      <c r="A278" s="9"/>
      <c r="V278" s="10"/>
    </row>
    <row r="279" spans="1:22" ht="18" hidden="1" customHeight="1">
      <c r="A279" s="9"/>
      <c r="C279" s="27" t="s">
        <v>138</v>
      </c>
      <c r="D279" s="797" t="e">
        <f>D276*(G276/G277)*J276*(M276+O276+(Q276/(Q277*S277)))</f>
        <v>#VALUE!</v>
      </c>
      <c r="E279" s="645"/>
      <c r="F279" s="27" t="s">
        <v>316</v>
      </c>
      <c r="V279" s="10"/>
    </row>
    <row r="280" spans="1:22" ht="18" hidden="1" customHeight="1">
      <c r="A280" s="9"/>
      <c r="V280" s="10"/>
    </row>
    <row r="281" spans="1:22" ht="18" hidden="1" customHeight="1">
      <c r="A281" s="196" t="s">
        <v>480</v>
      </c>
      <c r="M281" s="1023" t="str">
        <f>J176</f>
        <v>-</v>
      </c>
      <c r="N281" s="1024"/>
      <c r="O281" s="30" t="s">
        <v>481</v>
      </c>
      <c r="Q281" s="798" t="e">
        <f>MAX(D216,D222,D228,D265,D272,D279)</f>
        <v>#VALUE!</v>
      </c>
      <c r="R281" s="645"/>
      <c r="S281" s="30" t="s">
        <v>316</v>
      </c>
      <c r="V281" s="10"/>
    </row>
    <row r="282" spans="1:22" ht="18" hidden="1" customHeight="1">
      <c r="A282" s="364" t="s">
        <v>482</v>
      </c>
      <c r="B282" s="7"/>
      <c r="C282" s="7"/>
      <c r="D282" s="454"/>
      <c r="E282" s="7"/>
      <c r="F282" s="7"/>
      <c r="G282" s="385"/>
      <c r="H282" s="7"/>
      <c r="J282" s="7"/>
      <c r="K282" s="7"/>
      <c r="L282" s="7"/>
      <c r="M282" s="7"/>
      <c r="N282" s="7"/>
      <c r="O282" s="7"/>
      <c r="P282" s="262"/>
      <c r="Q282" s="263"/>
      <c r="R282" s="385"/>
      <c r="S282" s="7"/>
      <c r="V282" s="10"/>
    </row>
    <row r="283" spans="1:22" ht="18" hidden="1" customHeight="1">
      <c r="A283" s="96" t="s">
        <v>483</v>
      </c>
      <c r="V283" s="10"/>
    </row>
    <row r="284" spans="1:22" ht="18" hidden="1" customHeight="1">
      <c r="A284" s="9"/>
      <c r="N284" s="7"/>
      <c r="O284" s="28" t="s">
        <v>484</v>
      </c>
      <c r="P284" s="102" t="s">
        <v>138</v>
      </c>
      <c r="Q284" s="906" t="s">
        <v>485</v>
      </c>
      <c r="R284" s="906"/>
      <c r="S284" s="28" t="s">
        <v>326</v>
      </c>
      <c r="T284" s="28">
        <v>0.8</v>
      </c>
      <c r="V284" s="10"/>
    </row>
    <row r="285" spans="1:22" ht="18" hidden="1" customHeight="1">
      <c r="A285" s="9"/>
      <c r="N285" s="264"/>
      <c r="O285" s="28"/>
      <c r="P285" s="102" t="s">
        <v>138</v>
      </c>
      <c r="Q285" s="1026" t="e">
        <f>+Q281</f>
        <v>#VALUE!</v>
      </c>
      <c r="R285" s="661"/>
      <c r="S285" s="234" t="s">
        <v>326</v>
      </c>
      <c r="T285" s="265">
        <f>+T284</f>
        <v>0.8</v>
      </c>
      <c r="V285" s="10"/>
    </row>
    <row r="286" spans="1:22" ht="18" hidden="1" customHeight="1">
      <c r="A286" s="9"/>
      <c r="O286" s="28"/>
      <c r="P286" s="28" t="s">
        <v>138</v>
      </c>
      <c r="Q286" s="1027" t="e">
        <f>Q285*T285</f>
        <v>#VALUE!</v>
      </c>
      <c r="R286" s="707"/>
      <c r="S286" s="28" t="s">
        <v>316</v>
      </c>
      <c r="T286" s="28"/>
      <c r="V286" s="10"/>
    </row>
    <row r="287" spans="1:22" ht="18" hidden="1" customHeight="1">
      <c r="A287" s="9"/>
      <c r="D287" s="30" t="s">
        <v>486</v>
      </c>
      <c r="G287" s="27" t="e">
        <f>IF(E288&gt;H288,"&gt;","&lt;")</f>
        <v>#VALUE!</v>
      </c>
      <c r="H287" s="308" t="s">
        <v>488</v>
      </c>
      <c r="I287" s="27"/>
      <c r="O287" s="7"/>
      <c r="P287" s="7"/>
      <c r="Q287" s="7"/>
      <c r="R287" s="7"/>
      <c r="S287" s="7"/>
      <c r="T287" s="7"/>
      <c r="V287" s="10"/>
    </row>
    <row r="288" spans="1:22" ht="18" hidden="1" customHeight="1">
      <c r="A288" s="9"/>
      <c r="E288" s="639">
        <f>J179</f>
        <v>200</v>
      </c>
      <c r="F288" s="639"/>
      <c r="G288" s="27" t="e">
        <f>G287</f>
        <v>#VALUE!</v>
      </c>
      <c r="H288" s="637" t="e">
        <f>Q286</f>
        <v>#VALUE!</v>
      </c>
      <c r="I288" s="639"/>
      <c r="V288" s="10"/>
    </row>
    <row r="289" spans="1:29" ht="18" hidden="1" customHeight="1">
      <c r="A289" s="9"/>
      <c r="F289" s="256" t="s">
        <v>489</v>
      </c>
      <c r="H289" s="18" t="e">
        <f>IF(G287="&gt;","Suitably Dimensioned","Under Dimensioned")</f>
        <v>#VALUE!</v>
      </c>
      <c r="V289" s="10"/>
    </row>
    <row r="290" spans="1:29" ht="18" hidden="1" customHeight="1">
      <c r="A290" s="9"/>
      <c r="F290" s="256"/>
      <c r="H290" s="18"/>
      <c r="V290" s="10"/>
    </row>
    <row r="291" spans="1:29" s="7" customFormat="1" ht="18" hidden="1" customHeight="1">
      <c r="A291" s="395"/>
      <c r="B291" s="20"/>
      <c r="C291" s="20"/>
      <c r="D291" s="20"/>
      <c r="E291" s="20"/>
      <c r="F291" s="20"/>
      <c r="G291" s="20"/>
      <c r="H291" s="20"/>
      <c r="I291" s="20"/>
      <c r="J291" s="20"/>
      <c r="K291" s="20"/>
      <c r="L291" s="20"/>
      <c r="M291" s="20"/>
      <c r="N291" s="20"/>
      <c r="O291" s="20"/>
      <c r="P291" s="20"/>
      <c r="Q291" s="21"/>
      <c r="R291" s="22"/>
      <c r="S291" s="23"/>
      <c r="T291" s="20"/>
      <c r="U291" s="20"/>
      <c r="V291" s="140"/>
    </row>
    <row r="292" spans="1:29" ht="18" hidden="1" customHeight="1">
      <c r="A292" s="455"/>
      <c r="B292" s="397"/>
      <c r="C292" s="397"/>
      <c r="D292" s="397"/>
      <c r="E292" s="397"/>
      <c r="F292" s="397"/>
      <c r="G292" s="397"/>
      <c r="H292" s="397"/>
      <c r="I292" s="397"/>
      <c r="J292" s="397"/>
      <c r="K292" s="397"/>
      <c r="L292" s="397"/>
      <c r="M292" s="397"/>
      <c r="N292" s="397"/>
      <c r="O292" s="397"/>
      <c r="P292" s="397"/>
      <c r="Q292" s="397"/>
      <c r="R292" s="397"/>
      <c r="S292" s="397"/>
      <c r="T292" s="397"/>
      <c r="U292" s="397"/>
      <c r="V292" s="408"/>
    </row>
    <row r="293" spans="1:29" ht="18" hidden="1" customHeight="1">
      <c r="A293" s="9"/>
      <c r="B293" s="650" t="str">
        <f>B173</f>
        <v>T1</v>
      </c>
      <c r="C293" s="651"/>
      <c r="D293" s="663" t="str">
        <f>D173</f>
        <v>Core1</v>
      </c>
      <c r="E293" s="664"/>
      <c r="F293" s="638">
        <f>F173</f>
        <v>0</v>
      </c>
      <c r="G293" s="638"/>
      <c r="H293" s="638" t="str">
        <f>H173</f>
        <v>(Diff. + Dist.)</v>
      </c>
      <c r="I293" s="638"/>
      <c r="J293" s="638"/>
      <c r="K293" s="638"/>
      <c r="L293" s="638"/>
      <c r="M293" s="638"/>
      <c r="P293" s="198"/>
      <c r="S293" s="199" t="s">
        <v>398</v>
      </c>
      <c r="T293" s="650" t="str">
        <f>T173</f>
        <v>RED670</v>
      </c>
      <c r="U293" s="651"/>
      <c r="V293" s="10"/>
    </row>
    <row r="294" spans="1:29" ht="18" hidden="1" customHeight="1">
      <c r="A294" s="9"/>
      <c r="B294" s="660">
        <f>B174</f>
        <v>0</v>
      </c>
      <c r="C294" s="660"/>
      <c r="D294" s="665"/>
      <c r="E294" s="666"/>
      <c r="F294" s="461"/>
      <c r="T294" s="650">
        <f>T174</f>
        <v>0</v>
      </c>
      <c r="U294" s="651"/>
      <c r="V294" s="10"/>
    </row>
    <row r="295" spans="1:29" ht="18" hidden="1" customHeight="1">
      <c r="A295" s="9"/>
      <c r="H295" s="661" t="s">
        <v>401</v>
      </c>
      <c r="I295" s="661"/>
      <c r="J295" s="701" t="s">
        <v>402</v>
      </c>
      <c r="K295" s="701"/>
      <c r="L295" s="662" t="s">
        <v>403</v>
      </c>
      <c r="M295" s="662"/>
      <c r="T295" s="650">
        <f>T175</f>
        <v>0</v>
      </c>
      <c r="U295" s="651"/>
      <c r="V295" s="10"/>
    </row>
    <row r="296" spans="1:29" ht="18" hidden="1" customHeight="1">
      <c r="A296" s="9"/>
      <c r="B296" s="47" t="s">
        <v>404</v>
      </c>
      <c r="H296" s="650">
        <f>H176</f>
        <v>2500</v>
      </c>
      <c r="I296" s="651"/>
      <c r="J296" s="650" t="str">
        <f>J176</f>
        <v>-</v>
      </c>
      <c r="K296" s="651"/>
      <c r="L296" s="652" t="str">
        <f>L176</f>
        <v>-</v>
      </c>
      <c r="M296" s="653"/>
      <c r="N296" s="123" t="s">
        <v>353</v>
      </c>
      <c r="O296" s="268">
        <f>O176</f>
        <v>1</v>
      </c>
      <c r="P296" s="438" t="s">
        <v>9</v>
      </c>
      <c r="V296" s="10"/>
    </row>
    <row r="297" spans="1:29" ht="18" hidden="1" customHeight="1">
      <c r="A297" s="9"/>
      <c r="B297" s="47" t="s">
        <v>405</v>
      </c>
      <c r="L297" s="650" t="str">
        <f>J177</f>
        <v>PX-A</v>
      </c>
      <c r="M297" s="651"/>
      <c r="V297" s="10"/>
    </row>
    <row r="298" spans="1:29" ht="18" hidden="1" customHeight="1">
      <c r="A298" s="9"/>
      <c r="B298" s="47" t="s">
        <v>407</v>
      </c>
      <c r="K298" s="120" t="s">
        <v>508</v>
      </c>
      <c r="L298" s="656" t="s">
        <v>7</v>
      </c>
      <c r="M298" s="657"/>
      <c r="N298" s="204" t="s">
        <v>344</v>
      </c>
      <c r="V298" s="10"/>
    </row>
    <row r="299" spans="1:29" ht="18" hidden="1" customHeight="1">
      <c r="A299" s="9"/>
      <c r="B299" s="47" t="s">
        <v>409</v>
      </c>
      <c r="K299" s="120" t="s">
        <v>509</v>
      </c>
      <c r="L299" s="656" t="s">
        <v>7</v>
      </c>
      <c r="M299" s="657"/>
      <c r="N299" s="14" t="s">
        <v>316</v>
      </c>
      <c r="V299" s="10"/>
      <c r="W299" s="30" t="s">
        <v>411</v>
      </c>
      <c r="AB299" s="996" t="e">
        <f>Q415</f>
        <v>#VALUE!</v>
      </c>
      <c r="AC299" s="997"/>
    </row>
    <row r="300" spans="1:29" ht="18" hidden="1" customHeight="1">
      <c r="A300" s="9"/>
      <c r="B300" s="14" t="s">
        <v>412</v>
      </c>
      <c r="K300" s="120" t="s">
        <v>413</v>
      </c>
      <c r="L300" s="656" t="s">
        <v>7</v>
      </c>
      <c r="M300" s="657"/>
      <c r="N300" s="14" t="s">
        <v>414</v>
      </c>
      <c r="V300" s="10"/>
    </row>
    <row r="301" spans="1:29" ht="18" hidden="1" customHeight="1">
      <c r="A301" s="9"/>
      <c r="V301" s="10"/>
    </row>
    <row r="302" spans="1:29" ht="18" hidden="1" customHeight="1">
      <c r="A302" s="116" t="s">
        <v>415</v>
      </c>
      <c r="V302" s="10"/>
    </row>
    <row r="303" spans="1:29" ht="18" hidden="1" customHeight="1">
      <c r="A303" s="9"/>
      <c r="V303" s="10"/>
    </row>
    <row r="304" spans="1:29" ht="18" hidden="1" customHeight="1">
      <c r="A304" s="9"/>
      <c r="B304" s="206" t="s">
        <v>416</v>
      </c>
      <c r="C304" s="207"/>
      <c r="D304" s="207" t="str">
        <f>T293</f>
        <v>RED670</v>
      </c>
      <c r="E304" s="436"/>
      <c r="F304" s="436"/>
      <c r="G304" s="436"/>
      <c r="H304" s="194" t="s">
        <v>417</v>
      </c>
      <c r="I304" s="195" t="s">
        <v>138</v>
      </c>
      <c r="J304" s="897">
        <f>J184</f>
        <v>0.02</v>
      </c>
      <c r="K304" s="1040"/>
      <c r="L304" s="214" t="s">
        <v>168</v>
      </c>
      <c r="N304" s="209" t="s">
        <v>418</v>
      </c>
      <c r="V304" s="10"/>
    </row>
    <row r="305" spans="1:22" ht="18" hidden="1" customHeight="1">
      <c r="A305" s="9"/>
      <c r="B305" s="196" t="s">
        <v>416</v>
      </c>
      <c r="D305" s="437">
        <f>T294</f>
        <v>0</v>
      </c>
      <c r="I305" s="28" t="s">
        <v>138</v>
      </c>
      <c r="J305" s="897">
        <f>J185</f>
        <v>0</v>
      </c>
      <c r="K305" s="1001"/>
      <c r="L305" s="309" t="s">
        <v>168</v>
      </c>
      <c r="V305" s="10"/>
    </row>
    <row r="306" spans="1:22" ht="18" hidden="1" customHeight="1">
      <c r="A306" s="9"/>
      <c r="B306" s="196" t="s">
        <v>416</v>
      </c>
      <c r="D306" s="437">
        <f>T295</f>
        <v>0</v>
      </c>
      <c r="E306" s="14"/>
      <c r="G306" s="211"/>
      <c r="H306" s="438"/>
      <c r="I306" s="101" t="s">
        <v>138</v>
      </c>
      <c r="J306" s="644">
        <f>J186</f>
        <v>0</v>
      </c>
      <c r="K306" s="1041"/>
      <c r="L306" s="439" t="s">
        <v>168</v>
      </c>
      <c r="N306" s="27" t="s">
        <v>419</v>
      </c>
      <c r="O306" s="27" t="s">
        <v>138</v>
      </c>
      <c r="P306" s="27" t="s">
        <v>420</v>
      </c>
      <c r="Q306" s="203" t="s">
        <v>421</v>
      </c>
      <c r="R306" s="27" t="s">
        <v>422</v>
      </c>
      <c r="S306" s="27" t="s">
        <v>326</v>
      </c>
      <c r="T306" s="27" t="s">
        <v>422</v>
      </c>
      <c r="U306" s="30" t="s">
        <v>361</v>
      </c>
      <c r="V306" s="10"/>
    </row>
    <row r="307" spans="1:22" ht="18" hidden="1" customHeight="1">
      <c r="A307" s="9"/>
      <c r="B307" s="196" t="s">
        <v>423</v>
      </c>
      <c r="H307" s="438"/>
      <c r="I307" s="440" t="s">
        <v>138</v>
      </c>
      <c r="J307" s="1042">
        <f>J187</f>
        <v>1.44186744</v>
      </c>
      <c r="K307" s="1043"/>
      <c r="L307" s="439" t="s">
        <v>168</v>
      </c>
      <c r="O307" s="27" t="s">
        <v>138</v>
      </c>
      <c r="P307" s="223">
        <f>J308</f>
        <v>1.44186744</v>
      </c>
      <c r="Q307" s="203" t="s">
        <v>421</v>
      </c>
      <c r="R307" s="27">
        <f>O296</f>
        <v>1</v>
      </c>
      <c r="S307" s="27" t="s">
        <v>326</v>
      </c>
      <c r="T307" s="27">
        <f>O296</f>
        <v>1</v>
      </c>
      <c r="U307" s="30" t="s">
        <v>361</v>
      </c>
      <c r="V307" s="10"/>
    </row>
    <row r="308" spans="1:22" ht="18" hidden="1" customHeight="1">
      <c r="A308" s="9"/>
      <c r="B308" s="217" t="s">
        <v>424</v>
      </c>
      <c r="C308" s="218"/>
      <c r="D308" s="218"/>
      <c r="E308" s="218"/>
      <c r="F308" s="359"/>
      <c r="G308" s="359"/>
      <c r="H308" s="202" t="s">
        <v>420</v>
      </c>
      <c r="I308" s="220" t="s">
        <v>138</v>
      </c>
      <c r="J308" s="897">
        <f>SUM(J305:K307)</f>
        <v>1.44186744</v>
      </c>
      <c r="K308" s="1001"/>
      <c r="L308" s="441" t="s">
        <v>168</v>
      </c>
      <c r="O308" s="27" t="s">
        <v>138</v>
      </c>
      <c r="P308" s="637">
        <f>P307/(R307*T307)</f>
        <v>1.44186744</v>
      </c>
      <c r="Q308" s="637"/>
      <c r="R308" s="204" t="s">
        <v>344</v>
      </c>
      <c r="V308" s="10"/>
    </row>
    <row r="309" spans="1:22" ht="18" hidden="1" customHeight="1">
      <c r="A309" s="9"/>
      <c r="V309" s="10"/>
    </row>
    <row r="310" spans="1:22" ht="18" hidden="1" customHeight="1">
      <c r="A310" s="116" t="s">
        <v>425</v>
      </c>
      <c r="V310" s="10"/>
    </row>
    <row r="311" spans="1:22" ht="18" hidden="1" customHeight="1">
      <c r="A311" s="1002" t="s">
        <v>510</v>
      </c>
      <c r="B311" s="1003"/>
      <c r="C311" s="1003"/>
      <c r="D311" s="1003"/>
      <c r="E311" s="1003"/>
      <c r="F311" s="1003"/>
      <c r="G311" s="1003"/>
      <c r="H311" s="1003"/>
      <c r="I311" s="1003"/>
      <c r="J311" s="1003"/>
      <c r="K311" s="1003"/>
      <c r="L311" s="1003"/>
      <c r="M311" s="1003"/>
      <c r="N311" s="1003"/>
      <c r="O311" s="1003"/>
      <c r="P311" s="1003"/>
      <c r="Q311" s="1003"/>
      <c r="R311" s="1003"/>
      <c r="S311" s="1003"/>
      <c r="T311" s="1003"/>
      <c r="U311" s="1003"/>
      <c r="V311" s="1004"/>
    </row>
    <row r="312" spans="1:22" ht="18" hidden="1" customHeight="1">
      <c r="A312" s="1002"/>
      <c r="B312" s="1003"/>
      <c r="C312" s="1003"/>
      <c r="D312" s="1003"/>
      <c r="E312" s="1003"/>
      <c r="F312" s="1003"/>
      <c r="G312" s="1003"/>
      <c r="H312" s="1003"/>
      <c r="I312" s="1003"/>
      <c r="J312" s="1003"/>
      <c r="K312" s="1003"/>
      <c r="L312" s="1003"/>
      <c r="M312" s="1003"/>
      <c r="N312" s="1003"/>
      <c r="O312" s="1003"/>
      <c r="P312" s="1003"/>
      <c r="Q312" s="1003"/>
      <c r="R312" s="1003"/>
      <c r="S312" s="1003"/>
      <c r="T312" s="1003"/>
      <c r="U312" s="1003"/>
      <c r="V312" s="1004"/>
    </row>
    <row r="313" spans="1:22" ht="18" hidden="1" customHeight="1">
      <c r="A313" s="205" t="s">
        <v>427</v>
      </c>
      <c r="V313" s="10"/>
    </row>
    <row r="314" spans="1:22" ht="18" hidden="1" customHeight="1">
      <c r="A314" s="1006" t="s">
        <v>428</v>
      </c>
      <c r="B314" s="956"/>
      <c r="C314" s="956"/>
      <c r="D314" s="14"/>
      <c r="E314" s="7"/>
      <c r="F314" s="1008" t="s">
        <v>429</v>
      </c>
      <c r="G314" s="887"/>
      <c r="H314" s="638" t="s">
        <v>326</v>
      </c>
      <c r="I314" s="661" t="s">
        <v>422</v>
      </c>
      <c r="J314" s="957"/>
      <c r="K314" s="638" t="s">
        <v>326</v>
      </c>
      <c r="L314" s="1008" t="s">
        <v>430</v>
      </c>
      <c r="M314" s="638" t="s">
        <v>431</v>
      </c>
      <c r="N314" s="958" t="s">
        <v>358</v>
      </c>
      <c r="O314" s="638" t="s">
        <v>419</v>
      </c>
      <c r="P314" s="638" t="s">
        <v>358</v>
      </c>
      <c r="Q314" s="953" t="s">
        <v>432</v>
      </c>
      <c r="R314" s="1005"/>
      <c r="S314" s="1005"/>
      <c r="T314" s="952" t="s">
        <v>361</v>
      </c>
      <c r="U314" s="242" t="s">
        <v>433</v>
      </c>
      <c r="V314" s="112"/>
    </row>
    <row r="315" spans="1:22" ht="18" hidden="1" customHeight="1">
      <c r="A315" s="1007"/>
      <c r="B315" s="956"/>
      <c r="C315" s="956"/>
      <c r="D315" s="14"/>
      <c r="E315" s="7"/>
      <c r="F315" s="887"/>
      <c r="G315" s="887"/>
      <c r="H315" s="638"/>
      <c r="I315" s="638" t="s">
        <v>434</v>
      </c>
      <c r="J315" s="887"/>
      <c r="K315" s="638"/>
      <c r="L315" s="1008"/>
      <c r="M315" s="638"/>
      <c r="N315" s="958"/>
      <c r="O315" s="638"/>
      <c r="P315" s="638"/>
      <c r="Q315" s="28" t="s">
        <v>157</v>
      </c>
      <c r="R315" s="28" t="s">
        <v>326</v>
      </c>
      <c r="S315" s="28" t="s">
        <v>157</v>
      </c>
      <c r="T315" s="952"/>
      <c r="U315" s="7"/>
      <c r="V315" s="112"/>
    </row>
    <row r="316" spans="1:22" ht="18" hidden="1" customHeight="1">
      <c r="A316" s="205" t="s">
        <v>435</v>
      </c>
      <c r="L316" s="442"/>
      <c r="M316" s="438"/>
      <c r="N316" s="438"/>
      <c r="O316" s="438"/>
      <c r="V316" s="10"/>
    </row>
    <row r="317" spans="1:22" ht="18" hidden="1" customHeight="1">
      <c r="A317" s="1006" t="s">
        <v>428</v>
      </c>
      <c r="B317" s="956"/>
      <c r="C317" s="956"/>
      <c r="D317" s="638">
        <v>2</v>
      </c>
      <c r="E317" s="638" t="s">
        <v>326</v>
      </c>
      <c r="F317" s="1008" t="s">
        <v>436</v>
      </c>
      <c r="G317" s="887"/>
      <c r="H317" s="638" t="s">
        <v>326</v>
      </c>
      <c r="I317" s="661" t="s">
        <v>422</v>
      </c>
      <c r="J317" s="957"/>
      <c r="K317" s="638" t="s">
        <v>326</v>
      </c>
      <c r="L317" s="1008" t="s">
        <v>430</v>
      </c>
      <c r="M317" s="638" t="s">
        <v>431</v>
      </c>
      <c r="N317" s="958" t="s">
        <v>358</v>
      </c>
      <c r="O317" s="638" t="s">
        <v>419</v>
      </c>
      <c r="P317" s="638" t="s">
        <v>358</v>
      </c>
      <c r="Q317" s="953" t="s">
        <v>432</v>
      </c>
      <c r="R317" s="1005"/>
      <c r="S317" s="1005"/>
      <c r="T317" s="952" t="s">
        <v>361</v>
      </c>
      <c r="U317" s="242" t="s">
        <v>437</v>
      </c>
      <c r="V317" s="112"/>
    </row>
    <row r="318" spans="1:22" ht="18" hidden="1" customHeight="1">
      <c r="A318" s="1007"/>
      <c r="B318" s="956"/>
      <c r="C318" s="956"/>
      <c r="D318" s="638"/>
      <c r="E318" s="638"/>
      <c r="F318" s="887"/>
      <c r="G318" s="887"/>
      <c r="H318" s="638"/>
      <c r="I318" s="638" t="s">
        <v>434</v>
      </c>
      <c r="J318" s="887"/>
      <c r="K318" s="638"/>
      <c r="L318" s="1008"/>
      <c r="M318" s="638"/>
      <c r="N318" s="958"/>
      <c r="O318" s="638"/>
      <c r="P318" s="638"/>
      <c r="Q318" s="28" t="s">
        <v>157</v>
      </c>
      <c r="R318" s="28" t="s">
        <v>326</v>
      </c>
      <c r="S318" s="28" t="s">
        <v>157</v>
      </c>
      <c r="T318" s="952"/>
      <c r="U318" s="7"/>
      <c r="V318" s="112"/>
    </row>
    <row r="319" spans="1:22" ht="18" hidden="1" customHeight="1">
      <c r="A319" s="9"/>
      <c r="V319" s="10"/>
    </row>
    <row r="320" spans="1:22" ht="18" hidden="1" customHeight="1">
      <c r="A320" s="9"/>
      <c r="B320" s="14" t="s">
        <v>438</v>
      </c>
      <c r="C320" s="14"/>
      <c r="D320" s="103"/>
      <c r="E320" s="103"/>
      <c r="F320" s="14"/>
      <c r="G320" s="14"/>
      <c r="H320" s="5"/>
      <c r="I320" s="5"/>
      <c r="J320" s="5"/>
      <c r="P320" s="120" t="s">
        <v>439</v>
      </c>
      <c r="V320" s="10"/>
    </row>
    <row r="321" spans="1:22" ht="18" hidden="1" customHeight="1">
      <c r="A321" s="9"/>
      <c r="B321" s="14" t="s">
        <v>440</v>
      </c>
      <c r="C321" s="14"/>
      <c r="D321" s="103"/>
      <c r="E321" s="103"/>
      <c r="F321" s="14"/>
      <c r="G321" s="14"/>
      <c r="H321" s="5"/>
      <c r="I321" s="5"/>
      <c r="J321" s="5"/>
      <c r="P321" s="120" t="s">
        <v>441</v>
      </c>
      <c r="Q321" s="246" t="s">
        <v>138</v>
      </c>
      <c r="R321" s="639" t="str">
        <f>L296</f>
        <v>-</v>
      </c>
      <c r="S321" s="639"/>
      <c r="T321" s="14" t="s">
        <v>9</v>
      </c>
      <c r="V321" s="10"/>
    </row>
    <row r="322" spans="1:22" ht="18" hidden="1" customHeight="1">
      <c r="A322" s="9"/>
      <c r="B322" s="14" t="s">
        <v>442</v>
      </c>
      <c r="C322" s="14"/>
      <c r="D322" s="14"/>
      <c r="E322" s="14"/>
      <c r="F322" s="14"/>
      <c r="G322" s="14"/>
      <c r="H322" s="14"/>
      <c r="I322" s="14"/>
      <c r="J322" s="14"/>
      <c r="P322" s="120" t="s">
        <v>429</v>
      </c>
      <c r="Q322" s="246" t="s">
        <v>138</v>
      </c>
      <c r="R322" s="639">
        <f>R202</f>
        <v>40000</v>
      </c>
      <c r="S322" s="639"/>
      <c r="T322" s="14" t="s">
        <v>9</v>
      </c>
      <c r="V322" s="10"/>
    </row>
    <row r="323" spans="1:22" ht="18" hidden="1" customHeight="1">
      <c r="A323" s="9"/>
      <c r="B323" s="14" t="s">
        <v>443</v>
      </c>
      <c r="C323" s="14"/>
      <c r="D323" s="14"/>
      <c r="E323" s="14"/>
      <c r="F323" s="14"/>
      <c r="G323" s="14"/>
      <c r="H323" s="14"/>
      <c r="I323" s="14"/>
      <c r="J323" s="14"/>
      <c r="P323" s="120" t="s">
        <v>436</v>
      </c>
      <c r="Q323" s="246" t="s">
        <v>138</v>
      </c>
      <c r="R323" s="873">
        <f>R203</f>
        <v>19625.768379858539</v>
      </c>
      <c r="S323" s="639"/>
      <c r="T323" s="14" t="s">
        <v>9</v>
      </c>
      <c r="U323" s="30" t="s">
        <v>444</v>
      </c>
      <c r="V323" s="10"/>
    </row>
    <row r="324" spans="1:22" ht="18" hidden="1" customHeight="1">
      <c r="A324" s="9"/>
      <c r="B324" s="14"/>
      <c r="C324" s="14"/>
      <c r="D324" s="14"/>
      <c r="E324" s="14"/>
      <c r="F324" s="14"/>
      <c r="G324" s="14"/>
      <c r="H324" s="14"/>
      <c r="I324" s="14"/>
      <c r="J324" s="14"/>
      <c r="P324" s="120"/>
      <c r="Q324" s="246" t="s">
        <v>138</v>
      </c>
      <c r="R324" s="873">
        <f>R204</f>
        <v>21361.580727736164</v>
      </c>
      <c r="S324" s="639"/>
      <c r="T324" s="14" t="s">
        <v>9</v>
      </c>
      <c r="U324" s="30" t="s">
        <v>445</v>
      </c>
      <c r="V324" s="10"/>
    </row>
    <row r="325" spans="1:22" ht="18" hidden="1" customHeight="1">
      <c r="A325" s="9"/>
      <c r="B325" s="14" t="s">
        <v>446</v>
      </c>
      <c r="C325" s="14"/>
      <c r="D325" s="103"/>
      <c r="E325" s="103"/>
      <c r="F325" s="14"/>
      <c r="G325" s="14"/>
      <c r="H325" s="5"/>
      <c r="I325" s="5"/>
      <c r="J325" s="5"/>
      <c r="P325" s="120" t="s">
        <v>447</v>
      </c>
      <c r="Q325" s="246" t="s">
        <v>138</v>
      </c>
      <c r="R325" s="639">
        <f>R205</f>
        <v>1</v>
      </c>
      <c r="S325" s="639"/>
      <c r="T325" s="14" t="s">
        <v>9</v>
      </c>
      <c r="V325" s="10"/>
    </row>
    <row r="326" spans="1:22" ht="18" hidden="1" customHeight="1">
      <c r="A326" s="9"/>
      <c r="B326" s="14" t="s">
        <v>448</v>
      </c>
      <c r="C326" s="14"/>
      <c r="D326" s="103"/>
      <c r="E326" s="103"/>
      <c r="F326" s="14"/>
      <c r="G326" s="14"/>
      <c r="H326" s="5"/>
      <c r="I326" s="5"/>
      <c r="J326" s="5"/>
      <c r="P326" s="120" t="s">
        <v>449</v>
      </c>
      <c r="Q326" s="246" t="s">
        <v>138</v>
      </c>
      <c r="R326" s="639">
        <f>R206</f>
        <v>1</v>
      </c>
      <c r="S326" s="639"/>
      <c r="T326" s="14" t="s">
        <v>9</v>
      </c>
      <c r="V326" s="10"/>
    </row>
    <row r="327" spans="1:22" ht="18" hidden="1" customHeight="1">
      <c r="A327" s="9"/>
      <c r="B327" s="14" t="s">
        <v>450</v>
      </c>
      <c r="C327" s="14"/>
      <c r="D327" s="103"/>
      <c r="E327" s="103"/>
      <c r="F327" s="14"/>
      <c r="G327" s="14"/>
      <c r="H327" s="5"/>
      <c r="I327" s="5"/>
      <c r="J327" s="5"/>
      <c r="P327" s="120" t="s">
        <v>451</v>
      </c>
      <c r="Q327" s="246" t="s">
        <v>138</v>
      </c>
      <c r="R327" s="639" t="str">
        <f>L298</f>
        <v>-</v>
      </c>
      <c r="S327" s="639"/>
      <c r="T327" s="204" t="s">
        <v>344</v>
      </c>
      <c r="V327" s="10"/>
    </row>
    <row r="328" spans="1:22" ht="18" hidden="1" customHeight="1">
      <c r="A328" s="9"/>
      <c r="B328" s="14" t="s">
        <v>164</v>
      </c>
      <c r="C328" s="14"/>
      <c r="D328" s="14"/>
      <c r="E328" s="14"/>
      <c r="F328" s="14"/>
      <c r="G328" s="14"/>
      <c r="H328" s="14"/>
      <c r="I328" s="14"/>
      <c r="J328" s="14"/>
      <c r="P328" s="249" t="s">
        <v>452</v>
      </c>
      <c r="Q328" s="246" t="s">
        <v>138</v>
      </c>
      <c r="R328" s="637">
        <f>R208</f>
        <v>1.46186744</v>
      </c>
      <c r="S328" s="639"/>
      <c r="T328" s="204" t="s">
        <v>344</v>
      </c>
      <c r="V328" s="10"/>
    </row>
    <row r="329" spans="1:22" ht="18" hidden="1" customHeight="1">
      <c r="A329" s="9"/>
      <c r="B329" s="40" t="s">
        <v>453</v>
      </c>
      <c r="C329" s="14"/>
      <c r="D329" s="14"/>
      <c r="E329" s="14"/>
      <c r="F329" s="14"/>
      <c r="G329" s="14"/>
      <c r="H329" s="5"/>
      <c r="I329" s="5"/>
      <c r="J329" s="5"/>
      <c r="P329" s="249" t="s">
        <v>454</v>
      </c>
      <c r="Q329" s="246" t="s">
        <v>138</v>
      </c>
      <c r="R329" s="637">
        <f>R209</f>
        <v>0.02</v>
      </c>
      <c r="S329" s="639"/>
      <c r="T329" s="14" t="s">
        <v>168</v>
      </c>
      <c r="V329" s="10"/>
    </row>
    <row r="330" spans="1:22" ht="18" hidden="1" customHeight="1">
      <c r="A330" s="9"/>
      <c r="B330" s="40"/>
      <c r="C330" s="14"/>
      <c r="D330" s="14"/>
      <c r="E330" s="14"/>
      <c r="F330" s="14"/>
      <c r="G330" s="14"/>
      <c r="H330" s="5"/>
      <c r="I330" s="5"/>
      <c r="J330" s="5"/>
      <c r="P330" s="249"/>
      <c r="Q330" s="246"/>
      <c r="R330" s="223"/>
      <c r="S330" s="27"/>
      <c r="T330" s="14"/>
      <c r="V330" s="10"/>
    </row>
    <row r="331" spans="1:22" ht="18" hidden="1" customHeight="1">
      <c r="A331" s="9"/>
      <c r="B331" s="40"/>
      <c r="C331" s="14"/>
      <c r="D331" s="14"/>
      <c r="E331" s="14"/>
      <c r="F331" s="14"/>
      <c r="G331" s="14"/>
      <c r="H331" s="5"/>
      <c r="I331" s="5"/>
      <c r="J331" s="5"/>
      <c r="P331" s="249"/>
      <c r="Q331" s="246"/>
      <c r="R331" s="223"/>
      <c r="S331" s="27"/>
      <c r="T331" s="14"/>
      <c r="V331" s="10"/>
    </row>
    <row r="332" spans="1:22" ht="18" hidden="1" customHeight="1">
      <c r="A332" s="9"/>
      <c r="B332" s="40"/>
      <c r="C332" s="14"/>
      <c r="D332" s="14"/>
      <c r="E332" s="14"/>
      <c r="F332" s="14"/>
      <c r="G332" s="14"/>
      <c r="H332" s="5"/>
      <c r="I332" s="5"/>
      <c r="J332" s="5"/>
      <c r="P332" s="249"/>
      <c r="Q332" s="246"/>
      <c r="R332" s="223"/>
      <c r="S332" s="27"/>
      <c r="T332" s="14"/>
      <c r="V332" s="10"/>
    </row>
    <row r="333" spans="1:22" ht="18" hidden="1" customHeight="1">
      <c r="A333" s="9"/>
      <c r="B333" s="40"/>
      <c r="C333" s="14"/>
      <c r="D333" s="14"/>
      <c r="E333" s="14"/>
      <c r="F333" s="14"/>
      <c r="G333" s="14"/>
      <c r="H333" s="5"/>
      <c r="I333" s="5"/>
      <c r="J333" s="5"/>
      <c r="P333" s="249"/>
      <c r="Q333" s="246"/>
      <c r="R333" s="223"/>
      <c r="S333" s="27"/>
      <c r="T333" s="14"/>
      <c r="V333" s="10"/>
    </row>
    <row r="334" spans="1:22" ht="18" hidden="1" customHeight="1">
      <c r="A334" s="9"/>
      <c r="B334" s="40"/>
      <c r="C334" s="14"/>
      <c r="D334" s="14"/>
      <c r="E334" s="14"/>
      <c r="F334" s="14"/>
      <c r="G334" s="14"/>
      <c r="H334" s="5"/>
      <c r="I334" s="5"/>
      <c r="J334" s="5"/>
      <c r="P334" s="249"/>
      <c r="Q334" s="246"/>
      <c r="R334" s="223"/>
      <c r="S334" s="27"/>
      <c r="T334" s="14"/>
      <c r="V334" s="10"/>
    </row>
    <row r="335" spans="1:22" s="7" customFormat="1" ht="18" hidden="1" customHeight="1">
      <c r="A335" s="395"/>
      <c r="B335" s="20"/>
      <c r="C335" s="20"/>
      <c r="D335" s="20"/>
      <c r="E335" s="20"/>
      <c r="F335" s="20"/>
      <c r="G335" s="20"/>
      <c r="H335" s="20"/>
      <c r="I335" s="20"/>
      <c r="J335" s="20"/>
      <c r="K335" s="20"/>
      <c r="L335" s="20"/>
      <c r="M335" s="20"/>
      <c r="N335" s="20"/>
      <c r="O335" s="20"/>
      <c r="P335" s="20"/>
      <c r="Q335" s="21"/>
      <c r="R335" s="22"/>
      <c r="S335" s="23"/>
      <c r="T335" s="20"/>
      <c r="U335" s="20"/>
      <c r="V335" s="140"/>
    </row>
    <row r="336" spans="1:22" ht="18" hidden="1" customHeight="1">
      <c r="A336" s="396" t="s">
        <v>427</v>
      </c>
      <c r="B336" s="397"/>
      <c r="C336" s="397"/>
      <c r="D336" s="397"/>
      <c r="E336" s="397"/>
      <c r="F336" s="397"/>
      <c r="G336" s="397"/>
      <c r="H336" s="397"/>
      <c r="I336" s="397"/>
      <c r="J336" s="397"/>
      <c r="K336" s="397"/>
      <c r="L336" s="397"/>
      <c r="M336" s="397"/>
      <c r="N336" s="397"/>
      <c r="O336" s="397"/>
      <c r="P336" s="397"/>
      <c r="Q336" s="397"/>
      <c r="R336" s="397"/>
      <c r="S336" s="397"/>
      <c r="T336" s="397"/>
      <c r="U336" s="397"/>
      <c r="V336" s="408"/>
    </row>
    <row r="337" spans="1:22" ht="18" hidden="1" customHeight="1">
      <c r="A337" s="1006" t="s">
        <v>428</v>
      </c>
      <c r="B337" s="956"/>
      <c r="C337" s="956"/>
      <c r="D337" s="14"/>
      <c r="E337" s="7"/>
      <c r="F337" s="1011">
        <f>R322</f>
        <v>40000</v>
      </c>
      <c r="G337" s="1015"/>
      <c r="H337" s="861" t="s">
        <v>326</v>
      </c>
      <c r="I337" s="1013">
        <f>R325</f>
        <v>1</v>
      </c>
      <c r="J337" s="1014"/>
      <c r="K337" s="861" t="s">
        <v>326</v>
      </c>
      <c r="L337" s="1011" t="s">
        <v>430</v>
      </c>
      <c r="M337" s="968" t="str">
        <f>R327</f>
        <v>-</v>
      </c>
      <c r="N337" s="1017" t="s">
        <v>358</v>
      </c>
      <c r="O337" s="1018">
        <f>R328</f>
        <v>1.46186744</v>
      </c>
      <c r="P337" s="861" t="s">
        <v>358</v>
      </c>
      <c r="Q337" s="1010">
        <f>R329</f>
        <v>0.02</v>
      </c>
      <c r="R337" s="1010"/>
      <c r="S337" s="1010"/>
      <c r="T337" s="952" t="s">
        <v>361</v>
      </c>
      <c r="U337" s="242" t="s">
        <v>433</v>
      </c>
      <c r="V337" s="112"/>
    </row>
    <row r="338" spans="1:22" ht="18" hidden="1" customHeight="1">
      <c r="A338" s="1007"/>
      <c r="B338" s="956"/>
      <c r="C338" s="956"/>
      <c r="D338" s="14"/>
      <c r="E338" s="7"/>
      <c r="F338" s="1015"/>
      <c r="G338" s="1015"/>
      <c r="H338" s="861"/>
      <c r="I338" s="861" t="str">
        <f>R321</f>
        <v>-</v>
      </c>
      <c r="J338" s="1015"/>
      <c r="K338" s="861"/>
      <c r="L338" s="1011"/>
      <c r="M338" s="968"/>
      <c r="N338" s="1017"/>
      <c r="O338" s="968"/>
      <c r="P338" s="861"/>
      <c r="Q338" s="233">
        <f>R326</f>
        <v>1</v>
      </c>
      <c r="R338" s="233" t="s">
        <v>326</v>
      </c>
      <c r="S338" s="233">
        <f>R326</f>
        <v>1</v>
      </c>
      <c r="T338" s="952"/>
      <c r="U338" s="7"/>
      <c r="V338" s="112"/>
    </row>
    <row r="339" spans="1:22" ht="18" hidden="1" customHeight="1">
      <c r="A339" s="9"/>
      <c r="L339" s="442"/>
      <c r="V339" s="10"/>
    </row>
    <row r="340" spans="1:22" ht="18" hidden="1" customHeight="1">
      <c r="A340" s="9"/>
      <c r="C340" s="27" t="s">
        <v>138</v>
      </c>
      <c r="D340" s="798" t="e">
        <f>F337*(I337/I338)*(M337+O337+(Q337/(Q338*S338)))</f>
        <v>#VALUE!</v>
      </c>
      <c r="E340" s="799"/>
      <c r="F340" s="27" t="s">
        <v>316</v>
      </c>
      <c r="L340" s="442"/>
      <c r="V340" s="10"/>
    </row>
    <row r="341" spans="1:22" ht="18" hidden="1" customHeight="1">
      <c r="A341" s="9"/>
      <c r="L341" s="442"/>
      <c r="V341" s="10"/>
    </row>
    <row r="342" spans="1:22" ht="18" hidden="1" customHeight="1">
      <c r="A342" s="205" t="s">
        <v>455</v>
      </c>
      <c r="L342" s="442"/>
      <c r="V342" s="10"/>
    </row>
    <row r="343" spans="1:22" ht="18" hidden="1" customHeight="1">
      <c r="A343" s="1006" t="s">
        <v>428</v>
      </c>
      <c r="B343" s="956"/>
      <c r="C343" s="956"/>
      <c r="D343" s="861">
        <v>2</v>
      </c>
      <c r="E343" s="861" t="s">
        <v>326</v>
      </c>
      <c r="F343" s="1016">
        <f>R323</f>
        <v>19625.768379858539</v>
      </c>
      <c r="G343" s="1015"/>
      <c r="H343" s="861" t="s">
        <v>326</v>
      </c>
      <c r="I343" s="1013">
        <f>R325</f>
        <v>1</v>
      </c>
      <c r="J343" s="1014"/>
      <c r="K343" s="861" t="s">
        <v>326</v>
      </c>
      <c r="L343" s="1011" t="s">
        <v>430</v>
      </c>
      <c r="M343" s="968" t="str">
        <f>R327</f>
        <v>-</v>
      </c>
      <c r="N343" s="1017" t="s">
        <v>358</v>
      </c>
      <c r="O343" s="1018">
        <f>R328</f>
        <v>1.46186744</v>
      </c>
      <c r="P343" s="861" t="s">
        <v>358</v>
      </c>
      <c r="Q343" s="1010">
        <f>Q337</f>
        <v>0.02</v>
      </c>
      <c r="R343" s="1010"/>
      <c r="S343" s="1010"/>
      <c r="T343" s="952" t="s">
        <v>361</v>
      </c>
      <c r="U343" s="242" t="s">
        <v>437</v>
      </c>
      <c r="V343" s="112"/>
    </row>
    <row r="344" spans="1:22" ht="18" hidden="1" customHeight="1">
      <c r="A344" s="1007"/>
      <c r="B344" s="956"/>
      <c r="C344" s="956"/>
      <c r="D344" s="861"/>
      <c r="E344" s="861"/>
      <c r="F344" s="1015"/>
      <c r="G344" s="1015"/>
      <c r="H344" s="861"/>
      <c r="I344" s="861" t="str">
        <f>R321</f>
        <v>-</v>
      </c>
      <c r="J344" s="1015"/>
      <c r="K344" s="861"/>
      <c r="L344" s="1011"/>
      <c r="M344" s="968"/>
      <c r="N344" s="1017"/>
      <c r="O344" s="968"/>
      <c r="P344" s="861"/>
      <c r="Q344" s="233">
        <f>R326</f>
        <v>1</v>
      </c>
      <c r="R344" s="233" t="s">
        <v>326</v>
      </c>
      <c r="S344" s="233">
        <f>R326</f>
        <v>1</v>
      </c>
      <c r="T344" s="952"/>
      <c r="U344" s="7"/>
      <c r="V344" s="112"/>
    </row>
    <row r="345" spans="1:22" ht="18" hidden="1" customHeight="1">
      <c r="A345" s="9"/>
      <c r="L345" s="442"/>
      <c r="V345" s="10"/>
    </row>
    <row r="346" spans="1:22" ht="18" hidden="1" customHeight="1">
      <c r="A346" s="9"/>
      <c r="C346" s="27" t="s">
        <v>138</v>
      </c>
      <c r="D346" s="798" t="e">
        <f>D343*F343*(I343/I344)*(M343+O343+(Q343/(Q344*S344)))</f>
        <v>#VALUE!</v>
      </c>
      <c r="E346" s="799"/>
      <c r="F346" s="27" t="s">
        <v>316</v>
      </c>
      <c r="L346" s="442"/>
      <c r="V346" s="10"/>
    </row>
    <row r="347" spans="1:22" ht="18" hidden="1" customHeight="1">
      <c r="A347" s="9"/>
      <c r="L347" s="442"/>
      <c r="V347" s="10"/>
    </row>
    <row r="348" spans="1:22" ht="18" hidden="1" customHeight="1">
      <c r="A348" s="205" t="s">
        <v>456</v>
      </c>
      <c r="L348" s="442"/>
      <c r="V348" s="10"/>
    </row>
    <row r="349" spans="1:22" ht="18" hidden="1" customHeight="1">
      <c r="A349" s="1006" t="s">
        <v>428</v>
      </c>
      <c r="B349" s="956"/>
      <c r="C349" s="956"/>
      <c r="D349" s="861">
        <v>2</v>
      </c>
      <c r="E349" s="861" t="s">
        <v>326</v>
      </c>
      <c r="F349" s="1016">
        <f>R324</f>
        <v>21361.580727736164</v>
      </c>
      <c r="G349" s="1015"/>
      <c r="H349" s="861" t="s">
        <v>326</v>
      </c>
      <c r="I349" s="1013">
        <f>R325</f>
        <v>1</v>
      </c>
      <c r="J349" s="1014"/>
      <c r="K349" s="861" t="s">
        <v>326</v>
      </c>
      <c r="L349" s="1011" t="s">
        <v>430</v>
      </c>
      <c r="M349" s="968" t="str">
        <f>R327</f>
        <v>-</v>
      </c>
      <c r="N349" s="1017" t="s">
        <v>358</v>
      </c>
      <c r="O349" s="1018">
        <f>R328</f>
        <v>1.46186744</v>
      </c>
      <c r="P349" s="861" t="s">
        <v>358</v>
      </c>
      <c r="Q349" s="1010">
        <f>R329</f>
        <v>0.02</v>
      </c>
      <c r="R349" s="1010"/>
      <c r="S349" s="1010"/>
      <c r="T349" s="952" t="s">
        <v>361</v>
      </c>
      <c r="U349" s="242" t="s">
        <v>437</v>
      </c>
      <c r="V349" s="112"/>
    </row>
    <row r="350" spans="1:22" ht="18" hidden="1" customHeight="1">
      <c r="A350" s="1007"/>
      <c r="B350" s="956"/>
      <c r="C350" s="956"/>
      <c r="D350" s="861"/>
      <c r="E350" s="861"/>
      <c r="F350" s="1015"/>
      <c r="G350" s="1015"/>
      <c r="H350" s="861"/>
      <c r="I350" s="861" t="str">
        <f>R321</f>
        <v>-</v>
      </c>
      <c r="J350" s="1015"/>
      <c r="K350" s="861"/>
      <c r="L350" s="1011"/>
      <c r="M350" s="968"/>
      <c r="N350" s="1017"/>
      <c r="O350" s="968"/>
      <c r="P350" s="861"/>
      <c r="Q350" s="233">
        <f>R326</f>
        <v>1</v>
      </c>
      <c r="R350" s="233" t="s">
        <v>326</v>
      </c>
      <c r="S350" s="233">
        <f>R326</f>
        <v>1</v>
      </c>
      <c r="T350" s="952"/>
      <c r="U350" s="7"/>
      <c r="V350" s="112"/>
    </row>
    <row r="351" spans="1:22" ht="18" hidden="1" customHeight="1">
      <c r="A351" s="9"/>
      <c r="V351" s="10"/>
    </row>
    <row r="352" spans="1:22" ht="18" hidden="1" customHeight="1">
      <c r="A352" s="9"/>
      <c r="C352" s="27" t="s">
        <v>138</v>
      </c>
      <c r="D352" s="798" t="e">
        <f>D349*F349*(I349/I350)*(M349+O349+(Q349/(Q350*S350)))</f>
        <v>#VALUE!</v>
      </c>
      <c r="E352" s="799"/>
      <c r="F352" s="27" t="s">
        <v>316</v>
      </c>
      <c r="V352" s="10"/>
    </row>
    <row r="353" spans="1:22" ht="18" hidden="1" customHeight="1">
      <c r="A353" s="9"/>
      <c r="V353" s="10"/>
    </row>
    <row r="354" spans="1:22" ht="18" hidden="1" customHeight="1">
      <c r="A354" s="116" t="s">
        <v>457</v>
      </c>
      <c r="V354" s="10"/>
    </row>
    <row r="355" spans="1:22" ht="18" hidden="1" customHeight="1">
      <c r="A355" s="1002" t="s">
        <v>510</v>
      </c>
      <c r="B355" s="1003"/>
      <c r="C355" s="1003"/>
      <c r="D355" s="1003"/>
      <c r="E355" s="1003"/>
      <c r="F355" s="1003"/>
      <c r="G355" s="1003"/>
      <c r="H355" s="1003"/>
      <c r="I355" s="1003"/>
      <c r="J355" s="1003"/>
      <c r="K355" s="1003"/>
      <c r="L355" s="1003"/>
      <c r="M355" s="1003"/>
      <c r="N355" s="1003"/>
      <c r="O355" s="1003"/>
      <c r="P355" s="1003"/>
      <c r="Q355" s="1003"/>
      <c r="R355" s="1003"/>
      <c r="S355" s="1003"/>
      <c r="T355" s="1003"/>
      <c r="U355" s="1003"/>
      <c r="V355" s="1004"/>
    </row>
    <row r="356" spans="1:22" ht="18" hidden="1" customHeight="1">
      <c r="A356" s="1002"/>
      <c r="B356" s="1003"/>
      <c r="C356" s="1003"/>
      <c r="D356" s="1003"/>
      <c r="E356" s="1003"/>
      <c r="F356" s="1003"/>
      <c r="G356" s="1003"/>
      <c r="H356" s="1003"/>
      <c r="I356" s="1003"/>
      <c r="J356" s="1003"/>
      <c r="K356" s="1003"/>
      <c r="L356" s="1003"/>
      <c r="M356" s="1003"/>
      <c r="N356" s="1003"/>
      <c r="O356" s="1003"/>
      <c r="P356" s="1003"/>
      <c r="Q356" s="1003"/>
      <c r="R356" s="1003"/>
      <c r="S356" s="1003"/>
      <c r="T356" s="1003"/>
      <c r="U356" s="1003"/>
      <c r="V356" s="1004"/>
    </row>
    <row r="357" spans="1:22" ht="18" hidden="1" customHeight="1">
      <c r="A357" s="205" t="s">
        <v>427</v>
      </c>
      <c r="V357" s="10"/>
    </row>
    <row r="358" spans="1:22" ht="18" hidden="1" customHeight="1">
      <c r="A358" s="1006" t="s">
        <v>428</v>
      </c>
      <c r="B358" s="956"/>
      <c r="C358" s="956"/>
      <c r="D358" s="1008" t="s">
        <v>429</v>
      </c>
      <c r="E358" s="887"/>
      <c r="F358" s="638" t="s">
        <v>326</v>
      </c>
      <c r="G358" s="661" t="s">
        <v>447</v>
      </c>
      <c r="H358" s="957"/>
      <c r="I358" s="638" t="s">
        <v>326</v>
      </c>
      <c r="J358" s="1038" t="s">
        <v>146</v>
      </c>
      <c r="K358" s="638" t="s">
        <v>326</v>
      </c>
      <c r="L358" s="1008" t="s">
        <v>430</v>
      </c>
      <c r="M358" s="638" t="s">
        <v>451</v>
      </c>
      <c r="N358" s="958" t="s">
        <v>358</v>
      </c>
      <c r="O358" s="638" t="s">
        <v>458</v>
      </c>
      <c r="P358" s="638" t="s">
        <v>358</v>
      </c>
      <c r="Q358" s="953" t="s">
        <v>459</v>
      </c>
      <c r="R358" s="1005"/>
      <c r="S358" s="1005"/>
      <c r="T358" s="952" t="s">
        <v>361</v>
      </c>
      <c r="U358" s="242" t="s">
        <v>433</v>
      </c>
      <c r="V358" s="112"/>
    </row>
    <row r="359" spans="1:22" ht="18" hidden="1" customHeight="1">
      <c r="A359" s="1007"/>
      <c r="B359" s="956"/>
      <c r="C359" s="956"/>
      <c r="D359" s="887"/>
      <c r="E359" s="887"/>
      <c r="F359" s="638"/>
      <c r="G359" s="638" t="s">
        <v>441</v>
      </c>
      <c r="H359" s="887"/>
      <c r="I359" s="638"/>
      <c r="J359" s="638"/>
      <c r="K359" s="638"/>
      <c r="L359" s="1008"/>
      <c r="M359" s="638"/>
      <c r="N359" s="958"/>
      <c r="O359" s="638"/>
      <c r="P359" s="638"/>
      <c r="Q359" s="28" t="s">
        <v>449</v>
      </c>
      <c r="R359" s="28" t="s">
        <v>326</v>
      </c>
      <c r="S359" s="28" t="s">
        <v>449</v>
      </c>
      <c r="T359" s="952"/>
      <c r="U359" s="7"/>
      <c r="V359" s="112"/>
    </row>
    <row r="360" spans="1:22" ht="18" hidden="1" customHeight="1">
      <c r="A360" s="205" t="s">
        <v>460</v>
      </c>
      <c r="L360" s="442"/>
      <c r="M360" s="438"/>
      <c r="N360" s="438"/>
      <c r="O360" s="438"/>
      <c r="V360" s="10"/>
    </row>
    <row r="361" spans="1:22" ht="18" hidden="1" customHeight="1">
      <c r="A361" s="1006" t="s">
        <v>428</v>
      </c>
      <c r="B361" s="956"/>
      <c r="C361" s="956"/>
      <c r="D361" s="1008" t="s">
        <v>461</v>
      </c>
      <c r="E361" s="887"/>
      <c r="F361" s="638" t="s">
        <v>326</v>
      </c>
      <c r="G361" s="661" t="s">
        <v>447</v>
      </c>
      <c r="H361" s="957"/>
      <c r="I361" s="638" t="s">
        <v>326</v>
      </c>
      <c r="J361" s="1038" t="s">
        <v>462</v>
      </c>
      <c r="K361" s="638" t="s">
        <v>326</v>
      </c>
      <c r="L361" s="1008" t="s">
        <v>430</v>
      </c>
      <c r="M361" s="638" t="s">
        <v>451</v>
      </c>
      <c r="N361" s="958" t="s">
        <v>358</v>
      </c>
      <c r="O361" s="638" t="s">
        <v>458</v>
      </c>
      <c r="P361" s="638" t="s">
        <v>358</v>
      </c>
      <c r="Q361" s="953" t="s">
        <v>459</v>
      </c>
      <c r="R361" s="1005"/>
      <c r="S361" s="1005"/>
      <c r="T361" s="952" t="s">
        <v>361</v>
      </c>
      <c r="U361" s="242" t="s">
        <v>437</v>
      </c>
      <c r="V361" s="112"/>
    </row>
    <row r="362" spans="1:22" ht="18" hidden="1" customHeight="1">
      <c r="A362" s="1007"/>
      <c r="B362" s="956"/>
      <c r="C362" s="956"/>
      <c r="D362" s="887"/>
      <c r="E362" s="887"/>
      <c r="F362" s="638"/>
      <c r="G362" s="638" t="s">
        <v>441</v>
      </c>
      <c r="H362" s="887"/>
      <c r="I362" s="638"/>
      <c r="J362" s="638"/>
      <c r="K362" s="638"/>
      <c r="L362" s="1008"/>
      <c r="M362" s="638"/>
      <c r="N362" s="958"/>
      <c r="O362" s="638"/>
      <c r="P362" s="638"/>
      <c r="Q362" s="28" t="s">
        <v>449</v>
      </c>
      <c r="R362" s="28" t="s">
        <v>326</v>
      </c>
      <c r="S362" s="28" t="s">
        <v>449</v>
      </c>
      <c r="T362" s="952"/>
      <c r="U362" s="7"/>
      <c r="V362" s="112"/>
    </row>
    <row r="363" spans="1:22" ht="18" hidden="1" customHeight="1">
      <c r="A363" s="9"/>
      <c r="V363" s="10"/>
    </row>
    <row r="364" spans="1:22" ht="18" hidden="1" customHeight="1">
      <c r="A364" s="9"/>
      <c r="B364" s="14" t="s">
        <v>438</v>
      </c>
      <c r="P364" s="120" t="s">
        <v>439</v>
      </c>
      <c r="V364" s="10"/>
    </row>
    <row r="365" spans="1:22" ht="18" hidden="1" customHeight="1">
      <c r="A365" s="9"/>
      <c r="B365" s="14" t="s">
        <v>440</v>
      </c>
      <c r="P365" s="120" t="s">
        <v>441</v>
      </c>
      <c r="Q365" s="246" t="s">
        <v>138</v>
      </c>
      <c r="R365" s="639" t="str">
        <f>R321</f>
        <v>-</v>
      </c>
      <c r="S365" s="639"/>
      <c r="T365" s="14" t="s">
        <v>9</v>
      </c>
      <c r="V365" s="10"/>
    </row>
    <row r="366" spans="1:22" ht="18" hidden="1" customHeight="1">
      <c r="A366" s="9"/>
      <c r="B366" s="14" t="s">
        <v>442</v>
      </c>
      <c r="P366" s="120" t="s">
        <v>429</v>
      </c>
      <c r="Q366" s="246" t="s">
        <v>138</v>
      </c>
      <c r="R366" s="639">
        <f>R322</f>
        <v>40000</v>
      </c>
      <c r="S366" s="639"/>
      <c r="T366" s="14" t="s">
        <v>9</v>
      </c>
      <c r="V366" s="10"/>
    </row>
    <row r="367" spans="1:22" ht="18" hidden="1" customHeight="1">
      <c r="A367" s="9"/>
      <c r="B367" s="14" t="s">
        <v>463</v>
      </c>
      <c r="P367" s="120" t="s">
        <v>461</v>
      </c>
      <c r="Q367" s="246" t="s">
        <v>138</v>
      </c>
      <c r="R367" s="873">
        <f>R243</f>
        <v>22086.904410813047</v>
      </c>
      <c r="S367" s="639"/>
      <c r="T367" s="14" t="s">
        <v>9</v>
      </c>
      <c r="U367" s="30" t="s">
        <v>444</v>
      </c>
      <c r="V367" s="10"/>
    </row>
    <row r="368" spans="1:22" ht="18" hidden="1" customHeight="1">
      <c r="A368" s="9"/>
      <c r="B368" s="14"/>
      <c r="P368" s="120"/>
      <c r="Q368" s="246" t="s">
        <v>138</v>
      </c>
      <c r="R368" s="873">
        <f>R244</f>
        <v>23819.814378888525</v>
      </c>
      <c r="S368" s="639"/>
      <c r="T368" s="14" t="s">
        <v>9</v>
      </c>
      <c r="U368" s="30" t="s">
        <v>445</v>
      </c>
      <c r="V368" s="10"/>
    </row>
    <row r="369" spans="1:22" ht="18" hidden="1" customHeight="1">
      <c r="A369" s="9"/>
      <c r="B369" s="14" t="s">
        <v>464</v>
      </c>
      <c r="P369" s="120" t="s">
        <v>447</v>
      </c>
      <c r="Q369" s="246" t="s">
        <v>138</v>
      </c>
      <c r="R369" s="639">
        <f>R325</f>
        <v>1</v>
      </c>
      <c r="S369" s="639"/>
      <c r="T369" s="14" t="s">
        <v>9</v>
      </c>
      <c r="V369" s="10"/>
    </row>
    <row r="370" spans="1:22" ht="18" hidden="1" customHeight="1">
      <c r="A370" s="9"/>
      <c r="B370" s="14" t="s">
        <v>448</v>
      </c>
      <c r="P370" s="120" t="s">
        <v>449</v>
      </c>
      <c r="Q370" s="246" t="s">
        <v>138</v>
      </c>
      <c r="R370" s="639">
        <f>R326</f>
        <v>1</v>
      </c>
      <c r="S370" s="639"/>
      <c r="T370" s="14" t="s">
        <v>9</v>
      </c>
      <c r="V370" s="10"/>
    </row>
    <row r="371" spans="1:22" ht="18" hidden="1" customHeight="1">
      <c r="A371" s="9"/>
      <c r="B371" s="14" t="s">
        <v>450</v>
      </c>
      <c r="P371" s="120" t="s">
        <v>451</v>
      </c>
      <c r="Q371" s="246" t="s">
        <v>138</v>
      </c>
      <c r="R371" s="639" t="str">
        <f>L298</f>
        <v>-</v>
      </c>
      <c r="S371" s="639"/>
      <c r="T371" s="204" t="s">
        <v>344</v>
      </c>
      <c r="V371" s="10"/>
    </row>
    <row r="372" spans="1:22" ht="18" hidden="1" customHeight="1">
      <c r="A372" s="9"/>
      <c r="B372" s="14" t="s">
        <v>465</v>
      </c>
      <c r="P372" s="249" t="s">
        <v>452</v>
      </c>
      <c r="Q372" s="246" t="s">
        <v>138</v>
      </c>
      <c r="R372" s="637">
        <f>R328</f>
        <v>1.46186744</v>
      </c>
      <c r="S372" s="639"/>
      <c r="T372" s="204" t="s">
        <v>344</v>
      </c>
      <c r="V372" s="10"/>
    </row>
    <row r="373" spans="1:22" ht="18" hidden="1" customHeight="1">
      <c r="A373" s="9"/>
      <c r="B373" s="40" t="s">
        <v>453</v>
      </c>
      <c r="P373" s="249" t="s">
        <v>454</v>
      </c>
      <c r="Q373" s="246" t="s">
        <v>138</v>
      </c>
      <c r="R373" s="637">
        <f>R329</f>
        <v>0.02</v>
      </c>
      <c r="S373" s="639"/>
      <c r="T373" s="14" t="s">
        <v>168</v>
      </c>
      <c r="V373" s="10"/>
    </row>
    <row r="374" spans="1:22" ht="18" hidden="1" customHeight="1">
      <c r="A374" s="9"/>
      <c r="B374" s="40"/>
      <c r="P374" s="249"/>
      <c r="Q374" s="246"/>
      <c r="R374" s="223"/>
      <c r="S374" s="27"/>
      <c r="T374" s="14"/>
      <c r="V374" s="10"/>
    </row>
    <row r="375" spans="1:22" ht="18" hidden="1" customHeight="1">
      <c r="A375" s="9"/>
      <c r="B375" s="40"/>
      <c r="P375" s="249"/>
      <c r="Q375" s="246"/>
      <c r="R375" s="223"/>
      <c r="S375" s="27"/>
      <c r="T375" s="14"/>
      <c r="V375" s="10"/>
    </row>
    <row r="376" spans="1:22" ht="18" hidden="1" customHeight="1">
      <c r="A376" s="9"/>
      <c r="B376" s="40"/>
      <c r="P376" s="249"/>
      <c r="Q376" s="246"/>
      <c r="R376" s="223"/>
      <c r="S376" s="27"/>
      <c r="T376" s="14"/>
      <c r="V376" s="10"/>
    </row>
    <row r="377" spans="1:22" ht="18" hidden="1" customHeight="1">
      <c r="A377" s="9"/>
      <c r="B377" s="40"/>
      <c r="P377" s="249"/>
      <c r="Q377" s="246"/>
      <c r="R377" s="223"/>
      <c r="S377" s="27"/>
      <c r="T377" s="14"/>
      <c r="V377" s="10"/>
    </row>
    <row r="378" spans="1:22" ht="18" hidden="1" customHeight="1">
      <c r="A378" s="9"/>
      <c r="B378" s="40"/>
      <c r="P378" s="249"/>
      <c r="Q378" s="246"/>
      <c r="R378" s="223"/>
      <c r="S378" s="27"/>
      <c r="T378" s="14"/>
      <c r="V378" s="10"/>
    </row>
    <row r="379" spans="1:22" s="7" customFormat="1" ht="18" hidden="1" customHeight="1">
      <c r="A379" s="395"/>
      <c r="B379" s="20"/>
      <c r="C379" s="20"/>
      <c r="D379" s="20"/>
      <c r="E379" s="20"/>
      <c r="F379" s="20"/>
      <c r="G379" s="20"/>
      <c r="H379" s="20"/>
      <c r="I379" s="20"/>
      <c r="J379" s="20"/>
      <c r="K379" s="20"/>
      <c r="L379" s="20"/>
      <c r="M379" s="20"/>
      <c r="N379" s="20"/>
      <c r="O379" s="20"/>
      <c r="P379" s="20"/>
      <c r="Q379" s="21"/>
      <c r="R379" s="22"/>
      <c r="S379" s="23"/>
      <c r="T379" s="20"/>
      <c r="U379" s="20"/>
      <c r="V379" s="140"/>
    </row>
    <row r="380" spans="1:22" ht="18" hidden="1" customHeight="1">
      <c r="A380" s="444" t="s">
        <v>466</v>
      </c>
      <c r="B380" s="445"/>
      <c r="C380" s="446"/>
      <c r="D380" s="447"/>
      <c r="E380" s="446"/>
      <c r="F380" s="447"/>
      <c r="G380" s="447"/>
      <c r="H380" s="445"/>
      <c r="I380" s="445"/>
      <c r="J380" s="445"/>
      <c r="K380" s="448"/>
      <c r="L380" s="448"/>
      <c r="M380" s="111"/>
      <c r="N380" s="447"/>
      <c r="O380" s="447"/>
      <c r="P380" s="448"/>
      <c r="Q380" s="449"/>
      <c r="R380" s="111"/>
      <c r="S380" s="111"/>
      <c r="T380" s="111"/>
      <c r="U380" s="111"/>
      <c r="V380" s="147"/>
    </row>
    <row r="381" spans="1:22" ht="18" hidden="1" customHeight="1">
      <c r="A381" s="96" t="s">
        <v>467</v>
      </c>
      <c r="B381" s="164"/>
      <c r="C381" s="450"/>
      <c r="D381" s="389"/>
      <c r="E381" s="450"/>
      <c r="F381" s="389"/>
      <c r="G381" s="389"/>
      <c r="H381" s="164"/>
      <c r="I381" s="164"/>
      <c r="J381" s="164"/>
      <c r="K381" s="165"/>
      <c r="L381" s="165"/>
      <c r="M381" s="7"/>
      <c r="N381" s="389"/>
      <c r="O381" s="389"/>
      <c r="P381" s="165"/>
      <c r="Q381" s="451"/>
      <c r="R381" s="7"/>
      <c r="S381" s="7"/>
      <c r="T381" s="7"/>
      <c r="U381" s="7"/>
      <c r="V381" s="112"/>
    </row>
    <row r="382" spans="1:22" ht="18" hidden="1" customHeight="1">
      <c r="A382" s="409"/>
      <c r="B382" s="164"/>
      <c r="C382" s="450"/>
      <c r="D382" s="7"/>
      <c r="E382" s="7"/>
      <c r="F382" s="7"/>
      <c r="G382" s="389"/>
      <c r="H382" s="452" t="s">
        <v>468</v>
      </c>
      <c r="I382" s="14" t="s">
        <v>469</v>
      </c>
      <c r="J382" s="7"/>
      <c r="K382" s="28" t="s">
        <v>470</v>
      </c>
      <c r="L382" s="28" t="s">
        <v>146</v>
      </c>
      <c r="M382" s="453"/>
      <c r="N382" s="389"/>
      <c r="O382" s="389"/>
      <c r="P382" s="102" t="s">
        <v>138</v>
      </c>
      <c r="Q382" s="28">
        <v>1</v>
      </c>
      <c r="R382" s="7"/>
      <c r="S382" s="7"/>
      <c r="T382" s="7"/>
      <c r="U382" s="7"/>
      <c r="V382" s="112"/>
    </row>
    <row r="383" spans="1:22" ht="18" hidden="1" customHeight="1">
      <c r="A383" s="409"/>
      <c r="B383" s="164"/>
      <c r="C383" s="450"/>
      <c r="D383" s="7"/>
      <c r="E383" s="7"/>
      <c r="F383" s="7"/>
      <c r="G383" s="389"/>
      <c r="H383" s="452"/>
      <c r="I383" s="14"/>
      <c r="J383" s="7"/>
      <c r="K383" s="28"/>
      <c r="L383" s="28"/>
      <c r="M383" s="453"/>
      <c r="N383" s="389"/>
      <c r="O383" s="389"/>
      <c r="P383" s="102"/>
      <c r="Q383" s="28"/>
      <c r="R383" s="7"/>
      <c r="S383" s="7"/>
      <c r="T383" s="7"/>
      <c r="U383" s="7"/>
      <c r="V383" s="112"/>
    </row>
    <row r="384" spans="1:22" ht="18" hidden="1" customHeight="1">
      <c r="A384" s="96" t="s">
        <v>471</v>
      </c>
      <c r="B384" s="164"/>
      <c r="C384" s="450"/>
      <c r="D384" s="389"/>
      <c r="E384" s="450"/>
      <c r="F384" s="389"/>
      <c r="G384" s="389"/>
      <c r="H384" s="164"/>
      <c r="I384" s="7"/>
      <c r="J384" s="7"/>
      <c r="K384" s="121"/>
      <c r="L384" s="121"/>
      <c r="M384" s="7"/>
      <c r="N384" s="389"/>
      <c r="O384" s="389"/>
      <c r="P384" s="165"/>
      <c r="Q384" s="451"/>
      <c r="V384" s="10"/>
    </row>
    <row r="385" spans="1:22" ht="18" hidden="1" customHeight="1">
      <c r="A385" s="96" t="s">
        <v>472</v>
      </c>
      <c r="B385" s="164"/>
      <c r="C385" s="450"/>
      <c r="D385" s="389"/>
      <c r="E385" s="450"/>
      <c r="F385" s="389"/>
      <c r="G385" s="389"/>
      <c r="H385" s="164"/>
      <c r="I385" s="7"/>
      <c r="J385" s="7"/>
      <c r="K385" s="121"/>
      <c r="L385" s="121"/>
      <c r="M385" s="7"/>
      <c r="N385" s="389"/>
      <c r="O385" s="389"/>
      <c r="P385" s="165"/>
      <c r="Q385" s="451"/>
      <c r="V385" s="10"/>
    </row>
    <row r="386" spans="1:22" ht="18" hidden="1" customHeight="1">
      <c r="A386" s="409"/>
      <c r="B386" s="164"/>
      <c r="C386" s="450"/>
      <c r="D386" s="7"/>
      <c r="E386" s="7"/>
      <c r="F386" s="7"/>
      <c r="G386" s="389"/>
      <c r="H386" s="452" t="s">
        <v>468</v>
      </c>
      <c r="I386" s="14" t="s">
        <v>473</v>
      </c>
      <c r="J386" s="7"/>
      <c r="K386" s="28" t="s">
        <v>470</v>
      </c>
      <c r="L386" s="28" t="s">
        <v>462</v>
      </c>
      <c r="M386" s="453"/>
      <c r="N386" s="389"/>
      <c r="O386" s="389"/>
      <c r="P386" s="102" t="s">
        <v>138</v>
      </c>
      <c r="Q386" s="28">
        <v>3</v>
      </c>
      <c r="V386" s="10"/>
    </row>
    <row r="387" spans="1:22" ht="18" hidden="1" customHeight="1">
      <c r="A387" s="409"/>
      <c r="B387" s="164"/>
      <c r="C387" s="450"/>
      <c r="D387" s="7"/>
      <c r="E387" s="7"/>
      <c r="F387" s="7"/>
      <c r="G387" s="389"/>
      <c r="H387" s="452"/>
      <c r="I387" s="14"/>
      <c r="J387" s="7"/>
      <c r="K387" s="28"/>
      <c r="L387" s="28"/>
      <c r="M387" s="453"/>
      <c r="N387" s="389"/>
      <c r="O387" s="389"/>
      <c r="P387" s="102"/>
      <c r="Q387" s="28"/>
      <c r="V387" s="10"/>
    </row>
    <row r="388" spans="1:22" ht="18" hidden="1" customHeight="1">
      <c r="A388" s="9"/>
      <c r="V388" s="10"/>
    </row>
    <row r="389" spans="1:22" ht="18" hidden="1" customHeight="1">
      <c r="A389" s="205" t="s">
        <v>427</v>
      </c>
      <c r="V389" s="10"/>
    </row>
    <row r="390" spans="1:22" ht="18" hidden="1" customHeight="1">
      <c r="A390" s="114"/>
      <c r="B390" s="7"/>
      <c r="C390" s="7"/>
      <c r="D390" s="7"/>
      <c r="E390" s="7"/>
      <c r="F390" s="7"/>
      <c r="G390" s="14" t="s">
        <v>474</v>
      </c>
      <c r="H390" s="7"/>
      <c r="I390" s="7"/>
      <c r="J390" s="7"/>
      <c r="K390" s="28" t="s">
        <v>138</v>
      </c>
      <c r="L390" s="641">
        <f>L261</f>
        <v>159.09090909090909</v>
      </c>
      <c r="M390" s="638"/>
      <c r="N390" s="28" t="s">
        <v>475</v>
      </c>
      <c r="O390" s="28" t="s">
        <v>146</v>
      </c>
      <c r="P390" s="28" t="s">
        <v>138</v>
      </c>
      <c r="Q390" s="28">
        <f>IF(L390&lt;=400,Q382,Q383)</f>
        <v>1</v>
      </c>
      <c r="R390" s="7"/>
      <c r="S390" s="7"/>
      <c r="T390" s="7"/>
      <c r="V390" s="10"/>
    </row>
    <row r="391" spans="1:22" ht="18" hidden="1" customHeight="1">
      <c r="A391" s="1006" t="s">
        <v>428</v>
      </c>
      <c r="B391" s="956"/>
      <c r="C391" s="956"/>
      <c r="D391" s="1011">
        <f>R366</f>
        <v>40000</v>
      </c>
      <c r="E391" s="1019"/>
      <c r="F391" s="861" t="s">
        <v>326</v>
      </c>
      <c r="G391" s="1013">
        <f>R369</f>
        <v>1</v>
      </c>
      <c r="H391" s="1020"/>
      <c r="I391" s="861" t="s">
        <v>326</v>
      </c>
      <c r="J391" s="862">
        <f>Q390</f>
        <v>1</v>
      </c>
      <c r="K391" s="861" t="s">
        <v>326</v>
      </c>
      <c r="L391" s="1011" t="s">
        <v>430</v>
      </c>
      <c r="M391" s="968" t="str">
        <f>R371</f>
        <v>-</v>
      </c>
      <c r="N391" s="1017" t="s">
        <v>358</v>
      </c>
      <c r="O391" s="1018">
        <f>R372</f>
        <v>1.46186744</v>
      </c>
      <c r="P391" s="861" t="s">
        <v>358</v>
      </c>
      <c r="Q391" s="1010">
        <f>R373</f>
        <v>0.02</v>
      </c>
      <c r="R391" s="1010"/>
      <c r="S391" s="1010"/>
      <c r="T391" s="952" t="s">
        <v>361</v>
      </c>
      <c r="U391" s="242" t="s">
        <v>433</v>
      </c>
      <c r="V391" s="112"/>
    </row>
    <row r="392" spans="1:22" ht="18" hidden="1" customHeight="1">
      <c r="A392" s="1007"/>
      <c r="B392" s="956"/>
      <c r="C392" s="956"/>
      <c r="D392" s="1019"/>
      <c r="E392" s="1019"/>
      <c r="F392" s="861"/>
      <c r="G392" s="861" t="str">
        <f>R365</f>
        <v>-</v>
      </c>
      <c r="H392" s="1019"/>
      <c r="I392" s="861"/>
      <c r="J392" s="861"/>
      <c r="K392" s="861"/>
      <c r="L392" s="1011"/>
      <c r="M392" s="968"/>
      <c r="N392" s="1017"/>
      <c r="O392" s="968"/>
      <c r="P392" s="861"/>
      <c r="Q392" s="233">
        <f>R370</f>
        <v>1</v>
      </c>
      <c r="R392" s="233" t="s">
        <v>326</v>
      </c>
      <c r="S392" s="233">
        <f>R370</f>
        <v>1</v>
      </c>
      <c r="T392" s="952"/>
      <c r="U392" s="7"/>
      <c r="V392" s="112"/>
    </row>
    <row r="393" spans="1:22" ht="18" hidden="1" customHeight="1">
      <c r="A393" s="9"/>
      <c r="V393" s="10"/>
    </row>
    <row r="394" spans="1:22" ht="18" hidden="1" customHeight="1">
      <c r="A394" s="9"/>
      <c r="C394" s="27" t="s">
        <v>138</v>
      </c>
      <c r="D394" s="797" t="e">
        <f>D391*(G391/G392)*J391*(M391+O391+(Q391/(Q392*S392)))</f>
        <v>#VALUE!</v>
      </c>
      <c r="E394" s="645"/>
      <c r="F394" s="27" t="s">
        <v>316</v>
      </c>
      <c r="V394" s="10"/>
    </row>
    <row r="395" spans="1:22" ht="18" hidden="1" customHeight="1">
      <c r="A395" s="9"/>
      <c r="V395" s="10"/>
    </row>
    <row r="396" spans="1:22" ht="18" hidden="1" customHeight="1">
      <c r="A396" s="205" t="s">
        <v>476</v>
      </c>
      <c r="V396" s="10"/>
    </row>
    <row r="397" spans="1:22" ht="18" hidden="1" customHeight="1">
      <c r="A397" s="9"/>
      <c r="E397" s="30" t="s">
        <v>477</v>
      </c>
      <c r="K397" s="27" t="s">
        <v>138</v>
      </c>
      <c r="L397" s="637">
        <f>L268</f>
        <v>6.7473490103646627</v>
      </c>
      <c r="M397" s="639"/>
      <c r="N397" s="27" t="s">
        <v>475</v>
      </c>
      <c r="O397" s="28" t="s">
        <v>462</v>
      </c>
      <c r="P397" s="27" t="s">
        <v>138</v>
      </c>
      <c r="Q397" s="27">
        <f>IF(L397&lt;=200,Q386,Q387)</f>
        <v>3</v>
      </c>
      <c r="V397" s="10"/>
    </row>
    <row r="398" spans="1:22" ht="18" hidden="1" customHeight="1">
      <c r="A398" s="1006" t="s">
        <v>428</v>
      </c>
      <c r="B398" s="956"/>
      <c r="C398" s="956"/>
      <c r="D398" s="1016">
        <f>R367</f>
        <v>22086.904410813047</v>
      </c>
      <c r="E398" s="1015"/>
      <c r="F398" s="861" t="s">
        <v>326</v>
      </c>
      <c r="G398" s="1013">
        <f>R369</f>
        <v>1</v>
      </c>
      <c r="H398" s="1014"/>
      <c r="I398" s="861" t="s">
        <v>326</v>
      </c>
      <c r="J398" s="1039">
        <f>Q397</f>
        <v>3</v>
      </c>
      <c r="K398" s="861" t="s">
        <v>326</v>
      </c>
      <c r="L398" s="1011" t="s">
        <v>430</v>
      </c>
      <c r="M398" s="968" t="str">
        <f>R371</f>
        <v>-</v>
      </c>
      <c r="N398" s="1017" t="s">
        <v>358</v>
      </c>
      <c r="O398" s="1018">
        <f>R372</f>
        <v>1.46186744</v>
      </c>
      <c r="P398" s="861" t="s">
        <v>358</v>
      </c>
      <c r="Q398" s="1010">
        <f>R373</f>
        <v>0.02</v>
      </c>
      <c r="R398" s="1010"/>
      <c r="S398" s="1010"/>
      <c r="T398" s="952" t="s">
        <v>361</v>
      </c>
      <c r="U398" s="242" t="s">
        <v>437</v>
      </c>
      <c r="V398" s="112"/>
    </row>
    <row r="399" spans="1:22" ht="18" hidden="1" customHeight="1">
      <c r="A399" s="1007"/>
      <c r="B399" s="956"/>
      <c r="C399" s="956"/>
      <c r="D399" s="1015"/>
      <c r="E399" s="1015"/>
      <c r="F399" s="861"/>
      <c r="G399" s="861" t="str">
        <f>R365</f>
        <v>-</v>
      </c>
      <c r="H399" s="1015"/>
      <c r="I399" s="861"/>
      <c r="J399" s="861"/>
      <c r="K399" s="861"/>
      <c r="L399" s="1011"/>
      <c r="M399" s="968"/>
      <c r="N399" s="1017"/>
      <c r="O399" s="968"/>
      <c r="P399" s="861"/>
      <c r="Q399" s="233">
        <f>R370</f>
        <v>1</v>
      </c>
      <c r="R399" s="233" t="s">
        <v>326</v>
      </c>
      <c r="S399" s="233">
        <f>R370</f>
        <v>1</v>
      </c>
      <c r="T399" s="952"/>
      <c r="U399" s="7"/>
      <c r="V399" s="112"/>
    </row>
    <row r="400" spans="1:22" ht="18" hidden="1" customHeight="1">
      <c r="A400" s="9"/>
      <c r="V400" s="10"/>
    </row>
    <row r="401" spans="1:22" ht="18" hidden="1" customHeight="1">
      <c r="A401" s="9"/>
      <c r="C401" s="27" t="s">
        <v>138</v>
      </c>
      <c r="D401" s="797" t="e">
        <f>D398*(G398/G399)*J398*(M398+O398+(Q398/(Q399*S399)))</f>
        <v>#VALUE!</v>
      </c>
      <c r="E401" s="645"/>
      <c r="F401" s="27" t="s">
        <v>316</v>
      </c>
      <c r="V401" s="10"/>
    </row>
    <row r="402" spans="1:22" ht="18" hidden="1" customHeight="1">
      <c r="A402" s="9"/>
      <c r="V402" s="10"/>
    </row>
    <row r="403" spans="1:22" ht="18" hidden="1" customHeight="1">
      <c r="A403" s="205" t="s">
        <v>478</v>
      </c>
      <c r="V403" s="10"/>
    </row>
    <row r="404" spans="1:22" ht="18" hidden="1" customHeight="1">
      <c r="A404" s="9"/>
      <c r="E404" s="30" t="s">
        <v>479</v>
      </c>
      <c r="K404" s="27" t="s">
        <v>138</v>
      </c>
      <c r="L404" s="637">
        <f>L275</f>
        <v>6.9289372966517959</v>
      </c>
      <c r="M404" s="639"/>
      <c r="N404" s="27" t="s">
        <v>475</v>
      </c>
      <c r="O404" s="28" t="s">
        <v>462</v>
      </c>
      <c r="P404" s="27" t="s">
        <v>138</v>
      </c>
      <c r="Q404" s="27">
        <f>IF(L404&lt;=30,Q386,Q387)</f>
        <v>3</v>
      </c>
      <c r="V404" s="10"/>
    </row>
    <row r="405" spans="1:22" ht="18" hidden="1" customHeight="1">
      <c r="A405" s="1006" t="s">
        <v>428</v>
      </c>
      <c r="B405" s="956"/>
      <c r="C405" s="956"/>
      <c r="D405" s="1016">
        <f>R368</f>
        <v>23819.814378888525</v>
      </c>
      <c r="E405" s="1015"/>
      <c r="F405" s="861" t="s">
        <v>326</v>
      </c>
      <c r="G405" s="1013">
        <f>R369</f>
        <v>1</v>
      </c>
      <c r="H405" s="1014"/>
      <c r="I405" s="861" t="s">
        <v>326</v>
      </c>
      <c r="J405" s="1039">
        <f>Q404</f>
        <v>3</v>
      </c>
      <c r="K405" s="861" t="s">
        <v>326</v>
      </c>
      <c r="L405" s="1011" t="s">
        <v>430</v>
      </c>
      <c r="M405" s="968" t="str">
        <f>R371</f>
        <v>-</v>
      </c>
      <c r="N405" s="1017" t="s">
        <v>358</v>
      </c>
      <c r="O405" s="1018">
        <f>R372</f>
        <v>1.46186744</v>
      </c>
      <c r="P405" s="861" t="s">
        <v>358</v>
      </c>
      <c r="Q405" s="1010">
        <f>R373</f>
        <v>0.02</v>
      </c>
      <c r="R405" s="1010"/>
      <c r="S405" s="1010"/>
      <c r="T405" s="952" t="s">
        <v>361</v>
      </c>
      <c r="U405" s="242" t="s">
        <v>437</v>
      </c>
      <c r="V405" s="112"/>
    </row>
    <row r="406" spans="1:22" ht="18" hidden="1" customHeight="1">
      <c r="A406" s="1007"/>
      <c r="B406" s="956"/>
      <c r="C406" s="956"/>
      <c r="D406" s="1015"/>
      <c r="E406" s="1015"/>
      <c r="F406" s="861"/>
      <c r="G406" s="861" t="str">
        <f>R365</f>
        <v>-</v>
      </c>
      <c r="H406" s="1015"/>
      <c r="I406" s="861"/>
      <c r="J406" s="861"/>
      <c r="K406" s="861"/>
      <c r="L406" s="1011"/>
      <c r="M406" s="968"/>
      <c r="N406" s="1017"/>
      <c r="O406" s="968"/>
      <c r="P406" s="861"/>
      <c r="Q406" s="233">
        <f>R370</f>
        <v>1</v>
      </c>
      <c r="R406" s="233" t="s">
        <v>326</v>
      </c>
      <c r="S406" s="233">
        <f>R370</f>
        <v>1</v>
      </c>
      <c r="T406" s="952"/>
      <c r="U406" s="7"/>
      <c r="V406" s="112"/>
    </row>
    <row r="407" spans="1:22" ht="18" hidden="1" customHeight="1">
      <c r="A407" s="9"/>
      <c r="D407" s="443"/>
      <c r="E407" s="443"/>
      <c r="F407" s="443"/>
      <c r="G407" s="443"/>
      <c r="H407" s="443"/>
      <c r="I407" s="443"/>
      <c r="J407" s="443"/>
      <c r="K407" s="443"/>
      <c r="L407" s="443"/>
      <c r="M407" s="443"/>
      <c r="N407" s="443"/>
      <c r="O407" s="443"/>
      <c r="P407" s="443"/>
      <c r="Q407" s="443"/>
      <c r="R407" s="443"/>
      <c r="S407" s="443"/>
      <c r="V407" s="10"/>
    </row>
    <row r="408" spans="1:22" ht="18" hidden="1" customHeight="1">
      <c r="A408" s="9"/>
      <c r="C408" s="27" t="s">
        <v>138</v>
      </c>
      <c r="D408" s="797" t="e">
        <f>D405*(G405/G406)*J405*(M405+O405+(Q405/(Q406*S406)))</f>
        <v>#VALUE!</v>
      </c>
      <c r="E408" s="645"/>
      <c r="F408" s="27" t="s">
        <v>316</v>
      </c>
      <c r="V408" s="10"/>
    </row>
    <row r="409" spans="1:22" ht="18" hidden="1" customHeight="1">
      <c r="A409" s="9"/>
      <c r="V409" s="10"/>
    </row>
    <row r="410" spans="1:22" ht="18" hidden="1" customHeight="1">
      <c r="A410" s="196" t="s">
        <v>480</v>
      </c>
      <c r="M410" s="1044" t="str">
        <f>L296</f>
        <v>-</v>
      </c>
      <c r="N410" s="1045"/>
      <c r="O410" s="30" t="s">
        <v>481</v>
      </c>
      <c r="P410" s="30"/>
      <c r="Q410" s="1046" t="e">
        <f>MAX(D340,D346,D352,D394,D401,D408)</f>
        <v>#VALUE!</v>
      </c>
      <c r="R410" s="1022"/>
      <c r="S410" s="30" t="s">
        <v>316</v>
      </c>
      <c r="V410" s="10"/>
    </row>
    <row r="411" spans="1:22" ht="18" hidden="1" customHeight="1">
      <c r="A411" s="364" t="s">
        <v>482</v>
      </c>
      <c r="B411" s="7"/>
      <c r="C411" s="7"/>
      <c r="D411" s="454"/>
      <c r="E411" s="7"/>
      <c r="F411" s="7"/>
      <c r="G411" s="385"/>
      <c r="H411" s="7"/>
      <c r="J411" s="7"/>
      <c r="K411" s="7"/>
      <c r="L411" s="7"/>
      <c r="M411" s="7"/>
      <c r="N411" s="7"/>
      <c r="O411" s="7"/>
      <c r="P411" s="262"/>
      <c r="Q411" s="263"/>
      <c r="R411" s="385"/>
      <c r="S411" s="7"/>
      <c r="V411" s="10"/>
    </row>
    <row r="412" spans="1:22" ht="18" hidden="1" customHeight="1">
      <c r="A412" s="96" t="s">
        <v>511</v>
      </c>
      <c r="V412" s="10"/>
    </row>
    <row r="413" spans="1:22" ht="18" hidden="1" customHeight="1">
      <c r="A413" s="9"/>
      <c r="N413" s="7"/>
      <c r="O413" s="28" t="s">
        <v>484</v>
      </c>
      <c r="P413" s="102" t="s">
        <v>138</v>
      </c>
      <c r="Q413" s="906" t="s">
        <v>485</v>
      </c>
      <c r="R413" s="906"/>
      <c r="S413" s="28" t="s">
        <v>326</v>
      </c>
      <c r="T413" s="28">
        <v>0.8</v>
      </c>
      <c r="V413" s="10"/>
    </row>
    <row r="414" spans="1:22" ht="18" hidden="1" customHeight="1">
      <c r="A414" s="9"/>
      <c r="N414" s="264"/>
      <c r="O414" s="28"/>
      <c r="P414" s="102" t="s">
        <v>138</v>
      </c>
      <c r="Q414" s="1026" t="e">
        <f>+Q410</f>
        <v>#VALUE!</v>
      </c>
      <c r="R414" s="661"/>
      <c r="S414" s="234" t="s">
        <v>326</v>
      </c>
      <c r="T414" s="265">
        <f>+T413</f>
        <v>0.8</v>
      </c>
      <c r="V414" s="10"/>
    </row>
    <row r="415" spans="1:22" ht="18" hidden="1" customHeight="1">
      <c r="A415" s="9"/>
      <c r="O415" s="28"/>
      <c r="P415" s="28" t="s">
        <v>138</v>
      </c>
      <c r="Q415" s="1027" t="e">
        <f>Q414*T414</f>
        <v>#VALUE!</v>
      </c>
      <c r="R415" s="707"/>
      <c r="S415" s="28" t="s">
        <v>316</v>
      </c>
      <c r="T415" s="28"/>
      <c r="V415" s="10"/>
    </row>
    <row r="416" spans="1:22" ht="18" hidden="1" customHeight="1">
      <c r="A416" s="9"/>
      <c r="D416" s="30" t="s">
        <v>486</v>
      </c>
      <c r="G416" s="27" t="e">
        <f>IF(E417&gt;H417,"&gt;","&lt;")</f>
        <v>#VALUE!</v>
      </c>
      <c r="H416" s="30" t="s">
        <v>488</v>
      </c>
      <c r="V416" s="10"/>
    </row>
    <row r="417" spans="1:22" ht="18" hidden="1" customHeight="1">
      <c r="A417" s="9"/>
      <c r="E417" s="639" t="str">
        <f>L299</f>
        <v>-</v>
      </c>
      <c r="F417" s="639"/>
      <c r="G417" s="27" t="e">
        <f>G416</f>
        <v>#VALUE!</v>
      </c>
      <c r="H417" s="637" t="e">
        <f>Q415</f>
        <v>#VALUE!</v>
      </c>
      <c r="I417" s="639"/>
      <c r="V417" s="10"/>
    </row>
    <row r="418" spans="1:22" ht="18" hidden="1" customHeight="1">
      <c r="A418" s="9"/>
      <c r="F418" s="256" t="s">
        <v>489</v>
      </c>
      <c r="H418" s="18" t="e">
        <f>IF(G416="&gt;","Suitably Dimensioned","Under Dimensioned")</f>
        <v>#VALUE!</v>
      </c>
      <c r="V418" s="10"/>
    </row>
    <row r="419" spans="1:22" ht="18" hidden="1" customHeight="1">
      <c r="A419" s="9"/>
      <c r="F419" s="256"/>
      <c r="H419" s="18"/>
      <c r="V419" s="10"/>
    </row>
    <row r="420" spans="1:22" ht="18" hidden="1" customHeight="1">
      <c r="A420" s="9"/>
      <c r="F420" s="256"/>
      <c r="H420" s="18"/>
      <c r="V420" s="10"/>
    </row>
    <row r="421" spans="1:22" ht="18" hidden="1" customHeight="1">
      <c r="A421" s="9"/>
      <c r="F421" s="256"/>
      <c r="H421" s="18"/>
      <c r="V421" s="10"/>
    </row>
    <row r="422" spans="1:22" ht="18" hidden="1" customHeight="1">
      <c r="A422" s="9"/>
      <c r="F422" s="256"/>
      <c r="H422" s="18"/>
      <c r="V422" s="10"/>
    </row>
    <row r="423" spans="1:22" ht="18" hidden="1" customHeight="1">
      <c r="A423" s="9"/>
      <c r="F423" s="256"/>
      <c r="H423" s="18"/>
      <c r="V423" s="10"/>
    </row>
    <row r="424" spans="1:22" s="7" customFormat="1" ht="18" hidden="1" customHeight="1">
      <c r="A424" s="395"/>
      <c r="B424" s="20"/>
      <c r="C424" s="20"/>
      <c r="D424" s="20"/>
      <c r="E424" s="20"/>
      <c r="F424" s="20"/>
      <c r="G424" s="20"/>
      <c r="H424" s="20"/>
      <c r="I424" s="20"/>
      <c r="J424" s="20"/>
      <c r="K424" s="20"/>
      <c r="L424" s="20"/>
      <c r="M424" s="20"/>
      <c r="N424" s="20"/>
      <c r="O424" s="20"/>
      <c r="P424" s="20"/>
      <c r="Q424" s="21"/>
      <c r="R424" s="22"/>
      <c r="S424" s="23"/>
      <c r="T424" s="20"/>
      <c r="U424" s="20"/>
      <c r="V424" s="140"/>
    </row>
    <row r="425" spans="1:22" ht="18" customHeight="1">
      <c r="A425" s="455"/>
      <c r="B425" s="397"/>
      <c r="C425" s="397"/>
      <c r="D425" s="397"/>
      <c r="E425" s="397"/>
      <c r="F425" s="397"/>
      <c r="G425" s="397"/>
      <c r="H425" s="397"/>
      <c r="I425" s="397"/>
      <c r="J425" s="397"/>
      <c r="K425" s="397"/>
      <c r="L425" s="397"/>
      <c r="M425" s="397"/>
      <c r="N425" s="397"/>
      <c r="O425" s="397"/>
      <c r="P425" s="397"/>
      <c r="Q425" s="397"/>
      <c r="R425" s="397"/>
      <c r="S425" s="397"/>
      <c r="T425" s="397"/>
      <c r="U425" s="397"/>
      <c r="V425" s="408"/>
    </row>
    <row r="426" spans="1:22" ht="18" customHeight="1">
      <c r="A426" s="274" t="s">
        <v>512</v>
      </c>
      <c r="B426" s="7"/>
      <c r="C426" s="7"/>
      <c r="D426" s="124"/>
      <c r="E426" s="124"/>
      <c r="F426" s="115"/>
      <c r="G426" s="115"/>
      <c r="H426" s="7"/>
      <c r="I426" s="7"/>
      <c r="J426" s="7"/>
      <c r="K426" s="7"/>
      <c r="L426" s="7"/>
      <c r="M426" s="7"/>
      <c r="N426" s="7"/>
      <c r="O426" s="7"/>
      <c r="P426" s="121"/>
      <c r="Q426" s="124"/>
      <c r="R426" s="385"/>
      <c r="S426" s="462"/>
      <c r="T426" s="463"/>
      <c r="U426" s="7"/>
      <c r="V426" s="112"/>
    </row>
    <row r="427" spans="1:22" ht="18" customHeight="1">
      <c r="A427" s="782" t="s">
        <v>97</v>
      </c>
      <c r="B427" s="782"/>
      <c r="C427" s="612"/>
      <c r="D427" s="782" t="s">
        <v>98</v>
      </c>
      <c r="E427" s="782"/>
      <c r="F427" s="782"/>
      <c r="G427" s="782" t="s">
        <v>99</v>
      </c>
      <c r="H427" s="782"/>
      <c r="I427" s="782" t="s">
        <v>100</v>
      </c>
      <c r="J427" s="782"/>
      <c r="K427" s="782" t="s">
        <v>513</v>
      </c>
      <c r="L427" s="782"/>
      <c r="M427" s="782" t="s">
        <v>514</v>
      </c>
      <c r="N427" s="782"/>
      <c r="O427" s="782" t="s">
        <v>515</v>
      </c>
      <c r="P427" s="782"/>
      <c r="Q427" s="782" t="s">
        <v>516</v>
      </c>
      <c r="R427" s="782"/>
      <c r="S427" s="782" t="s">
        <v>105</v>
      </c>
      <c r="T427" s="782"/>
      <c r="U427" s="782"/>
      <c r="V427" s="782"/>
    </row>
    <row r="428" spans="1:22" ht="18" customHeight="1">
      <c r="A428" s="782"/>
      <c r="B428" s="782"/>
      <c r="C428" s="612"/>
      <c r="D428" s="782"/>
      <c r="E428" s="782"/>
      <c r="F428" s="782"/>
      <c r="G428" s="782"/>
      <c r="H428" s="782"/>
      <c r="I428" s="782"/>
      <c r="J428" s="782"/>
      <c r="K428" s="782"/>
      <c r="L428" s="782"/>
      <c r="M428" s="782"/>
      <c r="N428" s="782"/>
      <c r="O428" s="782"/>
      <c r="P428" s="782"/>
      <c r="Q428" s="782"/>
      <c r="R428" s="782"/>
      <c r="S428" s="782"/>
      <c r="T428" s="782"/>
      <c r="U428" s="782"/>
      <c r="V428" s="782"/>
    </row>
    <row r="429" spans="1:22" ht="18" customHeight="1">
      <c r="A429" s="782"/>
      <c r="B429" s="782"/>
      <c r="C429" s="612"/>
      <c r="D429" s="782"/>
      <c r="E429" s="782"/>
      <c r="F429" s="782"/>
      <c r="G429" s="782"/>
      <c r="H429" s="782"/>
      <c r="I429" s="782"/>
      <c r="J429" s="782"/>
      <c r="K429" s="782"/>
      <c r="L429" s="782"/>
      <c r="M429" s="782"/>
      <c r="N429" s="782"/>
      <c r="O429" s="782"/>
      <c r="P429" s="782"/>
      <c r="Q429" s="782"/>
      <c r="R429" s="782"/>
      <c r="S429" s="782"/>
      <c r="T429" s="782"/>
      <c r="U429" s="782"/>
      <c r="V429" s="782"/>
    </row>
    <row r="430" spans="1:22" ht="18" customHeight="1">
      <c r="A430" s="782"/>
      <c r="B430" s="782"/>
      <c r="C430" s="612"/>
      <c r="D430" s="782"/>
      <c r="E430" s="782"/>
      <c r="F430" s="782"/>
      <c r="G430" s="782"/>
      <c r="H430" s="782"/>
      <c r="I430" s="782"/>
      <c r="J430" s="782"/>
      <c r="K430" s="782"/>
      <c r="L430" s="782"/>
      <c r="M430" s="782"/>
      <c r="N430" s="782"/>
      <c r="O430" s="782"/>
      <c r="P430" s="782"/>
      <c r="Q430" s="782"/>
      <c r="R430" s="782"/>
      <c r="S430" s="782"/>
      <c r="T430" s="782"/>
      <c r="U430" s="782"/>
      <c r="V430" s="782"/>
    </row>
    <row r="431" spans="1:22" ht="18" customHeight="1">
      <c r="A431" s="623" t="str">
        <f>B7</f>
        <v>T1</v>
      </c>
      <c r="B431" s="623" t="str">
        <f>D7</f>
        <v>Core1</v>
      </c>
      <c r="C431" s="623"/>
      <c r="D431" s="613">
        <f>H10</f>
        <v>2500</v>
      </c>
      <c r="E431" s="613"/>
      <c r="F431" s="624">
        <f>O10</f>
        <v>1</v>
      </c>
      <c r="G431" s="613">
        <f>'CT-VT Burdens'!S19</f>
        <v>80</v>
      </c>
      <c r="H431" s="783">
        <f>'CT-VT Burdens'!S10</f>
        <v>2.5</v>
      </c>
      <c r="I431" s="783" t="str">
        <f>H11</f>
        <v>PX-A</v>
      </c>
      <c r="J431" s="783"/>
      <c r="K431" s="612">
        <f>H12</f>
        <v>5</v>
      </c>
      <c r="L431" s="612"/>
      <c r="M431" s="612">
        <f>H13</f>
        <v>3750</v>
      </c>
      <c r="N431" s="612"/>
      <c r="O431" s="613">
        <f>H14</f>
        <v>60</v>
      </c>
      <c r="P431" s="613"/>
      <c r="Q431" s="629" t="str">
        <f>IF(T8="",T7,IF(T9="",T7&amp;"+"&amp;T8,T7&amp;"+"&amp;T8&amp;"+"&amp;T9))</f>
        <v>RED670</v>
      </c>
      <c r="R431" s="629"/>
      <c r="S431" s="628" t="str">
        <f>H123</f>
        <v>Suitably Dimensioned</v>
      </c>
      <c r="T431" s="628"/>
      <c r="U431" s="628"/>
      <c r="V431" s="628"/>
    </row>
    <row r="432" spans="1:22" ht="18" customHeight="1">
      <c r="A432" s="623"/>
      <c r="B432" s="623"/>
      <c r="C432" s="623"/>
      <c r="D432" s="613" t="str">
        <f>J10</f>
        <v>-</v>
      </c>
      <c r="E432" s="613"/>
      <c r="F432" s="625"/>
      <c r="G432" s="613"/>
      <c r="H432" s="613"/>
      <c r="I432" s="783"/>
      <c r="J432" s="783"/>
      <c r="K432" s="785" t="s">
        <v>7</v>
      </c>
      <c r="L432" s="612"/>
      <c r="M432" s="785" t="s">
        <v>7</v>
      </c>
      <c r="N432" s="612"/>
      <c r="O432" s="786" t="s">
        <v>7</v>
      </c>
      <c r="P432" s="613"/>
      <c r="Q432" s="629"/>
      <c r="R432" s="629"/>
      <c r="S432" s="961" t="s">
        <v>7</v>
      </c>
      <c r="T432" s="628"/>
      <c r="U432" s="628"/>
      <c r="V432" s="628"/>
    </row>
    <row r="433" spans="1:22" ht="18" customHeight="1">
      <c r="A433" s="623"/>
      <c r="B433" s="623"/>
      <c r="C433" s="623"/>
      <c r="D433" s="613" t="str">
        <f>L10</f>
        <v>-</v>
      </c>
      <c r="E433" s="613"/>
      <c r="F433" s="626"/>
      <c r="G433" s="613"/>
      <c r="H433" s="613"/>
      <c r="I433" s="783"/>
      <c r="J433" s="783"/>
      <c r="K433" s="612" t="str">
        <f>L298</f>
        <v>-</v>
      </c>
      <c r="L433" s="612"/>
      <c r="M433" s="612" t="str">
        <f>L299</f>
        <v>-</v>
      </c>
      <c r="N433" s="612"/>
      <c r="O433" s="613" t="str">
        <f>L300</f>
        <v>-</v>
      </c>
      <c r="P433" s="613"/>
      <c r="Q433" s="629"/>
      <c r="R433" s="629"/>
      <c r="S433" s="628" t="s">
        <v>7</v>
      </c>
      <c r="T433" s="628"/>
      <c r="U433" s="628"/>
      <c r="V433" s="628"/>
    </row>
    <row r="434" spans="1:22" ht="18" customHeight="1">
      <c r="A434" s="9"/>
      <c r="V434" s="10"/>
    </row>
    <row r="435" spans="1:22" ht="18" customHeight="1">
      <c r="A435" s="9"/>
      <c r="V435" s="10"/>
    </row>
    <row r="436" spans="1:22" ht="18" customHeight="1">
      <c r="A436" s="9"/>
      <c r="V436" s="10"/>
    </row>
    <row r="437" spans="1:22" ht="18" customHeight="1">
      <c r="A437" s="9"/>
      <c r="V437" s="10"/>
    </row>
    <row r="438" spans="1:22" ht="18" customHeight="1">
      <c r="A438" s="9"/>
      <c r="V438" s="10"/>
    </row>
    <row r="439" spans="1:22" ht="18" customHeight="1">
      <c r="A439" s="9"/>
      <c r="V439" s="10"/>
    </row>
    <row r="440" spans="1:22" ht="18" customHeight="1">
      <c r="A440" s="9"/>
      <c r="V440" s="10"/>
    </row>
    <row r="441" spans="1:22" ht="18" customHeight="1">
      <c r="A441" s="9"/>
      <c r="V441" s="10"/>
    </row>
    <row r="442" spans="1:22" ht="18" customHeight="1">
      <c r="A442" s="9"/>
      <c r="V442" s="10"/>
    </row>
    <row r="443" spans="1:22" ht="18" customHeight="1">
      <c r="A443" s="9"/>
      <c r="V443" s="10"/>
    </row>
    <row r="444" spans="1:22" ht="18" customHeight="1">
      <c r="A444" s="9"/>
      <c r="V444" s="10"/>
    </row>
    <row r="445" spans="1:22" ht="18" customHeight="1">
      <c r="A445" s="9"/>
      <c r="V445" s="10"/>
    </row>
    <row r="446" spans="1:22" ht="18" customHeight="1">
      <c r="A446" s="9"/>
      <c r="V446" s="10"/>
    </row>
    <row r="447" spans="1:22" ht="18" customHeight="1">
      <c r="A447" s="9"/>
      <c r="V447" s="10"/>
    </row>
    <row r="448" spans="1:22" ht="18" customHeight="1">
      <c r="A448" s="9"/>
      <c r="V448" s="10"/>
    </row>
    <row r="449" spans="1:22" ht="18" customHeight="1">
      <c r="A449" s="9"/>
      <c r="V449" s="10"/>
    </row>
    <row r="450" spans="1:22" ht="18" customHeight="1">
      <c r="A450" s="9"/>
      <c r="V450" s="10"/>
    </row>
    <row r="451" spans="1:22" ht="18" customHeight="1">
      <c r="A451" s="9"/>
      <c r="V451" s="10"/>
    </row>
    <row r="452" spans="1:22" ht="18" customHeight="1">
      <c r="A452" s="9"/>
      <c r="V452" s="10"/>
    </row>
    <row r="453" spans="1:22" ht="18" customHeight="1">
      <c r="A453" s="9"/>
      <c r="V453" s="10"/>
    </row>
    <row r="454" spans="1:22" ht="18" customHeight="1">
      <c r="A454" s="9"/>
      <c r="V454" s="10"/>
    </row>
    <row r="455" spans="1:22" ht="18" customHeight="1">
      <c r="A455" s="9"/>
      <c r="V455" s="10"/>
    </row>
    <row r="456" spans="1:22" ht="18" customHeight="1">
      <c r="A456" s="9"/>
      <c r="V456" s="10"/>
    </row>
    <row r="457" spans="1:22" ht="18" customHeight="1">
      <c r="A457" s="9"/>
      <c r="V457" s="10"/>
    </row>
    <row r="458" spans="1:22" ht="18" customHeight="1">
      <c r="A458" s="9"/>
      <c r="V458" s="10"/>
    </row>
    <row r="459" spans="1:22" ht="18" customHeight="1">
      <c r="A459" s="9"/>
      <c r="V459" s="10"/>
    </row>
    <row r="460" spans="1:22" ht="18" customHeight="1">
      <c r="A460" s="9"/>
      <c r="V460" s="10"/>
    </row>
    <row r="461" spans="1:22" ht="18" customHeight="1">
      <c r="A461" s="9"/>
      <c r="V461" s="10"/>
    </row>
    <row r="462" spans="1:22" ht="18" customHeight="1">
      <c r="A462" s="9"/>
      <c r="V462" s="10"/>
    </row>
    <row r="463" spans="1:22" ht="18" customHeight="1">
      <c r="A463" s="9"/>
      <c r="V463" s="10"/>
    </row>
    <row r="464" spans="1:22" s="7" customFormat="1" ht="18" customHeight="1">
      <c r="A464" s="395"/>
      <c r="B464" s="20"/>
      <c r="C464" s="20"/>
      <c r="D464" s="20"/>
      <c r="E464" s="20"/>
      <c r="F464" s="20"/>
      <c r="G464" s="20"/>
      <c r="H464" s="20"/>
      <c r="I464" s="20"/>
      <c r="J464" s="20"/>
      <c r="K464" s="20"/>
      <c r="L464" s="20"/>
      <c r="M464" s="20"/>
      <c r="N464" s="20"/>
      <c r="O464" s="20"/>
      <c r="P464" s="20"/>
      <c r="Q464" s="21"/>
      <c r="R464" s="22"/>
      <c r="S464" s="23"/>
      <c r="T464" s="20"/>
      <c r="U464" s="20"/>
      <c r="V464" s="140"/>
    </row>
  </sheetData>
  <mergeCells count="715">
    <mergeCell ref="B7:C8"/>
    <mergeCell ref="D7:E8"/>
    <mergeCell ref="F7:G7"/>
    <mergeCell ref="H7:N7"/>
    <mergeCell ref="T7:U7"/>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AB13:AC13"/>
    <mergeCell ref="H14:I14"/>
    <mergeCell ref="J18:K18"/>
    <mergeCell ref="H9:I9"/>
    <mergeCell ref="J9:K9"/>
    <mergeCell ref="L9:M9"/>
    <mergeCell ref="T9:U9"/>
    <mergeCell ref="H10:I10"/>
    <mergeCell ref="J10:K10"/>
    <mergeCell ref="L10:M10"/>
    <mergeCell ref="J19:K19"/>
    <mergeCell ref="J20:K20"/>
    <mergeCell ref="J21:K21"/>
    <mergeCell ref="P21:Q21"/>
    <mergeCell ref="J22:K22"/>
    <mergeCell ref="A25:V26"/>
    <mergeCell ref="H11:I11"/>
    <mergeCell ref="H12:I12"/>
    <mergeCell ref="H13:I13"/>
    <mergeCell ref="P28:P29"/>
    <mergeCell ref="Q28:S28"/>
    <mergeCell ref="T28:T29"/>
    <mergeCell ref="A28:C29"/>
    <mergeCell ref="F28:G29"/>
    <mergeCell ref="H28:H29"/>
    <mergeCell ref="I28:J28"/>
    <mergeCell ref="K28:K29"/>
    <mergeCell ref="L28:L29"/>
    <mergeCell ref="I29:J29"/>
    <mergeCell ref="A31:C32"/>
    <mergeCell ref="D31:D32"/>
    <mergeCell ref="E31:E32"/>
    <mergeCell ref="F31:G32"/>
    <mergeCell ref="H31:H32"/>
    <mergeCell ref="I31:J31"/>
    <mergeCell ref="M28:M29"/>
    <mergeCell ref="N28:N29"/>
    <mergeCell ref="O28:O29"/>
    <mergeCell ref="R38:S38"/>
    <mergeCell ref="R39:S39"/>
    <mergeCell ref="R40:S40"/>
    <mergeCell ref="R41:S41"/>
    <mergeCell ref="R42:S42"/>
    <mergeCell ref="R43:S43"/>
    <mergeCell ref="Q31:S31"/>
    <mergeCell ref="T31:T32"/>
    <mergeCell ref="I32:J32"/>
    <mergeCell ref="R35:S35"/>
    <mergeCell ref="R36:S36"/>
    <mergeCell ref="R37:S37"/>
    <mergeCell ref="K31:K32"/>
    <mergeCell ref="L31:L32"/>
    <mergeCell ref="M31:M32"/>
    <mergeCell ref="N31:N32"/>
    <mergeCell ref="O31:O32"/>
    <mergeCell ref="P31:P32"/>
    <mergeCell ref="P47:P48"/>
    <mergeCell ref="Q47:S47"/>
    <mergeCell ref="T47:T48"/>
    <mergeCell ref="A47:C48"/>
    <mergeCell ref="F47:G48"/>
    <mergeCell ref="H47:H48"/>
    <mergeCell ref="I47:J47"/>
    <mergeCell ref="K47:K48"/>
    <mergeCell ref="L47:L48"/>
    <mergeCell ref="I48:J48"/>
    <mergeCell ref="D50:E50"/>
    <mergeCell ref="A53:C54"/>
    <mergeCell ref="D53:D54"/>
    <mergeCell ref="E53:E54"/>
    <mergeCell ref="F53:G54"/>
    <mergeCell ref="H53:H54"/>
    <mergeCell ref="M47:M48"/>
    <mergeCell ref="N47:N48"/>
    <mergeCell ref="O47:O48"/>
    <mergeCell ref="P53:P54"/>
    <mergeCell ref="Q53:S53"/>
    <mergeCell ref="T53:T54"/>
    <mergeCell ref="I54:J54"/>
    <mergeCell ref="D56:E56"/>
    <mergeCell ref="A59:C60"/>
    <mergeCell ref="D59:D60"/>
    <mergeCell ref="E59:E60"/>
    <mergeCell ref="F59:G60"/>
    <mergeCell ref="H59:H60"/>
    <mergeCell ref="I53:J53"/>
    <mergeCell ref="K53:K54"/>
    <mergeCell ref="L53:L54"/>
    <mergeCell ref="M53:M54"/>
    <mergeCell ref="N53:N54"/>
    <mergeCell ref="O53:O54"/>
    <mergeCell ref="P59:P60"/>
    <mergeCell ref="Q59:S59"/>
    <mergeCell ref="T59:T60"/>
    <mergeCell ref="I60:J60"/>
    <mergeCell ref="D62:E62"/>
    <mergeCell ref="A65:V66"/>
    <mergeCell ref="I59:J59"/>
    <mergeCell ref="K59:K60"/>
    <mergeCell ref="L59:L60"/>
    <mergeCell ref="M59:M60"/>
    <mergeCell ref="N59:N60"/>
    <mergeCell ref="O59:O60"/>
    <mergeCell ref="Q68:S68"/>
    <mergeCell ref="T68:T69"/>
    <mergeCell ref="G69:H69"/>
    <mergeCell ref="M68:M69"/>
    <mergeCell ref="N68:N69"/>
    <mergeCell ref="O68:O69"/>
    <mergeCell ref="P68:P69"/>
    <mergeCell ref="A71:C72"/>
    <mergeCell ref="D71:E72"/>
    <mergeCell ref="F71:F72"/>
    <mergeCell ref="G71:H71"/>
    <mergeCell ref="I71:I72"/>
    <mergeCell ref="J71:J72"/>
    <mergeCell ref="K71:K72"/>
    <mergeCell ref="K68:K69"/>
    <mergeCell ref="L68:L69"/>
    <mergeCell ref="A68:C69"/>
    <mergeCell ref="D68:E69"/>
    <mergeCell ref="F68:F69"/>
    <mergeCell ref="G68:H68"/>
    <mergeCell ref="I68:I69"/>
    <mergeCell ref="J68:J69"/>
    <mergeCell ref="R79:S79"/>
    <mergeCell ref="R80:S80"/>
    <mergeCell ref="R81:S81"/>
    <mergeCell ref="R82:S82"/>
    <mergeCell ref="R83:S83"/>
    <mergeCell ref="L95:M95"/>
    <mergeCell ref="T71:T72"/>
    <mergeCell ref="G72:H72"/>
    <mergeCell ref="R75:S75"/>
    <mergeCell ref="R76:S76"/>
    <mergeCell ref="R77:S77"/>
    <mergeCell ref="R78:S78"/>
    <mergeCell ref="L71:L72"/>
    <mergeCell ref="M71:M72"/>
    <mergeCell ref="N71:N72"/>
    <mergeCell ref="O71:O72"/>
    <mergeCell ref="P71:P72"/>
    <mergeCell ref="Q71:S71"/>
    <mergeCell ref="Q96:S96"/>
    <mergeCell ref="T96:T97"/>
    <mergeCell ref="G97:H97"/>
    <mergeCell ref="D99:E99"/>
    <mergeCell ref="L102:M102"/>
    <mergeCell ref="A103:C104"/>
    <mergeCell ref="D103:E104"/>
    <mergeCell ref="F103:F104"/>
    <mergeCell ref="G103:H103"/>
    <mergeCell ref="I103:I104"/>
    <mergeCell ref="K96:K97"/>
    <mergeCell ref="L96:L97"/>
    <mergeCell ref="M96:M97"/>
    <mergeCell ref="N96:N97"/>
    <mergeCell ref="O96:O97"/>
    <mergeCell ref="P96:P97"/>
    <mergeCell ref="A96:C97"/>
    <mergeCell ref="D96:E97"/>
    <mergeCell ref="F96:F97"/>
    <mergeCell ref="G96:H96"/>
    <mergeCell ref="I96:I97"/>
    <mergeCell ref="J96:J97"/>
    <mergeCell ref="A110:C111"/>
    <mergeCell ref="D110:E111"/>
    <mergeCell ref="F110:F111"/>
    <mergeCell ref="G110:H110"/>
    <mergeCell ref="I110:I111"/>
    <mergeCell ref="J110:J111"/>
    <mergeCell ref="P103:P104"/>
    <mergeCell ref="Q103:S103"/>
    <mergeCell ref="T103:T104"/>
    <mergeCell ref="G104:H104"/>
    <mergeCell ref="D106:E106"/>
    <mergeCell ref="L109:M109"/>
    <mergeCell ref="J103:J104"/>
    <mergeCell ref="K103:K104"/>
    <mergeCell ref="L103:L104"/>
    <mergeCell ref="M103:M104"/>
    <mergeCell ref="N103:N104"/>
    <mergeCell ref="O103:O104"/>
    <mergeCell ref="Q110:S110"/>
    <mergeCell ref="T110:T111"/>
    <mergeCell ref="G111:H111"/>
    <mergeCell ref="D113:E113"/>
    <mergeCell ref="M115:N115"/>
    <mergeCell ref="Q115:R115"/>
    <mergeCell ref="K110:K111"/>
    <mergeCell ref="L110:L111"/>
    <mergeCell ref="M110:M111"/>
    <mergeCell ref="N110:N111"/>
    <mergeCell ref="O110:O111"/>
    <mergeCell ref="P110:P111"/>
    <mergeCell ref="A131:C132"/>
    <mergeCell ref="D131:D132"/>
    <mergeCell ref="E131:E132"/>
    <mergeCell ref="F131:G132"/>
    <mergeCell ref="H131:H132"/>
    <mergeCell ref="I131:J131"/>
    <mergeCell ref="Q118:R118"/>
    <mergeCell ref="Q119:R119"/>
    <mergeCell ref="Q120:R120"/>
    <mergeCell ref="E122:F122"/>
    <mergeCell ref="H122:I122"/>
    <mergeCell ref="A128:V129"/>
    <mergeCell ref="R137:S137"/>
    <mergeCell ref="R138:S138"/>
    <mergeCell ref="R139:S139"/>
    <mergeCell ref="R140:S140"/>
    <mergeCell ref="R141:S141"/>
    <mergeCell ref="R142:S142"/>
    <mergeCell ref="Q131:S131"/>
    <mergeCell ref="T131:T132"/>
    <mergeCell ref="I132:J132"/>
    <mergeCell ref="R134:S134"/>
    <mergeCell ref="R135:S135"/>
    <mergeCell ref="R136:S136"/>
    <mergeCell ref="K131:K132"/>
    <mergeCell ref="L131:L132"/>
    <mergeCell ref="M131:M132"/>
    <mergeCell ref="N131:N132"/>
    <mergeCell ref="O131:O132"/>
    <mergeCell ref="P131:P132"/>
    <mergeCell ref="N144:N145"/>
    <mergeCell ref="O144:O145"/>
    <mergeCell ref="P144:P145"/>
    <mergeCell ref="Q144:S144"/>
    <mergeCell ref="T144:T145"/>
    <mergeCell ref="I145:J145"/>
    <mergeCell ref="R143:S143"/>
    <mergeCell ref="A144:C145"/>
    <mergeCell ref="D144:D145"/>
    <mergeCell ref="E144:E145"/>
    <mergeCell ref="F144:G145"/>
    <mergeCell ref="H144:H145"/>
    <mergeCell ref="I144:J144"/>
    <mergeCell ref="K144:K145"/>
    <mergeCell ref="L144:L145"/>
    <mergeCell ref="M144:M145"/>
    <mergeCell ref="B173:C173"/>
    <mergeCell ref="D173:E174"/>
    <mergeCell ref="F173:G173"/>
    <mergeCell ref="H173:M173"/>
    <mergeCell ref="T173:U173"/>
    <mergeCell ref="B174:C174"/>
    <mergeCell ref="T174:U174"/>
    <mergeCell ref="D147:E147"/>
    <mergeCell ref="Q151:R151"/>
    <mergeCell ref="Q152:R152"/>
    <mergeCell ref="Q153:R153"/>
    <mergeCell ref="E155:F155"/>
    <mergeCell ref="H155:I155"/>
    <mergeCell ref="AB179:AC179"/>
    <mergeCell ref="J180:K180"/>
    <mergeCell ref="J184:K184"/>
    <mergeCell ref="H175:I175"/>
    <mergeCell ref="J175:K175"/>
    <mergeCell ref="L175:M175"/>
    <mergeCell ref="T175:U175"/>
    <mergeCell ref="H176:I176"/>
    <mergeCell ref="J176:K176"/>
    <mergeCell ref="L176:M176"/>
    <mergeCell ref="J185:K185"/>
    <mergeCell ref="J186:K186"/>
    <mergeCell ref="J187:K187"/>
    <mergeCell ref="J188:K188"/>
    <mergeCell ref="P188:Q188"/>
    <mergeCell ref="A191:V192"/>
    <mergeCell ref="J177:K177"/>
    <mergeCell ref="J178:K178"/>
    <mergeCell ref="J179:K179"/>
    <mergeCell ref="P194:P195"/>
    <mergeCell ref="Q194:S194"/>
    <mergeCell ref="T194:T195"/>
    <mergeCell ref="A194:C195"/>
    <mergeCell ref="F194:G195"/>
    <mergeCell ref="H194:H195"/>
    <mergeCell ref="I194:J194"/>
    <mergeCell ref="K194:K195"/>
    <mergeCell ref="L194:L195"/>
    <mergeCell ref="I195:J195"/>
    <mergeCell ref="A197:C198"/>
    <mergeCell ref="D197:D198"/>
    <mergeCell ref="E197:E198"/>
    <mergeCell ref="F197:G198"/>
    <mergeCell ref="H197:H198"/>
    <mergeCell ref="I197:J197"/>
    <mergeCell ref="M194:M195"/>
    <mergeCell ref="N194:N195"/>
    <mergeCell ref="O194:O195"/>
    <mergeCell ref="R204:S204"/>
    <mergeCell ref="R205:S205"/>
    <mergeCell ref="R206:S206"/>
    <mergeCell ref="R207:S207"/>
    <mergeCell ref="R208:S208"/>
    <mergeCell ref="R209:S209"/>
    <mergeCell ref="Q197:S197"/>
    <mergeCell ref="T197:T198"/>
    <mergeCell ref="I198:J198"/>
    <mergeCell ref="R201:S201"/>
    <mergeCell ref="R202:S202"/>
    <mergeCell ref="R203:S203"/>
    <mergeCell ref="K197:K198"/>
    <mergeCell ref="L197:L198"/>
    <mergeCell ref="M197:M198"/>
    <mergeCell ref="N197:N198"/>
    <mergeCell ref="O197:O198"/>
    <mergeCell ref="P197:P198"/>
    <mergeCell ref="P213:P214"/>
    <mergeCell ref="Q213:S213"/>
    <mergeCell ref="T213:T214"/>
    <mergeCell ref="A213:C214"/>
    <mergeCell ref="F213:G214"/>
    <mergeCell ref="H213:H214"/>
    <mergeCell ref="I213:J213"/>
    <mergeCell ref="K213:K214"/>
    <mergeCell ref="L213:L214"/>
    <mergeCell ref="I214:J214"/>
    <mergeCell ref="D216:E216"/>
    <mergeCell ref="A219:C220"/>
    <mergeCell ref="D219:D220"/>
    <mergeCell ref="E219:E220"/>
    <mergeCell ref="F219:G220"/>
    <mergeCell ref="H219:H220"/>
    <mergeCell ref="M213:M214"/>
    <mergeCell ref="N213:N214"/>
    <mergeCell ref="O213:O214"/>
    <mergeCell ref="P219:P220"/>
    <mergeCell ref="Q219:S219"/>
    <mergeCell ref="T219:T220"/>
    <mergeCell ref="I220:J220"/>
    <mergeCell ref="D222:E222"/>
    <mergeCell ref="A225:C226"/>
    <mergeCell ref="D225:D226"/>
    <mergeCell ref="E225:E226"/>
    <mergeCell ref="F225:G226"/>
    <mergeCell ref="H225:H226"/>
    <mergeCell ref="I219:J219"/>
    <mergeCell ref="K219:K220"/>
    <mergeCell ref="L219:L220"/>
    <mergeCell ref="M219:M220"/>
    <mergeCell ref="N219:N220"/>
    <mergeCell ref="O219:O220"/>
    <mergeCell ref="P225:P226"/>
    <mergeCell ref="Q225:S225"/>
    <mergeCell ref="T225:T226"/>
    <mergeCell ref="I226:J226"/>
    <mergeCell ref="D228:E228"/>
    <mergeCell ref="A231:V232"/>
    <mergeCell ref="I225:J225"/>
    <mergeCell ref="K225:K226"/>
    <mergeCell ref="L225:L226"/>
    <mergeCell ref="M225:M226"/>
    <mergeCell ref="N225:N226"/>
    <mergeCell ref="O225:O226"/>
    <mergeCell ref="Q234:S234"/>
    <mergeCell ref="T234:T235"/>
    <mergeCell ref="G235:H235"/>
    <mergeCell ref="M234:M235"/>
    <mergeCell ref="N234:N235"/>
    <mergeCell ref="O234:O235"/>
    <mergeCell ref="P234:P235"/>
    <mergeCell ref="A237:C238"/>
    <mergeCell ref="D237:E238"/>
    <mergeCell ref="F237:F238"/>
    <mergeCell ref="G237:H237"/>
    <mergeCell ref="I237:I238"/>
    <mergeCell ref="J237:J238"/>
    <mergeCell ref="K237:K238"/>
    <mergeCell ref="K234:K235"/>
    <mergeCell ref="L234:L235"/>
    <mergeCell ref="A234:C235"/>
    <mergeCell ref="D234:E235"/>
    <mergeCell ref="F234:F235"/>
    <mergeCell ref="G234:H234"/>
    <mergeCell ref="I234:I235"/>
    <mergeCell ref="J234:J235"/>
    <mergeCell ref="R245:S245"/>
    <mergeCell ref="R246:S246"/>
    <mergeCell ref="R247:S247"/>
    <mergeCell ref="R248:S248"/>
    <mergeCell ref="R249:S249"/>
    <mergeCell ref="L261:M261"/>
    <mergeCell ref="T237:T238"/>
    <mergeCell ref="G238:H238"/>
    <mergeCell ref="R241:S241"/>
    <mergeCell ref="R242:S242"/>
    <mergeCell ref="R243:S243"/>
    <mergeCell ref="R244:S244"/>
    <mergeCell ref="L237:L238"/>
    <mergeCell ref="M237:M238"/>
    <mergeCell ref="N237:N238"/>
    <mergeCell ref="O237:O238"/>
    <mergeCell ref="P237:P238"/>
    <mergeCell ref="Q237:S237"/>
    <mergeCell ref="Q262:S262"/>
    <mergeCell ref="T262:T263"/>
    <mergeCell ref="G263:H263"/>
    <mergeCell ref="D265:E265"/>
    <mergeCell ref="L268:M268"/>
    <mergeCell ref="A269:C270"/>
    <mergeCell ref="D269:E270"/>
    <mergeCell ref="F269:F270"/>
    <mergeCell ref="G269:H269"/>
    <mergeCell ref="I269:I270"/>
    <mergeCell ref="K262:K263"/>
    <mergeCell ref="L262:L263"/>
    <mergeCell ref="M262:M263"/>
    <mergeCell ref="N262:N263"/>
    <mergeCell ref="O262:O263"/>
    <mergeCell ref="P262:P263"/>
    <mergeCell ref="A262:C263"/>
    <mergeCell ref="D262:E263"/>
    <mergeCell ref="F262:F263"/>
    <mergeCell ref="G262:H262"/>
    <mergeCell ref="I262:I263"/>
    <mergeCell ref="J262:J263"/>
    <mergeCell ref="A276:C277"/>
    <mergeCell ref="D276:E277"/>
    <mergeCell ref="F276:F277"/>
    <mergeCell ref="G276:H276"/>
    <mergeCell ref="I276:I277"/>
    <mergeCell ref="J276:J277"/>
    <mergeCell ref="P269:P270"/>
    <mergeCell ref="Q269:S269"/>
    <mergeCell ref="T269:T270"/>
    <mergeCell ref="G270:H270"/>
    <mergeCell ref="D272:E272"/>
    <mergeCell ref="L275:M275"/>
    <mergeCell ref="J269:J270"/>
    <mergeCell ref="K269:K270"/>
    <mergeCell ref="L269:L270"/>
    <mergeCell ref="M269:M270"/>
    <mergeCell ref="N269:N270"/>
    <mergeCell ref="O269:O270"/>
    <mergeCell ref="Q276:S276"/>
    <mergeCell ref="T276:T277"/>
    <mergeCell ref="G277:H277"/>
    <mergeCell ref="D279:E279"/>
    <mergeCell ref="M281:N281"/>
    <mergeCell ref="Q281:R281"/>
    <mergeCell ref="K276:K277"/>
    <mergeCell ref="L276:L277"/>
    <mergeCell ref="M276:M277"/>
    <mergeCell ref="N276:N277"/>
    <mergeCell ref="O276:O277"/>
    <mergeCell ref="P276:P277"/>
    <mergeCell ref="T293:U293"/>
    <mergeCell ref="B294:C294"/>
    <mergeCell ref="T294:U294"/>
    <mergeCell ref="H295:I295"/>
    <mergeCell ref="J295:K295"/>
    <mergeCell ref="L295:M295"/>
    <mergeCell ref="T295:U295"/>
    <mergeCell ref="Q284:R284"/>
    <mergeCell ref="Q285:R285"/>
    <mergeCell ref="Q286:R286"/>
    <mergeCell ref="E288:F288"/>
    <mergeCell ref="H288:I288"/>
    <mergeCell ref="B293:C293"/>
    <mergeCell ref="D293:E294"/>
    <mergeCell ref="F293:G293"/>
    <mergeCell ref="H293:M293"/>
    <mergeCell ref="AB299:AC299"/>
    <mergeCell ref="L300:M300"/>
    <mergeCell ref="J304:K304"/>
    <mergeCell ref="J305:K305"/>
    <mergeCell ref="J306:K306"/>
    <mergeCell ref="J307:K307"/>
    <mergeCell ref="H296:I296"/>
    <mergeCell ref="J296:K296"/>
    <mergeCell ref="L296:M296"/>
    <mergeCell ref="L297:M297"/>
    <mergeCell ref="L298:M298"/>
    <mergeCell ref="L299:M299"/>
    <mergeCell ref="Q314:S314"/>
    <mergeCell ref="T314:T315"/>
    <mergeCell ref="I315:J315"/>
    <mergeCell ref="J308:K308"/>
    <mergeCell ref="P308:Q308"/>
    <mergeCell ref="A311:V312"/>
    <mergeCell ref="A314:C315"/>
    <mergeCell ref="F314:G315"/>
    <mergeCell ref="H314:H315"/>
    <mergeCell ref="I314:J314"/>
    <mergeCell ref="K314:K315"/>
    <mergeCell ref="L314:L315"/>
    <mergeCell ref="M314:M315"/>
    <mergeCell ref="A317:C318"/>
    <mergeCell ref="D317:D318"/>
    <mergeCell ref="E317:E318"/>
    <mergeCell ref="F317:G318"/>
    <mergeCell ref="H317:H318"/>
    <mergeCell ref="I317:J317"/>
    <mergeCell ref="N314:N315"/>
    <mergeCell ref="O314:O315"/>
    <mergeCell ref="P314:P315"/>
    <mergeCell ref="R324:S324"/>
    <mergeCell ref="R325:S325"/>
    <mergeCell ref="R326:S326"/>
    <mergeCell ref="R327:S327"/>
    <mergeCell ref="R328:S328"/>
    <mergeCell ref="R329:S329"/>
    <mergeCell ref="Q317:S317"/>
    <mergeCell ref="T317:T318"/>
    <mergeCell ref="I318:J318"/>
    <mergeCell ref="R321:S321"/>
    <mergeCell ref="R322:S322"/>
    <mergeCell ref="R323:S323"/>
    <mergeCell ref="K317:K318"/>
    <mergeCell ref="L317:L318"/>
    <mergeCell ref="M317:M318"/>
    <mergeCell ref="N317:N318"/>
    <mergeCell ref="O317:O318"/>
    <mergeCell ref="P317:P318"/>
    <mergeCell ref="P337:P338"/>
    <mergeCell ref="Q337:S337"/>
    <mergeCell ref="T337:T338"/>
    <mergeCell ref="A337:C338"/>
    <mergeCell ref="F337:G338"/>
    <mergeCell ref="H337:H338"/>
    <mergeCell ref="I337:J337"/>
    <mergeCell ref="K337:K338"/>
    <mergeCell ref="L337:L338"/>
    <mergeCell ref="I338:J338"/>
    <mergeCell ref="D340:E340"/>
    <mergeCell ref="A343:C344"/>
    <mergeCell ref="D343:D344"/>
    <mergeCell ref="E343:E344"/>
    <mergeCell ref="F343:G344"/>
    <mergeCell ref="H343:H344"/>
    <mergeCell ref="M337:M338"/>
    <mergeCell ref="N337:N338"/>
    <mergeCell ref="O337:O338"/>
    <mergeCell ref="P343:P344"/>
    <mergeCell ref="Q343:S343"/>
    <mergeCell ref="T343:T344"/>
    <mergeCell ref="I344:J344"/>
    <mergeCell ref="D346:E346"/>
    <mergeCell ref="A349:C350"/>
    <mergeCell ref="D349:D350"/>
    <mergeCell ref="E349:E350"/>
    <mergeCell ref="F349:G350"/>
    <mergeCell ref="H349:H350"/>
    <mergeCell ref="I343:J343"/>
    <mergeCell ref="K343:K344"/>
    <mergeCell ref="L343:L344"/>
    <mergeCell ref="M343:M344"/>
    <mergeCell ref="N343:N344"/>
    <mergeCell ref="O343:O344"/>
    <mergeCell ref="P349:P350"/>
    <mergeCell ref="Q349:S349"/>
    <mergeCell ref="T349:T350"/>
    <mergeCell ref="I350:J350"/>
    <mergeCell ref="D352:E352"/>
    <mergeCell ref="A355:V356"/>
    <mergeCell ref="I349:J349"/>
    <mergeCell ref="K349:K350"/>
    <mergeCell ref="L349:L350"/>
    <mergeCell ref="M349:M350"/>
    <mergeCell ref="N349:N350"/>
    <mergeCell ref="O349:O350"/>
    <mergeCell ref="Q358:S358"/>
    <mergeCell ref="T358:T359"/>
    <mergeCell ref="G359:H359"/>
    <mergeCell ref="M358:M359"/>
    <mergeCell ref="N358:N359"/>
    <mergeCell ref="O358:O359"/>
    <mergeCell ref="P358:P359"/>
    <mergeCell ref="A361:C362"/>
    <mergeCell ref="D361:E362"/>
    <mergeCell ref="F361:F362"/>
    <mergeCell ref="G361:H361"/>
    <mergeCell ref="I361:I362"/>
    <mergeCell ref="J361:J362"/>
    <mergeCell ref="K361:K362"/>
    <mergeCell ref="K358:K359"/>
    <mergeCell ref="L358:L359"/>
    <mergeCell ref="A358:C359"/>
    <mergeCell ref="D358:E359"/>
    <mergeCell ref="F358:F359"/>
    <mergeCell ref="G358:H358"/>
    <mergeCell ref="I358:I359"/>
    <mergeCell ref="J358:J359"/>
    <mergeCell ref="R369:S369"/>
    <mergeCell ref="R370:S370"/>
    <mergeCell ref="R371:S371"/>
    <mergeCell ref="R372:S372"/>
    <mergeCell ref="R373:S373"/>
    <mergeCell ref="L390:M390"/>
    <mergeCell ref="T361:T362"/>
    <mergeCell ref="G362:H362"/>
    <mergeCell ref="R365:S365"/>
    <mergeCell ref="R366:S366"/>
    <mergeCell ref="R367:S367"/>
    <mergeCell ref="R368:S368"/>
    <mergeCell ref="L361:L362"/>
    <mergeCell ref="M361:M362"/>
    <mergeCell ref="N361:N362"/>
    <mergeCell ref="O361:O362"/>
    <mergeCell ref="P361:P362"/>
    <mergeCell ref="Q361:S361"/>
    <mergeCell ref="Q391:S391"/>
    <mergeCell ref="T391:T392"/>
    <mergeCell ref="G392:H392"/>
    <mergeCell ref="D394:E394"/>
    <mergeCell ref="L397:M397"/>
    <mergeCell ref="A398:C399"/>
    <mergeCell ref="D398:E399"/>
    <mergeCell ref="F398:F399"/>
    <mergeCell ref="G398:H398"/>
    <mergeCell ref="I398:I399"/>
    <mergeCell ref="K391:K392"/>
    <mergeCell ref="L391:L392"/>
    <mergeCell ref="M391:M392"/>
    <mergeCell ref="N391:N392"/>
    <mergeCell ref="O391:O392"/>
    <mergeCell ref="P391:P392"/>
    <mergeCell ref="A391:C392"/>
    <mergeCell ref="D391:E392"/>
    <mergeCell ref="F391:F392"/>
    <mergeCell ref="G391:H391"/>
    <mergeCell ref="I391:I392"/>
    <mergeCell ref="J391:J392"/>
    <mergeCell ref="A405:C406"/>
    <mergeCell ref="D405:E406"/>
    <mergeCell ref="F405:F406"/>
    <mergeCell ref="G405:H405"/>
    <mergeCell ref="I405:I406"/>
    <mergeCell ref="J405:J406"/>
    <mergeCell ref="P398:P399"/>
    <mergeCell ref="Q398:S398"/>
    <mergeCell ref="T398:T399"/>
    <mergeCell ref="G399:H399"/>
    <mergeCell ref="D401:E401"/>
    <mergeCell ref="L404:M404"/>
    <mergeCell ref="J398:J399"/>
    <mergeCell ref="K398:K399"/>
    <mergeCell ref="L398:L399"/>
    <mergeCell ref="M398:M399"/>
    <mergeCell ref="N398:N399"/>
    <mergeCell ref="O398:O399"/>
    <mergeCell ref="Q405:S405"/>
    <mergeCell ref="T405:T406"/>
    <mergeCell ref="G406:H406"/>
    <mergeCell ref="D408:E408"/>
    <mergeCell ref="M410:N410"/>
    <mergeCell ref="Q410:R410"/>
    <mergeCell ref="K405:K406"/>
    <mergeCell ref="L405:L406"/>
    <mergeCell ref="M405:M406"/>
    <mergeCell ref="N405:N406"/>
    <mergeCell ref="O405:O406"/>
    <mergeCell ref="P405:P406"/>
    <mergeCell ref="Q413:R413"/>
    <mergeCell ref="Q414:R414"/>
    <mergeCell ref="Q415:R415"/>
    <mergeCell ref="E417:F417"/>
    <mergeCell ref="H417:I417"/>
    <mergeCell ref="A427:C430"/>
    <mergeCell ref="D427:F430"/>
    <mergeCell ref="G427:H430"/>
    <mergeCell ref="I427:J430"/>
    <mergeCell ref="K427:L430"/>
    <mergeCell ref="M427:N430"/>
    <mergeCell ref="O427:P430"/>
    <mergeCell ref="Q427:R430"/>
    <mergeCell ref="S427:V430"/>
    <mergeCell ref="A431:A433"/>
    <mergeCell ref="B431:C433"/>
    <mergeCell ref="D431:E431"/>
    <mergeCell ref="F431:F433"/>
    <mergeCell ref="G431:G433"/>
    <mergeCell ref="H431:H433"/>
    <mergeCell ref="D432:E432"/>
    <mergeCell ref="K432:L432"/>
    <mergeCell ref="M432:N432"/>
    <mergeCell ref="O432:P432"/>
    <mergeCell ref="S432:V432"/>
    <mergeCell ref="D433:E433"/>
    <mergeCell ref="K433:L433"/>
    <mergeCell ref="M433:N433"/>
    <mergeCell ref="O433:P433"/>
    <mergeCell ref="S433:V433"/>
    <mergeCell ref="I431:J433"/>
    <mergeCell ref="K431:L431"/>
    <mergeCell ref="M431:N431"/>
    <mergeCell ref="O431:P431"/>
    <mergeCell ref="Q431:R433"/>
    <mergeCell ref="S431:V431"/>
  </mergeCells>
  <conditionalFormatting sqref="H123:H124 H289:H290 H418:H423">
    <cfRule type="cellIs" dxfId="26" priority="2" stopIfTrue="1" operator="equal">
      <formula>"Under Dimentioned"</formula>
    </cfRule>
  </conditionalFormatting>
  <conditionalFormatting sqref="H156">
    <cfRule type="cellIs" dxfId="25" priority="1" stopIfTrue="1" operator="equal">
      <formula>"Under Dimentioned"</formula>
    </cfRule>
  </conditionalFormatting>
  <dataValidations count="1">
    <dataValidation type="list" allowBlank="1" showInputMessage="1" showErrorMessage="1" sqref="D293 IZ293 SV293 ACR293 AMN293 AWJ293 BGF293 BQB293 BZX293 CJT293 CTP293 DDL293 DNH293 DXD293 EGZ293 EQV293 FAR293 FKN293 FUJ293 GEF293 GOB293 GXX293 HHT293 HRP293 IBL293 ILH293 IVD293 JEZ293 JOV293 JYR293 KIN293 KSJ293 LCF293 LMB293 LVX293 MFT293 MPP293 MZL293 NJH293 NTD293 OCZ293 OMV293 OWR293 PGN293 PQJ293 QAF293 QKB293 QTX293 RDT293 RNP293 RXL293 SHH293 SRD293 TAZ293 TKV293 TUR293 UEN293 UOJ293 UYF293 VIB293 VRX293 WBT293 WLP293 WVL293 D65829 IZ65829 SV65829 ACR65829 AMN65829 AWJ65829 BGF65829 BQB65829 BZX65829 CJT65829 CTP65829 DDL65829 DNH65829 DXD65829 EGZ65829 EQV65829 FAR65829 FKN65829 FUJ65829 GEF65829 GOB65829 GXX65829 HHT65829 HRP65829 IBL65829 ILH65829 IVD65829 JEZ65829 JOV65829 JYR65829 KIN65829 KSJ65829 LCF65829 LMB65829 LVX65829 MFT65829 MPP65829 MZL65829 NJH65829 NTD65829 OCZ65829 OMV65829 OWR65829 PGN65829 PQJ65829 QAF65829 QKB65829 QTX65829 RDT65829 RNP65829 RXL65829 SHH65829 SRD65829 TAZ65829 TKV65829 TUR65829 UEN65829 UOJ65829 UYF65829 VIB65829 VRX65829 WBT65829 WLP65829 WVL65829 D131365 IZ131365 SV131365 ACR131365 AMN131365 AWJ131365 BGF131365 BQB131365 BZX131365 CJT131365 CTP131365 DDL131365 DNH131365 DXD131365 EGZ131365 EQV131365 FAR131365 FKN131365 FUJ131365 GEF131365 GOB131365 GXX131365 HHT131365 HRP131365 IBL131365 ILH131365 IVD131365 JEZ131365 JOV131365 JYR131365 KIN131365 KSJ131365 LCF131365 LMB131365 LVX131365 MFT131365 MPP131365 MZL131365 NJH131365 NTD131365 OCZ131365 OMV131365 OWR131365 PGN131365 PQJ131365 QAF131365 QKB131365 QTX131365 RDT131365 RNP131365 RXL131365 SHH131365 SRD131365 TAZ131365 TKV131365 TUR131365 UEN131365 UOJ131365 UYF131365 VIB131365 VRX131365 WBT131365 WLP131365 WVL131365 D196901 IZ196901 SV196901 ACR196901 AMN196901 AWJ196901 BGF196901 BQB196901 BZX196901 CJT196901 CTP196901 DDL196901 DNH196901 DXD196901 EGZ196901 EQV196901 FAR196901 FKN196901 FUJ196901 GEF196901 GOB196901 GXX196901 HHT196901 HRP196901 IBL196901 ILH196901 IVD196901 JEZ196901 JOV196901 JYR196901 KIN196901 KSJ196901 LCF196901 LMB196901 LVX196901 MFT196901 MPP196901 MZL196901 NJH196901 NTD196901 OCZ196901 OMV196901 OWR196901 PGN196901 PQJ196901 QAF196901 QKB196901 QTX196901 RDT196901 RNP196901 RXL196901 SHH196901 SRD196901 TAZ196901 TKV196901 TUR196901 UEN196901 UOJ196901 UYF196901 VIB196901 VRX196901 WBT196901 WLP196901 WVL196901 D262437 IZ262437 SV262437 ACR262437 AMN262437 AWJ262437 BGF262437 BQB262437 BZX262437 CJT262437 CTP262437 DDL262437 DNH262437 DXD262437 EGZ262437 EQV262437 FAR262437 FKN262437 FUJ262437 GEF262437 GOB262437 GXX262437 HHT262437 HRP262437 IBL262437 ILH262437 IVD262437 JEZ262437 JOV262437 JYR262437 KIN262437 KSJ262437 LCF262437 LMB262437 LVX262437 MFT262437 MPP262437 MZL262437 NJH262437 NTD262437 OCZ262437 OMV262437 OWR262437 PGN262437 PQJ262437 QAF262437 QKB262437 QTX262437 RDT262437 RNP262437 RXL262437 SHH262437 SRD262437 TAZ262437 TKV262437 TUR262437 UEN262437 UOJ262437 UYF262437 VIB262437 VRX262437 WBT262437 WLP262437 WVL262437 D327973 IZ327973 SV327973 ACR327973 AMN327973 AWJ327973 BGF327973 BQB327973 BZX327973 CJT327973 CTP327973 DDL327973 DNH327973 DXD327973 EGZ327973 EQV327973 FAR327973 FKN327973 FUJ327973 GEF327973 GOB327973 GXX327973 HHT327973 HRP327973 IBL327973 ILH327973 IVD327973 JEZ327973 JOV327973 JYR327973 KIN327973 KSJ327973 LCF327973 LMB327973 LVX327973 MFT327973 MPP327973 MZL327973 NJH327973 NTD327973 OCZ327973 OMV327973 OWR327973 PGN327973 PQJ327973 QAF327973 QKB327973 QTX327973 RDT327973 RNP327973 RXL327973 SHH327973 SRD327973 TAZ327973 TKV327973 TUR327973 UEN327973 UOJ327973 UYF327973 VIB327973 VRX327973 WBT327973 WLP327973 WVL327973 D393509 IZ393509 SV393509 ACR393509 AMN393509 AWJ393509 BGF393509 BQB393509 BZX393509 CJT393509 CTP393509 DDL393509 DNH393509 DXD393509 EGZ393509 EQV393509 FAR393509 FKN393509 FUJ393509 GEF393509 GOB393509 GXX393509 HHT393509 HRP393509 IBL393509 ILH393509 IVD393509 JEZ393509 JOV393509 JYR393509 KIN393509 KSJ393509 LCF393509 LMB393509 LVX393509 MFT393509 MPP393509 MZL393509 NJH393509 NTD393509 OCZ393509 OMV393509 OWR393509 PGN393509 PQJ393509 QAF393509 QKB393509 QTX393509 RDT393509 RNP393509 RXL393509 SHH393509 SRD393509 TAZ393509 TKV393509 TUR393509 UEN393509 UOJ393509 UYF393509 VIB393509 VRX393509 WBT393509 WLP393509 WVL393509 D459045 IZ459045 SV459045 ACR459045 AMN459045 AWJ459045 BGF459045 BQB459045 BZX459045 CJT459045 CTP459045 DDL459045 DNH459045 DXD459045 EGZ459045 EQV459045 FAR459045 FKN459045 FUJ459045 GEF459045 GOB459045 GXX459045 HHT459045 HRP459045 IBL459045 ILH459045 IVD459045 JEZ459045 JOV459045 JYR459045 KIN459045 KSJ459045 LCF459045 LMB459045 LVX459045 MFT459045 MPP459045 MZL459045 NJH459045 NTD459045 OCZ459045 OMV459045 OWR459045 PGN459045 PQJ459045 QAF459045 QKB459045 QTX459045 RDT459045 RNP459045 RXL459045 SHH459045 SRD459045 TAZ459045 TKV459045 TUR459045 UEN459045 UOJ459045 UYF459045 VIB459045 VRX459045 WBT459045 WLP459045 WVL459045 D524581 IZ524581 SV524581 ACR524581 AMN524581 AWJ524581 BGF524581 BQB524581 BZX524581 CJT524581 CTP524581 DDL524581 DNH524581 DXD524581 EGZ524581 EQV524581 FAR524581 FKN524581 FUJ524581 GEF524581 GOB524581 GXX524581 HHT524581 HRP524581 IBL524581 ILH524581 IVD524581 JEZ524581 JOV524581 JYR524581 KIN524581 KSJ524581 LCF524581 LMB524581 LVX524581 MFT524581 MPP524581 MZL524581 NJH524581 NTD524581 OCZ524581 OMV524581 OWR524581 PGN524581 PQJ524581 QAF524581 QKB524581 QTX524581 RDT524581 RNP524581 RXL524581 SHH524581 SRD524581 TAZ524581 TKV524581 TUR524581 UEN524581 UOJ524581 UYF524581 VIB524581 VRX524581 WBT524581 WLP524581 WVL524581 D590117 IZ590117 SV590117 ACR590117 AMN590117 AWJ590117 BGF590117 BQB590117 BZX590117 CJT590117 CTP590117 DDL590117 DNH590117 DXD590117 EGZ590117 EQV590117 FAR590117 FKN590117 FUJ590117 GEF590117 GOB590117 GXX590117 HHT590117 HRP590117 IBL590117 ILH590117 IVD590117 JEZ590117 JOV590117 JYR590117 KIN590117 KSJ590117 LCF590117 LMB590117 LVX590117 MFT590117 MPP590117 MZL590117 NJH590117 NTD590117 OCZ590117 OMV590117 OWR590117 PGN590117 PQJ590117 QAF590117 QKB590117 QTX590117 RDT590117 RNP590117 RXL590117 SHH590117 SRD590117 TAZ590117 TKV590117 TUR590117 UEN590117 UOJ590117 UYF590117 VIB590117 VRX590117 WBT590117 WLP590117 WVL590117 D655653 IZ655653 SV655653 ACR655653 AMN655653 AWJ655653 BGF655653 BQB655653 BZX655653 CJT655653 CTP655653 DDL655653 DNH655653 DXD655653 EGZ655653 EQV655653 FAR655653 FKN655653 FUJ655653 GEF655653 GOB655653 GXX655653 HHT655653 HRP655653 IBL655653 ILH655653 IVD655653 JEZ655653 JOV655653 JYR655653 KIN655653 KSJ655653 LCF655653 LMB655653 LVX655653 MFT655653 MPP655653 MZL655653 NJH655653 NTD655653 OCZ655653 OMV655653 OWR655653 PGN655653 PQJ655653 QAF655653 QKB655653 QTX655653 RDT655653 RNP655653 RXL655653 SHH655653 SRD655653 TAZ655653 TKV655653 TUR655653 UEN655653 UOJ655653 UYF655653 VIB655653 VRX655653 WBT655653 WLP655653 WVL655653 D721189 IZ721189 SV721189 ACR721189 AMN721189 AWJ721189 BGF721189 BQB721189 BZX721189 CJT721189 CTP721189 DDL721189 DNH721189 DXD721189 EGZ721189 EQV721189 FAR721189 FKN721189 FUJ721189 GEF721189 GOB721189 GXX721189 HHT721189 HRP721189 IBL721189 ILH721189 IVD721189 JEZ721189 JOV721189 JYR721189 KIN721189 KSJ721189 LCF721189 LMB721189 LVX721189 MFT721189 MPP721189 MZL721189 NJH721189 NTD721189 OCZ721189 OMV721189 OWR721189 PGN721189 PQJ721189 QAF721189 QKB721189 QTX721189 RDT721189 RNP721189 RXL721189 SHH721189 SRD721189 TAZ721189 TKV721189 TUR721189 UEN721189 UOJ721189 UYF721189 VIB721189 VRX721189 WBT721189 WLP721189 WVL721189 D786725 IZ786725 SV786725 ACR786725 AMN786725 AWJ786725 BGF786725 BQB786725 BZX786725 CJT786725 CTP786725 DDL786725 DNH786725 DXD786725 EGZ786725 EQV786725 FAR786725 FKN786725 FUJ786725 GEF786725 GOB786725 GXX786725 HHT786725 HRP786725 IBL786725 ILH786725 IVD786725 JEZ786725 JOV786725 JYR786725 KIN786725 KSJ786725 LCF786725 LMB786725 LVX786725 MFT786725 MPP786725 MZL786725 NJH786725 NTD786725 OCZ786725 OMV786725 OWR786725 PGN786725 PQJ786725 QAF786725 QKB786725 QTX786725 RDT786725 RNP786725 RXL786725 SHH786725 SRD786725 TAZ786725 TKV786725 TUR786725 UEN786725 UOJ786725 UYF786725 VIB786725 VRX786725 WBT786725 WLP786725 WVL786725 D852261 IZ852261 SV852261 ACR852261 AMN852261 AWJ852261 BGF852261 BQB852261 BZX852261 CJT852261 CTP852261 DDL852261 DNH852261 DXD852261 EGZ852261 EQV852261 FAR852261 FKN852261 FUJ852261 GEF852261 GOB852261 GXX852261 HHT852261 HRP852261 IBL852261 ILH852261 IVD852261 JEZ852261 JOV852261 JYR852261 KIN852261 KSJ852261 LCF852261 LMB852261 LVX852261 MFT852261 MPP852261 MZL852261 NJH852261 NTD852261 OCZ852261 OMV852261 OWR852261 PGN852261 PQJ852261 QAF852261 QKB852261 QTX852261 RDT852261 RNP852261 RXL852261 SHH852261 SRD852261 TAZ852261 TKV852261 TUR852261 UEN852261 UOJ852261 UYF852261 VIB852261 VRX852261 WBT852261 WLP852261 WVL852261 D917797 IZ917797 SV917797 ACR917797 AMN917797 AWJ917797 BGF917797 BQB917797 BZX917797 CJT917797 CTP917797 DDL917797 DNH917797 DXD917797 EGZ917797 EQV917797 FAR917797 FKN917797 FUJ917797 GEF917797 GOB917797 GXX917797 HHT917797 HRP917797 IBL917797 ILH917797 IVD917797 JEZ917797 JOV917797 JYR917797 KIN917797 KSJ917797 LCF917797 LMB917797 LVX917797 MFT917797 MPP917797 MZL917797 NJH917797 NTD917797 OCZ917797 OMV917797 OWR917797 PGN917797 PQJ917797 QAF917797 QKB917797 QTX917797 RDT917797 RNP917797 RXL917797 SHH917797 SRD917797 TAZ917797 TKV917797 TUR917797 UEN917797 UOJ917797 UYF917797 VIB917797 VRX917797 WBT917797 WLP917797 WVL917797 D983333 IZ983333 SV983333 ACR983333 AMN983333 AWJ983333 BGF983333 BQB983333 BZX983333 CJT983333 CTP983333 DDL983333 DNH983333 DXD983333 EGZ983333 EQV983333 FAR983333 FKN983333 FUJ983333 GEF983333 GOB983333 GXX983333 HHT983333 HRP983333 IBL983333 ILH983333 IVD983333 JEZ983333 JOV983333 JYR983333 KIN983333 KSJ983333 LCF983333 LMB983333 LVX983333 MFT983333 MPP983333 MZL983333 NJH983333 NTD983333 OCZ983333 OMV983333 OWR983333 PGN983333 PQJ983333 QAF983333 QKB983333 QTX983333 RDT983333 RNP983333 RXL983333 SHH983333 SRD983333 TAZ983333 TKV983333 TUR983333 UEN983333 UOJ983333 UYF983333 VIB983333 VRX983333 WBT983333 WLP983333 WVL983333 D173 IZ173 SV173 ACR173 AMN173 AWJ173 BGF173 BQB173 BZX173 CJT173 CTP173 DDL173 DNH173 DXD173 EGZ173 EQV173 FAR173 FKN173 FUJ173 GEF173 GOB173 GXX173 HHT173 HRP173 IBL173 ILH173 IVD173 JEZ173 JOV173 JYR173 KIN173 KSJ173 LCF173 LMB173 LVX173 MFT173 MPP173 MZL173 NJH173 NTD173 OCZ173 OMV173 OWR173 PGN173 PQJ173 QAF173 QKB173 QTX173 RDT173 RNP173 RXL173 SHH173 SRD173 TAZ173 TKV173 TUR173 UEN173 UOJ173 UYF173 VIB173 VRX173 WBT173 WLP173 WVL173 D65709 IZ65709 SV65709 ACR65709 AMN65709 AWJ65709 BGF65709 BQB65709 BZX65709 CJT65709 CTP65709 DDL65709 DNH65709 DXD65709 EGZ65709 EQV65709 FAR65709 FKN65709 FUJ65709 GEF65709 GOB65709 GXX65709 HHT65709 HRP65709 IBL65709 ILH65709 IVD65709 JEZ65709 JOV65709 JYR65709 KIN65709 KSJ65709 LCF65709 LMB65709 LVX65709 MFT65709 MPP65709 MZL65709 NJH65709 NTD65709 OCZ65709 OMV65709 OWR65709 PGN65709 PQJ65709 QAF65709 QKB65709 QTX65709 RDT65709 RNP65709 RXL65709 SHH65709 SRD65709 TAZ65709 TKV65709 TUR65709 UEN65709 UOJ65709 UYF65709 VIB65709 VRX65709 WBT65709 WLP65709 WVL65709 D131245 IZ131245 SV131245 ACR131245 AMN131245 AWJ131245 BGF131245 BQB131245 BZX131245 CJT131245 CTP131245 DDL131245 DNH131245 DXD131245 EGZ131245 EQV131245 FAR131245 FKN131245 FUJ131245 GEF131245 GOB131245 GXX131245 HHT131245 HRP131245 IBL131245 ILH131245 IVD131245 JEZ131245 JOV131245 JYR131245 KIN131245 KSJ131245 LCF131245 LMB131245 LVX131245 MFT131245 MPP131245 MZL131245 NJH131245 NTD131245 OCZ131245 OMV131245 OWR131245 PGN131245 PQJ131245 QAF131245 QKB131245 QTX131245 RDT131245 RNP131245 RXL131245 SHH131245 SRD131245 TAZ131245 TKV131245 TUR131245 UEN131245 UOJ131245 UYF131245 VIB131245 VRX131245 WBT131245 WLP131245 WVL131245 D196781 IZ196781 SV196781 ACR196781 AMN196781 AWJ196781 BGF196781 BQB196781 BZX196781 CJT196781 CTP196781 DDL196781 DNH196781 DXD196781 EGZ196781 EQV196781 FAR196781 FKN196781 FUJ196781 GEF196781 GOB196781 GXX196781 HHT196781 HRP196781 IBL196781 ILH196781 IVD196781 JEZ196781 JOV196781 JYR196781 KIN196781 KSJ196781 LCF196781 LMB196781 LVX196781 MFT196781 MPP196781 MZL196781 NJH196781 NTD196781 OCZ196781 OMV196781 OWR196781 PGN196781 PQJ196781 QAF196781 QKB196781 QTX196781 RDT196781 RNP196781 RXL196781 SHH196781 SRD196781 TAZ196781 TKV196781 TUR196781 UEN196781 UOJ196781 UYF196781 VIB196781 VRX196781 WBT196781 WLP196781 WVL196781 D262317 IZ262317 SV262317 ACR262317 AMN262317 AWJ262317 BGF262317 BQB262317 BZX262317 CJT262317 CTP262317 DDL262317 DNH262317 DXD262317 EGZ262317 EQV262317 FAR262317 FKN262317 FUJ262317 GEF262317 GOB262317 GXX262317 HHT262317 HRP262317 IBL262317 ILH262317 IVD262317 JEZ262317 JOV262317 JYR262317 KIN262317 KSJ262317 LCF262317 LMB262317 LVX262317 MFT262317 MPP262317 MZL262317 NJH262317 NTD262317 OCZ262317 OMV262317 OWR262317 PGN262317 PQJ262317 QAF262317 QKB262317 QTX262317 RDT262317 RNP262317 RXL262317 SHH262317 SRD262317 TAZ262317 TKV262317 TUR262317 UEN262317 UOJ262317 UYF262317 VIB262317 VRX262317 WBT262317 WLP262317 WVL262317 D327853 IZ327853 SV327853 ACR327853 AMN327853 AWJ327853 BGF327853 BQB327853 BZX327853 CJT327853 CTP327853 DDL327853 DNH327853 DXD327853 EGZ327853 EQV327853 FAR327853 FKN327853 FUJ327853 GEF327853 GOB327853 GXX327853 HHT327853 HRP327853 IBL327853 ILH327853 IVD327853 JEZ327853 JOV327853 JYR327853 KIN327853 KSJ327853 LCF327853 LMB327853 LVX327853 MFT327853 MPP327853 MZL327853 NJH327853 NTD327853 OCZ327853 OMV327853 OWR327853 PGN327853 PQJ327853 QAF327853 QKB327853 QTX327853 RDT327853 RNP327853 RXL327853 SHH327853 SRD327853 TAZ327853 TKV327853 TUR327853 UEN327853 UOJ327853 UYF327853 VIB327853 VRX327853 WBT327853 WLP327853 WVL327853 D393389 IZ393389 SV393389 ACR393389 AMN393389 AWJ393389 BGF393389 BQB393389 BZX393389 CJT393389 CTP393389 DDL393389 DNH393389 DXD393389 EGZ393389 EQV393389 FAR393389 FKN393389 FUJ393389 GEF393389 GOB393389 GXX393389 HHT393389 HRP393389 IBL393389 ILH393389 IVD393389 JEZ393389 JOV393389 JYR393389 KIN393389 KSJ393389 LCF393389 LMB393389 LVX393389 MFT393389 MPP393389 MZL393389 NJH393389 NTD393389 OCZ393389 OMV393389 OWR393389 PGN393389 PQJ393389 QAF393389 QKB393389 QTX393389 RDT393389 RNP393389 RXL393389 SHH393389 SRD393389 TAZ393389 TKV393389 TUR393389 UEN393389 UOJ393389 UYF393389 VIB393389 VRX393389 WBT393389 WLP393389 WVL393389 D458925 IZ458925 SV458925 ACR458925 AMN458925 AWJ458925 BGF458925 BQB458925 BZX458925 CJT458925 CTP458925 DDL458925 DNH458925 DXD458925 EGZ458925 EQV458925 FAR458925 FKN458925 FUJ458925 GEF458925 GOB458925 GXX458925 HHT458925 HRP458925 IBL458925 ILH458925 IVD458925 JEZ458925 JOV458925 JYR458925 KIN458925 KSJ458925 LCF458925 LMB458925 LVX458925 MFT458925 MPP458925 MZL458925 NJH458925 NTD458925 OCZ458925 OMV458925 OWR458925 PGN458925 PQJ458925 QAF458925 QKB458925 QTX458925 RDT458925 RNP458925 RXL458925 SHH458925 SRD458925 TAZ458925 TKV458925 TUR458925 UEN458925 UOJ458925 UYF458925 VIB458925 VRX458925 WBT458925 WLP458925 WVL458925 D524461 IZ524461 SV524461 ACR524461 AMN524461 AWJ524461 BGF524461 BQB524461 BZX524461 CJT524461 CTP524461 DDL524461 DNH524461 DXD524461 EGZ524461 EQV524461 FAR524461 FKN524461 FUJ524461 GEF524461 GOB524461 GXX524461 HHT524461 HRP524461 IBL524461 ILH524461 IVD524461 JEZ524461 JOV524461 JYR524461 KIN524461 KSJ524461 LCF524461 LMB524461 LVX524461 MFT524461 MPP524461 MZL524461 NJH524461 NTD524461 OCZ524461 OMV524461 OWR524461 PGN524461 PQJ524461 QAF524461 QKB524461 QTX524461 RDT524461 RNP524461 RXL524461 SHH524461 SRD524461 TAZ524461 TKV524461 TUR524461 UEN524461 UOJ524461 UYF524461 VIB524461 VRX524461 WBT524461 WLP524461 WVL524461 D589997 IZ589997 SV589997 ACR589997 AMN589997 AWJ589997 BGF589997 BQB589997 BZX589997 CJT589997 CTP589997 DDL589997 DNH589997 DXD589997 EGZ589997 EQV589997 FAR589997 FKN589997 FUJ589997 GEF589997 GOB589997 GXX589997 HHT589997 HRP589997 IBL589997 ILH589997 IVD589997 JEZ589997 JOV589997 JYR589997 KIN589997 KSJ589997 LCF589997 LMB589997 LVX589997 MFT589997 MPP589997 MZL589997 NJH589997 NTD589997 OCZ589997 OMV589997 OWR589997 PGN589997 PQJ589997 QAF589997 QKB589997 QTX589997 RDT589997 RNP589997 RXL589997 SHH589997 SRD589997 TAZ589997 TKV589997 TUR589997 UEN589997 UOJ589997 UYF589997 VIB589997 VRX589997 WBT589997 WLP589997 WVL589997 D655533 IZ655533 SV655533 ACR655533 AMN655533 AWJ655533 BGF655533 BQB655533 BZX655533 CJT655533 CTP655533 DDL655533 DNH655533 DXD655533 EGZ655533 EQV655533 FAR655533 FKN655533 FUJ655533 GEF655533 GOB655533 GXX655533 HHT655533 HRP655533 IBL655533 ILH655533 IVD655533 JEZ655533 JOV655533 JYR655533 KIN655533 KSJ655533 LCF655533 LMB655533 LVX655533 MFT655533 MPP655533 MZL655533 NJH655533 NTD655533 OCZ655533 OMV655533 OWR655533 PGN655533 PQJ655533 QAF655533 QKB655533 QTX655533 RDT655533 RNP655533 RXL655533 SHH655533 SRD655533 TAZ655533 TKV655533 TUR655533 UEN655533 UOJ655533 UYF655533 VIB655533 VRX655533 WBT655533 WLP655533 WVL655533 D721069 IZ721069 SV721069 ACR721069 AMN721069 AWJ721069 BGF721069 BQB721069 BZX721069 CJT721069 CTP721069 DDL721069 DNH721069 DXD721069 EGZ721069 EQV721069 FAR721069 FKN721069 FUJ721069 GEF721069 GOB721069 GXX721069 HHT721069 HRP721069 IBL721069 ILH721069 IVD721069 JEZ721069 JOV721069 JYR721069 KIN721069 KSJ721069 LCF721069 LMB721069 LVX721069 MFT721069 MPP721069 MZL721069 NJH721069 NTD721069 OCZ721069 OMV721069 OWR721069 PGN721069 PQJ721069 QAF721069 QKB721069 QTX721069 RDT721069 RNP721069 RXL721069 SHH721069 SRD721069 TAZ721069 TKV721069 TUR721069 UEN721069 UOJ721069 UYF721069 VIB721069 VRX721069 WBT721069 WLP721069 WVL721069 D786605 IZ786605 SV786605 ACR786605 AMN786605 AWJ786605 BGF786605 BQB786605 BZX786605 CJT786605 CTP786605 DDL786605 DNH786605 DXD786605 EGZ786605 EQV786605 FAR786605 FKN786605 FUJ786605 GEF786605 GOB786605 GXX786605 HHT786605 HRP786605 IBL786605 ILH786605 IVD786605 JEZ786605 JOV786605 JYR786605 KIN786605 KSJ786605 LCF786605 LMB786605 LVX786605 MFT786605 MPP786605 MZL786605 NJH786605 NTD786605 OCZ786605 OMV786605 OWR786605 PGN786605 PQJ786605 QAF786605 QKB786605 QTX786605 RDT786605 RNP786605 RXL786605 SHH786605 SRD786605 TAZ786605 TKV786605 TUR786605 UEN786605 UOJ786605 UYF786605 VIB786605 VRX786605 WBT786605 WLP786605 WVL786605 D852141 IZ852141 SV852141 ACR852141 AMN852141 AWJ852141 BGF852141 BQB852141 BZX852141 CJT852141 CTP852141 DDL852141 DNH852141 DXD852141 EGZ852141 EQV852141 FAR852141 FKN852141 FUJ852141 GEF852141 GOB852141 GXX852141 HHT852141 HRP852141 IBL852141 ILH852141 IVD852141 JEZ852141 JOV852141 JYR852141 KIN852141 KSJ852141 LCF852141 LMB852141 LVX852141 MFT852141 MPP852141 MZL852141 NJH852141 NTD852141 OCZ852141 OMV852141 OWR852141 PGN852141 PQJ852141 QAF852141 QKB852141 QTX852141 RDT852141 RNP852141 RXL852141 SHH852141 SRD852141 TAZ852141 TKV852141 TUR852141 UEN852141 UOJ852141 UYF852141 VIB852141 VRX852141 WBT852141 WLP852141 WVL852141 D917677 IZ917677 SV917677 ACR917677 AMN917677 AWJ917677 BGF917677 BQB917677 BZX917677 CJT917677 CTP917677 DDL917677 DNH917677 DXD917677 EGZ917677 EQV917677 FAR917677 FKN917677 FUJ917677 GEF917677 GOB917677 GXX917677 HHT917677 HRP917677 IBL917677 ILH917677 IVD917677 JEZ917677 JOV917677 JYR917677 KIN917677 KSJ917677 LCF917677 LMB917677 LVX917677 MFT917677 MPP917677 MZL917677 NJH917677 NTD917677 OCZ917677 OMV917677 OWR917677 PGN917677 PQJ917677 QAF917677 QKB917677 QTX917677 RDT917677 RNP917677 RXL917677 SHH917677 SRD917677 TAZ917677 TKV917677 TUR917677 UEN917677 UOJ917677 UYF917677 VIB917677 VRX917677 WBT917677 WLP917677 WVL917677 D983213 IZ983213 SV983213 ACR983213 AMN983213 AWJ983213 BGF983213 BQB983213 BZX983213 CJT983213 CTP983213 DDL983213 DNH983213 DXD983213 EGZ983213 EQV983213 FAR983213 FKN983213 FUJ983213 GEF983213 GOB983213 GXX983213 HHT983213 HRP983213 IBL983213 ILH983213 IVD983213 JEZ983213 JOV983213 JYR983213 KIN983213 KSJ983213 LCF983213 LMB983213 LVX983213 MFT983213 MPP983213 MZL983213 NJH983213 NTD983213 OCZ983213 OMV983213 OWR983213 PGN983213 PQJ983213 QAF983213 QKB983213 QTX983213 RDT983213 RNP983213 RXL983213 SHH983213 SRD983213 TAZ983213 TKV983213 TUR983213 UEN983213 UOJ983213 UYF983213 VIB983213 VRX983213 WBT983213 WLP983213 WVL983213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WVL983047" xr:uid="{74C8DC05-FEA7-4CE4-91BB-8CE0533ADE20}">
      <formula1>"Core1,Core2,Core3"</formula1>
    </dataValidation>
  </dataValidations>
  <printOptions horizontalCentered="1" verticalCentered="1"/>
  <pageMargins left="0.5" right="0.5" top="0.5" bottom="0.5" header="0" footer="0"/>
  <pageSetup paperSize="9" scale="90" orientation="portrait" r:id="rId1"/>
  <headerFooter alignWithMargins="0"/>
  <rowBreaks count="3" manualBreakCount="3">
    <brk id="45" max="21" man="1"/>
    <brk id="85" max="21" man="1"/>
    <brk id="125" max="21" man="1"/>
  </rowBreak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160BA-B576-4D83-8CE8-2FE694075575}">
  <sheetPr>
    <tabColor rgb="FFFFFF00"/>
  </sheetPr>
  <dimension ref="A1:AC419"/>
  <sheetViews>
    <sheetView showZeros="0" view="pageBreakPreview" topLeftCell="A384" zoomScaleNormal="100" zoomScaleSheetLayoutView="100" workbookViewId="0">
      <selection activeCell="K13" sqref="K13"/>
    </sheetView>
  </sheetViews>
  <sheetFormatPr defaultColWidth="4.33203125" defaultRowHeight="18" customHeight="1"/>
  <cols>
    <col min="1" max="3" width="4.33203125" style="30"/>
    <col min="4" max="4" width="5" style="30" bestFit="1" customWidth="1"/>
    <col min="5" max="16" width="4.33203125" style="30"/>
    <col min="17" max="17" width="4.33203125" style="30" customWidth="1"/>
    <col min="18" max="21" width="4.33203125" style="30"/>
    <col min="22" max="22" width="4.33203125" style="30" customWidth="1"/>
    <col min="23" max="16384" width="4.33203125" style="30"/>
  </cols>
  <sheetData>
    <row r="1" spans="1:29" ht="18" customHeight="1">
      <c r="A1" s="717" t="s">
        <v>0</v>
      </c>
      <c r="B1" s="718"/>
      <c r="C1" s="718"/>
      <c r="D1" s="718"/>
      <c r="E1" s="718"/>
      <c r="F1" s="718"/>
      <c r="G1" s="719"/>
      <c r="H1" s="726" t="str">
        <f>[4]Title!H1</f>
        <v>CT / VT</v>
      </c>
      <c r="I1" s="727"/>
      <c r="J1" s="727"/>
      <c r="K1" s="727"/>
      <c r="L1" s="727"/>
      <c r="M1" s="727"/>
      <c r="N1" s="728"/>
      <c r="O1" s="702" t="str">
        <f>[4]Title!O1</f>
        <v>Contract No.</v>
      </c>
      <c r="P1" s="703"/>
      <c r="Q1" s="704"/>
      <c r="R1" s="705" t="str">
        <f>Title!R1</f>
        <v>N-19957.1-DF5W</v>
      </c>
      <c r="S1" s="706"/>
      <c r="T1" s="706"/>
      <c r="U1" s="706"/>
      <c r="V1" s="707"/>
      <c r="W1" s="14"/>
      <c r="X1" s="14"/>
    </row>
    <row r="2" spans="1:29" ht="18" customHeight="1">
      <c r="A2" s="720"/>
      <c r="B2" s="721"/>
      <c r="C2" s="721"/>
      <c r="D2" s="721"/>
      <c r="E2" s="721"/>
      <c r="F2" s="721"/>
      <c r="G2" s="722"/>
      <c r="H2" s="729" t="str">
        <f>[4]Title!H2</f>
        <v>ADEQUACY CHECK</v>
      </c>
      <c r="I2" s="730"/>
      <c r="J2" s="730"/>
      <c r="K2" s="730"/>
      <c r="L2" s="730"/>
      <c r="M2" s="730"/>
      <c r="N2" s="731"/>
      <c r="O2" s="702" t="str">
        <f>[4]Title!O2</f>
        <v>Date</v>
      </c>
      <c r="P2" s="703"/>
      <c r="Q2" s="704"/>
      <c r="R2" s="732">
        <f>Title!R2</f>
        <v>46106</v>
      </c>
      <c r="S2" s="706"/>
      <c r="T2" s="706"/>
      <c r="U2" s="706"/>
      <c r="V2" s="707"/>
      <c r="W2" s="14"/>
      <c r="X2" s="14"/>
    </row>
    <row r="3" spans="1:29" ht="18" customHeight="1">
      <c r="A3" s="720"/>
      <c r="B3" s="721"/>
      <c r="C3" s="721"/>
      <c r="D3" s="721"/>
      <c r="E3" s="721"/>
      <c r="F3" s="721"/>
      <c r="G3" s="722"/>
      <c r="H3" s="735" t="str">
        <f>Title!H3</f>
        <v>LT14 - LEWIS
400/132kV SUBSTATION</v>
      </c>
      <c r="I3" s="736"/>
      <c r="J3" s="736"/>
      <c r="K3" s="736"/>
      <c r="L3" s="736"/>
      <c r="M3" s="736"/>
      <c r="N3" s="737"/>
      <c r="O3" s="702" t="str">
        <f>[4]Title!O3</f>
        <v>Document No.</v>
      </c>
      <c r="P3" s="703"/>
      <c r="Q3" s="704"/>
      <c r="R3" s="705" t="str">
        <f>Title!R3</f>
        <v>-</v>
      </c>
      <c r="S3" s="706"/>
      <c r="T3" s="706"/>
      <c r="U3" s="706"/>
      <c r="V3" s="707"/>
      <c r="W3" s="14"/>
      <c r="X3" s="14"/>
    </row>
    <row r="4" spans="1:29" ht="18" customHeight="1">
      <c r="A4" s="723"/>
      <c r="B4" s="724"/>
      <c r="C4" s="724"/>
      <c r="D4" s="724"/>
      <c r="E4" s="724"/>
      <c r="F4" s="724"/>
      <c r="G4" s="725"/>
      <c r="H4" s="738"/>
      <c r="I4" s="739"/>
      <c r="J4" s="739"/>
      <c r="K4" s="739"/>
      <c r="L4" s="739"/>
      <c r="M4" s="739"/>
      <c r="N4" s="740"/>
      <c r="O4" s="702" t="str">
        <f>[4]Title!O4</f>
        <v>Revision No.</v>
      </c>
      <c r="P4" s="703"/>
      <c r="Q4" s="704"/>
      <c r="R4" s="705" t="str">
        <f>Title!R4</f>
        <v>A</v>
      </c>
      <c r="S4" s="706"/>
      <c r="T4" s="706"/>
      <c r="U4" s="706"/>
      <c r="V4" s="707"/>
      <c r="W4" s="14"/>
      <c r="X4" s="14"/>
    </row>
    <row r="5" spans="1:29" ht="18" customHeight="1">
      <c r="A5" s="708" t="str">
        <f>[4]Title!A5</f>
        <v>Prep. By</v>
      </c>
      <c r="B5" s="709"/>
      <c r="C5" s="25" t="str">
        <f>[4]Title!C5</f>
        <v>AP</v>
      </c>
      <c r="D5" s="708" t="str">
        <f>[4]Title!D5</f>
        <v>Checked By</v>
      </c>
      <c r="E5" s="710"/>
      <c r="F5" s="709"/>
      <c r="G5" s="25" t="str">
        <f>[4]Title!G5</f>
        <v>RB</v>
      </c>
      <c r="H5" s="711" t="s">
        <v>935</v>
      </c>
      <c r="I5" s="712"/>
      <c r="J5" s="712"/>
      <c r="K5" s="712"/>
      <c r="L5" s="712"/>
      <c r="M5" s="712"/>
      <c r="N5" s="713"/>
      <c r="O5" s="714" t="str">
        <f>[4]Title!O5</f>
        <v>Contractor</v>
      </c>
      <c r="P5" s="715"/>
      <c r="Q5" s="716"/>
      <c r="R5" s="705" t="str">
        <f>Title!R5</f>
        <v>HITACHI</v>
      </c>
      <c r="S5" s="706"/>
      <c r="T5" s="706"/>
      <c r="U5" s="706"/>
      <c r="V5" s="707"/>
      <c r="W5" s="14"/>
      <c r="X5" s="14"/>
    </row>
    <row r="6" spans="1:29" ht="18" customHeight="1">
      <c r="A6" s="196"/>
      <c r="V6" s="197"/>
    </row>
    <row r="7" spans="1:29" ht="18" customHeight="1">
      <c r="A7" s="196"/>
      <c r="B7" s="940" t="s">
        <v>120</v>
      </c>
      <c r="C7" s="941"/>
      <c r="D7" s="940" t="s">
        <v>517</v>
      </c>
      <c r="E7" s="941"/>
      <c r="F7" s="1182"/>
      <c r="G7" s="1182"/>
      <c r="H7" s="638"/>
      <c r="I7" s="638"/>
      <c r="J7" s="638"/>
      <c r="K7" s="638"/>
      <c r="L7" s="638"/>
      <c r="M7" s="638"/>
      <c r="P7" s="198"/>
      <c r="S7" s="199" t="s">
        <v>398</v>
      </c>
      <c r="T7" s="940" t="s">
        <v>920</v>
      </c>
      <c r="U7" s="941"/>
      <c r="V7" s="197"/>
    </row>
    <row r="8" spans="1:29" ht="18" customHeight="1">
      <c r="A8" s="196"/>
      <c r="B8" s="571"/>
      <c r="C8" s="571"/>
      <c r="D8" s="571"/>
      <c r="E8" s="571"/>
      <c r="F8" s="468"/>
      <c r="T8" s="940"/>
      <c r="U8" s="941"/>
      <c r="V8" s="197"/>
    </row>
    <row r="9" spans="1:29" ht="18" customHeight="1">
      <c r="A9" s="196"/>
      <c r="H9" s="662" t="s">
        <v>401</v>
      </c>
      <c r="I9" s="662"/>
      <c r="J9" s="701" t="s">
        <v>402</v>
      </c>
      <c r="K9" s="701"/>
      <c r="L9" s="701" t="s">
        <v>403</v>
      </c>
      <c r="M9" s="701"/>
      <c r="T9" s="940"/>
      <c r="U9" s="941"/>
      <c r="V9" s="197"/>
    </row>
    <row r="10" spans="1:29" ht="18" customHeight="1">
      <c r="A10" s="196"/>
      <c r="B10" s="47" t="s">
        <v>404</v>
      </c>
      <c r="H10" s="942">
        <v>2500</v>
      </c>
      <c r="I10" s="943"/>
      <c r="J10" s="940" t="s">
        <v>7</v>
      </c>
      <c r="K10" s="941"/>
      <c r="L10" s="940" t="s">
        <v>7</v>
      </c>
      <c r="M10" s="941"/>
      <c r="N10" s="203" t="s">
        <v>353</v>
      </c>
      <c r="O10" s="515">
        <v>1</v>
      </c>
      <c r="P10" s="27" t="s">
        <v>9</v>
      </c>
      <c r="V10" s="197"/>
    </row>
    <row r="11" spans="1:29" ht="18" customHeight="1">
      <c r="A11" s="196"/>
      <c r="B11" s="47" t="s">
        <v>405</v>
      </c>
      <c r="H11" s="940" t="s">
        <v>850</v>
      </c>
      <c r="I11" s="941"/>
      <c r="V11" s="197"/>
    </row>
    <row r="12" spans="1:29" ht="18" customHeight="1">
      <c r="A12" s="196"/>
      <c r="B12" s="47" t="s">
        <v>407</v>
      </c>
      <c r="G12" s="120" t="s">
        <v>508</v>
      </c>
      <c r="H12" s="940">
        <v>5</v>
      </c>
      <c r="I12" s="941"/>
      <c r="J12" s="204" t="s">
        <v>344</v>
      </c>
      <c r="V12" s="197"/>
    </row>
    <row r="13" spans="1:29" ht="18" customHeight="1">
      <c r="A13" s="196"/>
      <c r="B13" s="47" t="s">
        <v>409</v>
      </c>
      <c r="G13" s="120" t="s">
        <v>509</v>
      </c>
      <c r="H13" s="940">
        <v>3750</v>
      </c>
      <c r="I13" s="941"/>
      <c r="J13" s="14" t="s">
        <v>316</v>
      </c>
      <c r="V13" s="197"/>
      <c r="W13" s="30" t="s">
        <v>411</v>
      </c>
      <c r="AB13" s="996">
        <f>M118</f>
        <v>1746.9252171825324</v>
      </c>
      <c r="AC13" s="997"/>
    </row>
    <row r="14" spans="1:29" ht="18" customHeight="1">
      <c r="A14" s="196"/>
      <c r="B14" s="14" t="s">
        <v>412</v>
      </c>
      <c r="G14" s="120" t="s">
        <v>413</v>
      </c>
      <c r="H14" s="940">
        <v>60</v>
      </c>
      <c r="I14" s="941"/>
      <c r="J14" s="14" t="s">
        <v>414</v>
      </c>
      <c r="V14" s="197"/>
    </row>
    <row r="15" spans="1:29" ht="18" customHeight="1">
      <c r="A15" s="196"/>
      <c r="V15" s="197"/>
    </row>
    <row r="16" spans="1:29" ht="18" customHeight="1">
      <c r="A16" s="205" t="s">
        <v>415</v>
      </c>
      <c r="V16" s="197"/>
    </row>
    <row r="17" spans="1:22" ht="18" customHeight="1">
      <c r="A17" s="196"/>
      <c r="V17" s="197"/>
    </row>
    <row r="18" spans="1:22" ht="18" customHeight="1">
      <c r="A18" s="196"/>
      <c r="B18" s="206" t="s">
        <v>416</v>
      </c>
      <c r="C18" s="207"/>
      <c r="D18" s="207" t="str">
        <f>T7</f>
        <v>P545</v>
      </c>
      <c r="E18" s="208"/>
      <c r="F18" s="208"/>
      <c r="G18" s="208"/>
      <c r="H18" s="194" t="s">
        <v>417</v>
      </c>
      <c r="I18" s="195" t="s">
        <v>138</v>
      </c>
      <c r="J18" s="1178">
        <f>'CT-VT Burdens'!Q99</f>
        <v>0.02</v>
      </c>
      <c r="K18" s="1179"/>
      <c r="L18" s="214" t="s">
        <v>168</v>
      </c>
      <c r="V18" s="197"/>
    </row>
    <row r="19" spans="1:22" ht="18" customHeight="1">
      <c r="A19" s="196"/>
      <c r="B19" s="196" t="s">
        <v>416</v>
      </c>
      <c r="D19" s="308">
        <f>T8</f>
        <v>0</v>
      </c>
      <c r="I19" s="28" t="s">
        <v>138</v>
      </c>
      <c r="J19" s="1178"/>
      <c r="K19" s="1179"/>
      <c r="L19" s="309" t="s">
        <v>168</v>
      </c>
      <c r="V19" s="197"/>
    </row>
    <row r="20" spans="1:22" ht="18" customHeight="1">
      <c r="A20" s="196"/>
      <c r="B20" s="196" t="s">
        <v>416</v>
      </c>
      <c r="D20" s="308">
        <f>T9</f>
        <v>0</v>
      </c>
      <c r="E20" s="14"/>
      <c r="G20" s="211"/>
      <c r="H20" s="27"/>
      <c r="I20" s="101" t="s">
        <v>138</v>
      </c>
      <c r="J20" s="1178"/>
      <c r="K20" s="1179"/>
      <c r="L20" s="439" t="s">
        <v>168</v>
      </c>
      <c r="V20" s="197"/>
    </row>
    <row r="21" spans="1:22" ht="18" customHeight="1">
      <c r="A21" s="196"/>
      <c r="B21" s="196" t="s">
        <v>423</v>
      </c>
      <c r="H21" s="27"/>
      <c r="I21" s="189" t="s">
        <v>138</v>
      </c>
      <c r="J21" s="1180">
        <f>'CT-VT Burdens'!S22</f>
        <v>1.44186744</v>
      </c>
      <c r="K21" s="1181"/>
      <c r="L21" s="439" t="s">
        <v>168</v>
      </c>
      <c r="V21" s="197"/>
    </row>
    <row r="22" spans="1:22" ht="18" customHeight="1">
      <c r="A22" s="196"/>
      <c r="B22" s="217" t="s">
        <v>424</v>
      </c>
      <c r="C22" s="218"/>
      <c r="D22" s="218"/>
      <c r="E22" s="218"/>
      <c r="F22" s="219"/>
      <c r="G22" s="219"/>
      <c r="H22" s="202" t="s">
        <v>420</v>
      </c>
      <c r="I22" s="220" t="s">
        <v>138</v>
      </c>
      <c r="J22" s="897">
        <f>SUM(J19:K21)</f>
        <v>1.44186744</v>
      </c>
      <c r="K22" s="797"/>
      <c r="L22" s="441"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57" t="s">
        <v>660</v>
      </c>
      <c r="C25" s="257" t="s">
        <v>138</v>
      </c>
      <c r="D25" s="254" t="s">
        <v>417</v>
      </c>
      <c r="E25" s="559" t="s">
        <v>421</v>
      </c>
      <c r="F25" s="257" t="s">
        <v>157</v>
      </c>
      <c r="G25" s="233" t="s">
        <v>326</v>
      </c>
      <c r="H25" s="234" t="s">
        <v>157</v>
      </c>
      <c r="I25" s="254" t="s">
        <v>361</v>
      </c>
      <c r="J25" s="516"/>
      <c r="K25" s="254"/>
      <c r="L25" s="560"/>
      <c r="M25" s="257" t="s">
        <v>419</v>
      </c>
      <c r="N25" s="257" t="s">
        <v>138</v>
      </c>
      <c r="O25" s="254" t="s">
        <v>420</v>
      </c>
      <c r="P25" s="561" t="s">
        <v>421</v>
      </c>
      <c r="Q25" s="556" t="s">
        <v>422</v>
      </c>
      <c r="R25" s="257" t="s">
        <v>326</v>
      </c>
      <c r="S25" s="254" t="s">
        <v>422</v>
      </c>
      <c r="T25" s="254" t="s">
        <v>361</v>
      </c>
      <c r="V25" s="197"/>
    </row>
    <row r="26" spans="1:22" ht="18" customHeight="1">
      <c r="A26" s="196"/>
      <c r="B26" s="560"/>
      <c r="C26" s="257" t="s">
        <v>138</v>
      </c>
      <c r="D26" s="313">
        <f>J18</f>
        <v>0.02</v>
      </c>
      <c r="E26" s="561" t="s">
        <v>421</v>
      </c>
      <c r="F26" s="257">
        <f>'[6]CT-VT Burdens'!S19</f>
        <v>1</v>
      </c>
      <c r="G26" s="257" t="s">
        <v>326</v>
      </c>
      <c r="H26" s="257">
        <f>'[6]CT-VT Burdens'!S19</f>
        <v>1</v>
      </c>
      <c r="I26" s="254" t="s">
        <v>361</v>
      </c>
      <c r="J26" s="516"/>
      <c r="K26" s="254"/>
      <c r="L26" s="560"/>
      <c r="M26" s="254"/>
      <c r="N26" s="257" t="s">
        <v>138</v>
      </c>
      <c r="O26" s="313">
        <f>J22</f>
        <v>1.44186744</v>
      </c>
      <c r="P26" s="561" t="s">
        <v>421</v>
      </c>
      <c r="Q26" s="257">
        <f>O10</f>
        <v>1</v>
      </c>
      <c r="R26" s="257" t="s">
        <v>326</v>
      </c>
      <c r="S26" s="257">
        <f>O10</f>
        <v>1</v>
      </c>
      <c r="T26" s="254" t="s">
        <v>361</v>
      </c>
      <c r="V26" s="197"/>
    </row>
    <row r="27" spans="1:22" ht="18" customHeight="1">
      <c r="A27" s="196"/>
      <c r="B27" s="560"/>
      <c r="C27" s="257" t="s">
        <v>138</v>
      </c>
      <c r="D27" s="640">
        <f>D26/(F26*H26)</f>
        <v>0.02</v>
      </c>
      <c r="E27" s="640"/>
      <c r="F27" s="562" t="s">
        <v>344</v>
      </c>
      <c r="G27" s="254"/>
      <c r="H27" s="254"/>
      <c r="I27" s="254"/>
      <c r="J27" s="516"/>
      <c r="K27" s="254"/>
      <c r="L27" s="560"/>
      <c r="M27" s="254"/>
      <c r="N27" s="257" t="s">
        <v>138</v>
      </c>
      <c r="O27" s="640">
        <f>O26/(Q26*S26)</f>
        <v>1.44186744</v>
      </c>
      <c r="P27" s="640"/>
      <c r="Q27" s="562" t="s">
        <v>344</v>
      </c>
      <c r="R27" s="254"/>
      <c r="S27" s="254"/>
      <c r="T27" s="254"/>
      <c r="V27" s="197"/>
    </row>
    <row r="28" spans="1:22" ht="18" customHeight="1">
      <c r="A28" s="196"/>
      <c r="B28" s="47"/>
      <c r="C28" s="47"/>
      <c r="D28" s="47"/>
      <c r="E28" s="47"/>
      <c r="H28" s="27"/>
      <c r="I28" s="28"/>
      <c r="J28" s="211"/>
      <c r="L28" s="47"/>
      <c r="O28" s="27"/>
      <c r="P28" s="223"/>
      <c r="Q28" s="223"/>
      <c r="V28" s="197"/>
    </row>
    <row r="29" spans="1:22" ht="18" customHeight="1">
      <c r="A29" s="196"/>
      <c r="B29" s="47" t="s">
        <v>874</v>
      </c>
      <c r="C29" s="47"/>
      <c r="D29" s="47"/>
      <c r="E29" s="47"/>
      <c r="H29" s="27"/>
      <c r="I29" s="28"/>
      <c r="J29" s="211"/>
      <c r="L29" s="28" t="s">
        <v>138</v>
      </c>
      <c r="M29" s="640">
        <f>D27</f>
        <v>0.02</v>
      </c>
      <c r="N29" s="640"/>
      <c r="O29" s="257" t="s">
        <v>358</v>
      </c>
      <c r="P29" s="640">
        <f>O27</f>
        <v>1.44186744</v>
      </c>
      <c r="Q29" s="640"/>
      <c r="R29" s="555" t="s">
        <v>138</v>
      </c>
      <c r="S29" s="640">
        <f>M29+P29</f>
        <v>1.46186744</v>
      </c>
      <c r="T29" s="640"/>
      <c r="U29" s="204" t="s">
        <v>344</v>
      </c>
      <c r="V29" s="197"/>
    </row>
    <row r="30" spans="1:22" ht="18" customHeight="1">
      <c r="A30" s="196"/>
      <c r="B30" s="47"/>
      <c r="C30" s="47"/>
      <c r="D30" s="47"/>
      <c r="E30" s="47"/>
      <c r="H30" s="27"/>
      <c r="I30" s="28"/>
      <c r="J30" s="211"/>
      <c r="L30" s="47"/>
      <c r="M30" s="313"/>
      <c r="N30" s="257"/>
      <c r="O30" s="555"/>
      <c r="P30" s="555"/>
      <c r="Q30" s="555"/>
      <c r="R30" s="204"/>
      <c r="V30" s="197"/>
    </row>
    <row r="31" spans="1:22" ht="18" customHeight="1">
      <c r="A31" s="116" t="s">
        <v>425</v>
      </c>
      <c r="B31" s="47"/>
      <c r="D31" s="47"/>
      <c r="E31" s="47"/>
      <c r="H31" s="27"/>
      <c r="I31" s="28"/>
      <c r="J31" s="211"/>
      <c r="L31" s="47"/>
      <c r="M31" s="313"/>
      <c r="N31" s="257"/>
      <c r="O31" s="555"/>
      <c r="P31" s="555"/>
      <c r="Q31" s="555"/>
      <c r="R31" s="204"/>
      <c r="V31" s="197"/>
    </row>
    <row r="32" spans="1:22" ht="18" customHeight="1">
      <c r="A32" s="284" t="s">
        <v>875</v>
      </c>
      <c r="V32" s="197"/>
    </row>
    <row r="33" spans="1:27" ht="18" customHeight="1">
      <c r="A33" s="196"/>
      <c r="B33" s="30" t="s">
        <v>484</v>
      </c>
      <c r="C33" s="27" t="s">
        <v>540</v>
      </c>
      <c r="D33" s="27" t="s">
        <v>876</v>
      </c>
      <c r="E33" s="27" t="s">
        <v>326</v>
      </c>
      <c r="F33" s="27" t="s">
        <v>522</v>
      </c>
      <c r="G33" s="27" t="s">
        <v>383</v>
      </c>
      <c r="H33" s="27" t="s">
        <v>431</v>
      </c>
      <c r="I33" s="27" t="s">
        <v>358</v>
      </c>
      <c r="J33" s="27" t="s">
        <v>877</v>
      </c>
      <c r="K33" s="30" t="s">
        <v>361</v>
      </c>
      <c r="U33" s="30" t="s">
        <v>878</v>
      </c>
      <c r="V33" s="197"/>
    </row>
    <row r="34" spans="1:27" ht="18" customHeight="1">
      <c r="A34" s="196"/>
      <c r="V34" s="197"/>
    </row>
    <row r="35" spans="1:27" s="291" customFormat="1" ht="18" customHeight="1">
      <c r="A35" s="1002" t="s">
        <v>879</v>
      </c>
      <c r="B35" s="965"/>
      <c r="C35" s="965"/>
      <c r="D35" s="965"/>
      <c r="E35" s="965"/>
      <c r="F35" s="965"/>
      <c r="G35" s="965"/>
      <c r="H35" s="965"/>
      <c r="I35" s="965"/>
      <c r="J35" s="965"/>
      <c r="K35" s="965"/>
      <c r="L35" s="965"/>
      <c r="M35" s="965"/>
      <c r="N35" s="965"/>
      <c r="O35" s="965"/>
      <c r="P35" s="965"/>
      <c r="Q35" s="965"/>
      <c r="R35" s="965"/>
      <c r="S35" s="965"/>
      <c r="T35" s="965"/>
      <c r="U35" s="965"/>
      <c r="V35" s="966"/>
      <c r="AA35" s="209"/>
    </row>
    <row r="36" spans="1:27" s="291" customFormat="1" ht="18" customHeight="1">
      <c r="A36" s="967"/>
      <c r="B36" s="965"/>
      <c r="C36" s="965"/>
      <c r="D36" s="965"/>
      <c r="E36" s="965"/>
      <c r="F36" s="965"/>
      <c r="G36" s="965"/>
      <c r="H36" s="965"/>
      <c r="I36" s="965"/>
      <c r="J36" s="965"/>
      <c r="K36" s="965"/>
      <c r="L36" s="965"/>
      <c r="M36" s="965"/>
      <c r="N36" s="965"/>
      <c r="O36" s="965"/>
      <c r="P36" s="965"/>
      <c r="Q36" s="965"/>
      <c r="R36" s="965"/>
      <c r="S36" s="965"/>
      <c r="T36" s="965"/>
      <c r="U36" s="965"/>
      <c r="V36" s="966"/>
    </row>
    <row r="37" spans="1:27" s="291" customFormat="1" ht="18" customHeight="1">
      <c r="A37" s="925">
        <v>1</v>
      </c>
      <c r="B37" s="1176" t="s">
        <v>880</v>
      </c>
      <c r="C37" s="1176"/>
      <c r="D37" s="1176"/>
      <c r="E37" s="1176"/>
      <c r="F37" s="1176"/>
      <c r="G37" s="1176"/>
      <c r="H37" s="1176"/>
      <c r="I37" s="1176"/>
      <c r="J37" s="1176"/>
      <c r="K37" s="1176"/>
      <c r="L37" s="1176"/>
      <c r="M37" s="1176"/>
      <c r="N37" s="1176"/>
      <c r="O37" s="1176"/>
      <c r="P37" s="1176"/>
      <c r="Q37" s="1176"/>
      <c r="R37" s="1176"/>
      <c r="S37" s="1176"/>
      <c r="T37" s="1176"/>
      <c r="U37" s="1176"/>
      <c r="V37" s="1177"/>
    </row>
    <row r="38" spans="1:27" s="291" customFormat="1" ht="18" customHeight="1">
      <c r="A38" s="925"/>
      <c r="B38" s="1176"/>
      <c r="C38" s="1176"/>
      <c r="D38" s="1176"/>
      <c r="E38" s="1176"/>
      <c r="F38" s="1176"/>
      <c r="G38" s="1176"/>
      <c r="H38" s="1176"/>
      <c r="I38" s="1176"/>
      <c r="J38" s="1176"/>
      <c r="K38" s="1176"/>
      <c r="L38" s="1176"/>
      <c r="M38" s="1176"/>
      <c r="N38" s="1176"/>
      <c r="O38" s="1176"/>
      <c r="P38" s="1176"/>
      <c r="Q38" s="1176"/>
      <c r="R38" s="1176"/>
      <c r="S38" s="1176"/>
      <c r="T38" s="1176"/>
      <c r="U38" s="1176"/>
      <c r="V38" s="1177"/>
    </row>
    <row r="39" spans="1:27" s="291" customFormat="1" ht="18" customHeight="1">
      <c r="A39" s="96"/>
      <c r="B39" s="120" t="s">
        <v>881</v>
      </c>
      <c r="C39" s="120" t="s">
        <v>430</v>
      </c>
      <c r="D39" s="638" t="s">
        <v>882</v>
      </c>
      <c r="E39" s="985"/>
      <c r="F39" s="28" t="s">
        <v>326</v>
      </c>
      <c r="G39" s="28" t="s">
        <v>352</v>
      </c>
      <c r="H39" s="47" t="s">
        <v>361</v>
      </c>
      <c r="I39" s="166" t="s">
        <v>710</v>
      </c>
      <c r="J39" s="120" t="s">
        <v>430</v>
      </c>
      <c r="K39" s="233">
        <v>1000</v>
      </c>
      <c r="L39" s="28" t="s">
        <v>326</v>
      </c>
      <c r="M39" s="28" t="s">
        <v>522</v>
      </c>
      <c r="N39" s="47" t="s">
        <v>361</v>
      </c>
      <c r="O39" s="28"/>
      <c r="P39" s="28"/>
      <c r="Q39" s="28"/>
      <c r="R39" s="28"/>
      <c r="S39" s="28"/>
      <c r="U39" s="14" t="s">
        <v>883</v>
      </c>
      <c r="V39" s="97"/>
    </row>
    <row r="40" spans="1:27" s="291" customFormat="1" ht="18" customHeight="1">
      <c r="A40" s="311"/>
      <c r="C40" s="14" t="s">
        <v>884</v>
      </c>
      <c r="M40" s="28"/>
      <c r="N40" s="28"/>
      <c r="O40" s="28"/>
      <c r="P40" s="28"/>
      <c r="Q40" s="28"/>
      <c r="R40" s="28"/>
      <c r="S40" s="28"/>
      <c r="T40" s="14"/>
      <c r="U40" s="28"/>
      <c r="V40" s="97"/>
    </row>
    <row r="41" spans="1:27" s="291" customFormat="1" ht="18" customHeight="1">
      <c r="A41" s="311"/>
      <c r="C41" s="14"/>
      <c r="D41" s="28" t="s">
        <v>876</v>
      </c>
      <c r="E41" s="28" t="s">
        <v>540</v>
      </c>
      <c r="F41" s="28">
        <v>40</v>
      </c>
      <c r="G41" s="28" t="s">
        <v>358</v>
      </c>
      <c r="H41" s="233">
        <v>7.0000000000000007E-2</v>
      </c>
      <c r="I41" s="28" t="s">
        <v>683</v>
      </c>
      <c r="J41" s="638" t="s">
        <v>882</v>
      </c>
      <c r="K41" s="985"/>
      <c r="L41" s="28" t="s">
        <v>326</v>
      </c>
      <c r="M41" s="28" t="s">
        <v>352</v>
      </c>
      <c r="N41" s="47" t="s">
        <v>361</v>
      </c>
      <c r="O41" s="28"/>
      <c r="P41" s="28"/>
      <c r="Q41" s="28"/>
      <c r="R41" s="28"/>
      <c r="S41" s="28"/>
      <c r="T41" s="14"/>
      <c r="U41" s="28"/>
      <c r="V41" s="97"/>
    </row>
    <row r="42" spans="1:27" s="291" customFormat="1" ht="18" customHeight="1">
      <c r="A42" s="337"/>
      <c r="B42" s="28"/>
      <c r="C42" s="28" t="s">
        <v>885</v>
      </c>
      <c r="D42" s="28" t="s">
        <v>876</v>
      </c>
      <c r="E42" s="28" t="s">
        <v>540</v>
      </c>
      <c r="F42" s="28">
        <v>65</v>
      </c>
      <c r="G42" s="14"/>
      <c r="H42" s="14"/>
      <c r="I42" s="120"/>
      <c r="J42" s="28"/>
      <c r="K42" s="28"/>
      <c r="L42" s="28"/>
      <c r="M42" s="28"/>
      <c r="N42" s="28"/>
      <c r="O42" s="28"/>
      <c r="P42" s="28"/>
      <c r="Q42" s="28"/>
      <c r="R42" s="28"/>
      <c r="S42" s="28"/>
      <c r="T42" s="14"/>
      <c r="U42" s="28"/>
      <c r="V42" s="97"/>
    </row>
    <row r="43" spans="1:27" s="291" customFormat="1" ht="18" customHeight="1">
      <c r="A43" s="337"/>
      <c r="B43" s="28"/>
      <c r="C43" s="28"/>
      <c r="D43" s="28"/>
      <c r="E43" s="28"/>
      <c r="F43" s="28"/>
      <c r="G43" s="14"/>
      <c r="H43" s="14"/>
      <c r="I43" s="120"/>
      <c r="J43" s="28"/>
      <c r="K43" s="28"/>
      <c r="L43" s="28"/>
      <c r="M43" s="28"/>
      <c r="N43" s="28"/>
      <c r="O43" s="28"/>
      <c r="P43" s="28"/>
      <c r="Q43" s="28"/>
      <c r="R43" s="28"/>
      <c r="S43" s="28"/>
      <c r="T43" s="14"/>
      <c r="U43" s="28"/>
      <c r="V43" s="97"/>
    </row>
    <row r="44" spans="1:27" s="291" customFormat="1" ht="18" customHeight="1">
      <c r="A44" s="337"/>
      <c r="B44" s="28"/>
      <c r="C44" s="28"/>
      <c r="D44" s="28"/>
      <c r="E44" s="14"/>
      <c r="F44" s="14"/>
      <c r="G44" s="120"/>
      <c r="H44" s="28"/>
      <c r="I44" s="28"/>
      <c r="J44" s="28"/>
      <c r="K44" s="28"/>
      <c r="L44" s="28"/>
      <c r="M44" s="28"/>
      <c r="N44" s="28"/>
      <c r="O44" s="28"/>
      <c r="P44" s="28"/>
      <c r="Q44" s="28"/>
      <c r="R44" s="28"/>
      <c r="S44" s="28"/>
      <c r="T44" s="14"/>
      <c r="U44" s="28"/>
      <c r="V44" s="97"/>
    </row>
    <row r="45" spans="1:27" s="291"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7" s="291" customFormat="1" ht="18" customHeight="1">
      <c r="A46" s="332"/>
      <c r="B46" s="145"/>
      <c r="C46" s="145"/>
      <c r="D46" s="145"/>
      <c r="E46" s="285"/>
      <c r="F46" s="285"/>
      <c r="G46" s="286"/>
      <c r="H46" s="145"/>
      <c r="I46" s="145"/>
      <c r="J46" s="145"/>
      <c r="K46" s="145"/>
      <c r="L46" s="145"/>
      <c r="M46" s="145"/>
      <c r="N46" s="145"/>
      <c r="O46" s="145"/>
      <c r="P46" s="145"/>
      <c r="Q46" s="145"/>
      <c r="R46" s="145"/>
      <c r="S46" s="145"/>
      <c r="T46" s="285"/>
      <c r="U46" s="145"/>
      <c r="V46" s="554"/>
    </row>
    <row r="47" spans="1:27" s="291" customFormat="1" ht="18" customHeight="1">
      <c r="A47" s="337"/>
      <c r="B47" s="120" t="s">
        <v>881</v>
      </c>
      <c r="C47" s="120" t="s">
        <v>430</v>
      </c>
      <c r="D47" s="233">
        <v>1000</v>
      </c>
      <c r="E47" s="28" t="s">
        <v>326</v>
      </c>
      <c r="F47" s="28" t="s">
        <v>522</v>
      </c>
      <c r="G47" s="47" t="s">
        <v>361</v>
      </c>
      <c r="H47" s="28" t="s">
        <v>886</v>
      </c>
      <c r="I47" s="120" t="s">
        <v>430</v>
      </c>
      <c r="J47" s="638" t="s">
        <v>882</v>
      </c>
      <c r="K47" s="985"/>
      <c r="L47" s="28" t="s">
        <v>326</v>
      </c>
      <c r="M47" s="28" t="s">
        <v>352</v>
      </c>
      <c r="N47" s="47" t="s">
        <v>361</v>
      </c>
      <c r="O47" s="166" t="s">
        <v>710</v>
      </c>
      <c r="P47" s="120" t="s">
        <v>430</v>
      </c>
      <c r="Q47" s="233">
        <v>2600</v>
      </c>
      <c r="R47" s="28" t="s">
        <v>326</v>
      </c>
      <c r="S47" s="28" t="s">
        <v>522</v>
      </c>
      <c r="T47" s="47" t="s">
        <v>361</v>
      </c>
      <c r="U47" s="14" t="s">
        <v>598</v>
      </c>
      <c r="V47" s="97"/>
    </row>
    <row r="48" spans="1:27" s="291" customFormat="1" ht="18" customHeight="1">
      <c r="A48" s="337"/>
      <c r="B48" s="28" t="s">
        <v>876</v>
      </c>
      <c r="C48" s="28" t="s">
        <v>138</v>
      </c>
      <c r="D48" s="28">
        <v>107</v>
      </c>
      <c r="E48" s="14"/>
      <c r="F48" s="14"/>
      <c r="G48" s="120"/>
      <c r="H48" s="28"/>
      <c r="I48" s="28"/>
      <c r="J48" s="28"/>
      <c r="K48" s="28"/>
      <c r="L48" s="28"/>
      <c r="M48" s="28"/>
      <c r="N48" s="28"/>
      <c r="O48" s="28"/>
      <c r="P48" s="28"/>
      <c r="Q48" s="28"/>
      <c r="R48" s="28"/>
      <c r="S48" s="28"/>
      <c r="T48" s="14"/>
      <c r="U48" s="28"/>
      <c r="V48" s="97"/>
    </row>
    <row r="49" spans="1:22" ht="18" customHeight="1">
      <c r="A49" s="196"/>
      <c r="V49" s="197"/>
    </row>
    <row r="50" spans="1:22" ht="18" customHeight="1">
      <c r="A50" s="563">
        <v>2</v>
      </c>
      <c r="B50" s="1176" t="s">
        <v>887</v>
      </c>
      <c r="C50" s="1176"/>
      <c r="D50" s="1176"/>
      <c r="E50" s="1176"/>
      <c r="F50" s="1176"/>
      <c r="G50" s="1176"/>
      <c r="H50" s="1176"/>
      <c r="I50" s="1176"/>
      <c r="J50" s="1176"/>
      <c r="K50" s="1176"/>
      <c r="L50" s="1176"/>
      <c r="M50" s="1176"/>
      <c r="N50" s="1176"/>
      <c r="O50" s="1176"/>
      <c r="P50" s="1176"/>
      <c r="Q50" s="1176"/>
      <c r="R50" s="1176"/>
      <c r="S50" s="1176"/>
      <c r="T50" s="1176"/>
      <c r="U50" s="1176"/>
      <c r="V50" s="1177"/>
    </row>
    <row r="51" spans="1:22" ht="18" customHeight="1">
      <c r="A51" s="284"/>
      <c r="B51" s="120" t="s">
        <v>881</v>
      </c>
      <c r="C51" s="120" t="s">
        <v>430</v>
      </c>
      <c r="D51" s="638" t="s">
        <v>882</v>
      </c>
      <c r="E51" s="985"/>
      <c r="F51" s="28" t="s">
        <v>326</v>
      </c>
      <c r="G51" s="28" t="s">
        <v>352</v>
      </c>
      <c r="H51" s="47" t="s">
        <v>361</v>
      </c>
      <c r="I51" s="166" t="s">
        <v>710</v>
      </c>
      <c r="J51" s="120" t="s">
        <v>430</v>
      </c>
      <c r="K51" s="233">
        <v>600</v>
      </c>
      <c r="L51" s="28" t="s">
        <v>326</v>
      </c>
      <c r="M51" s="28" t="s">
        <v>522</v>
      </c>
      <c r="N51" s="47" t="s">
        <v>361</v>
      </c>
      <c r="O51" s="28"/>
      <c r="P51" s="28"/>
      <c r="Q51" s="28"/>
      <c r="R51" s="28"/>
      <c r="S51" s="28"/>
      <c r="T51" s="291"/>
      <c r="U51" s="14" t="s">
        <v>888</v>
      </c>
      <c r="V51" s="97"/>
    </row>
    <row r="52" spans="1:22" ht="18" customHeight="1">
      <c r="A52" s="284"/>
      <c r="B52" s="291"/>
      <c r="C52" s="14" t="s">
        <v>884</v>
      </c>
      <c r="D52" s="291"/>
      <c r="E52" s="291"/>
      <c r="F52" s="291"/>
      <c r="G52" s="291"/>
      <c r="H52" s="291"/>
      <c r="I52" s="291"/>
      <c r="J52" s="291"/>
      <c r="K52" s="291"/>
      <c r="L52" s="291"/>
      <c r="M52" s="28"/>
      <c r="N52" s="28"/>
      <c r="O52" s="28"/>
      <c r="P52" s="28"/>
      <c r="Q52" s="28"/>
      <c r="R52" s="28"/>
      <c r="S52" s="28"/>
      <c r="T52" s="14"/>
      <c r="U52" s="28"/>
      <c r="V52" s="97"/>
    </row>
    <row r="53" spans="1:22" ht="18" customHeight="1">
      <c r="A53" s="284"/>
      <c r="B53" s="291"/>
      <c r="C53" s="14"/>
      <c r="D53" s="28" t="s">
        <v>876</v>
      </c>
      <c r="E53" s="28" t="s">
        <v>540</v>
      </c>
      <c r="F53" s="28">
        <v>40</v>
      </c>
      <c r="G53" s="28" t="s">
        <v>358</v>
      </c>
      <c r="H53" s="233">
        <v>0.35</v>
      </c>
      <c r="I53" s="28" t="s">
        <v>683</v>
      </c>
      <c r="J53" s="638" t="s">
        <v>882</v>
      </c>
      <c r="K53" s="985"/>
      <c r="L53" s="28" t="s">
        <v>326</v>
      </c>
      <c r="M53" s="28" t="s">
        <v>352</v>
      </c>
      <c r="N53" s="47" t="s">
        <v>361</v>
      </c>
      <c r="O53" s="28"/>
      <c r="P53" s="28"/>
      <c r="Q53" s="28"/>
      <c r="R53" s="28"/>
      <c r="S53" s="28"/>
      <c r="T53" s="14"/>
      <c r="U53" s="28"/>
      <c r="V53" s="97"/>
    </row>
    <row r="54" spans="1:22" ht="18" customHeight="1">
      <c r="A54" s="284"/>
      <c r="B54" s="28"/>
      <c r="C54" s="28" t="s">
        <v>885</v>
      </c>
      <c r="D54" s="28" t="s">
        <v>876</v>
      </c>
      <c r="E54" s="28" t="s">
        <v>540</v>
      </c>
      <c r="F54" s="28">
        <v>65</v>
      </c>
      <c r="G54" s="14"/>
      <c r="H54" s="14"/>
      <c r="I54" s="120"/>
      <c r="J54" s="28"/>
      <c r="K54" s="28"/>
      <c r="L54" s="28"/>
      <c r="M54" s="28"/>
      <c r="N54" s="28"/>
      <c r="O54" s="28"/>
      <c r="P54" s="28"/>
      <c r="Q54" s="28"/>
      <c r="R54" s="28"/>
      <c r="S54" s="28"/>
      <c r="T54" s="14"/>
      <c r="U54" s="28"/>
      <c r="V54" s="97"/>
    </row>
    <row r="55" spans="1:22" ht="18" customHeight="1">
      <c r="A55" s="96"/>
      <c r="B55" s="14"/>
      <c r="C55" s="14"/>
      <c r="D55" s="247"/>
      <c r="E55" s="14"/>
      <c r="F55" s="28"/>
      <c r="G55" s="261"/>
      <c r="H55" s="28"/>
      <c r="I55" s="263"/>
      <c r="J55" s="14"/>
      <c r="K55" s="292"/>
      <c r="M55" s="47"/>
      <c r="N55" s="280"/>
      <c r="P55" s="293"/>
      <c r="R55" s="246"/>
      <c r="S55" s="564"/>
      <c r="T55" s="564"/>
      <c r="V55" s="197"/>
    </row>
    <row r="56" spans="1:22" ht="18" customHeight="1">
      <c r="A56" s="96"/>
      <c r="B56" s="120" t="s">
        <v>881</v>
      </c>
      <c r="C56" s="120" t="s">
        <v>430</v>
      </c>
      <c r="D56" s="233">
        <v>600</v>
      </c>
      <c r="E56" s="28" t="s">
        <v>326</v>
      </c>
      <c r="F56" s="28" t="s">
        <v>522</v>
      </c>
      <c r="G56" s="47" t="s">
        <v>361</v>
      </c>
      <c r="H56" s="28" t="s">
        <v>886</v>
      </c>
      <c r="I56" s="120" t="s">
        <v>430</v>
      </c>
      <c r="J56" s="638" t="s">
        <v>882</v>
      </c>
      <c r="K56" s="985"/>
      <c r="L56" s="28" t="s">
        <v>326</v>
      </c>
      <c r="M56" s="28" t="s">
        <v>352</v>
      </c>
      <c r="N56" s="47" t="s">
        <v>361</v>
      </c>
      <c r="O56" s="166" t="s">
        <v>710</v>
      </c>
      <c r="P56" s="120" t="s">
        <v>430</v>
      </c>
      <c r="Q56" s="233">
        <v>1600</v>
      </c>
      <c r="R56" s="28" t="s">
        <v>326</v>
      </c>
      <c r="S56" s="28" t="s">
        <v>522</v>
      </c>
      <c r="T56" s="47" t="s">
        <v>361</v>
      </c>
      <c r="U56" s="14" t="s">
        <v>889</v>
      </c>
      <c r="V56" s="97"/>
    </row>
    <row r="57" spans="1:22" ht="18" customHeight="1">
      <c r="A57" s="284"/>
      <c r="B57" s="28" t="s">
        <v>876</v>
      </c>
      <c r="C57" s="28" t="s">
        <v>138</v>
      </c>
      <c r="D57" s="28">
        <v>256</v>
      </c>
      <c r="E57" s="14"/>
      <c r="F57" s="14"/>
      <c r="G57" s="120"/>
      <c r="H57" s="28"/>
      <c r="I57" s="28"/>
      <c r="J57" s="28"/>
      <c r="K57" s="28"/>
      <c r="L57" s="28"/>
      <c r="M57" s="28"/>
      <c r="N57" s="28"/>
      <c r="O57" s="28"/>
      <c r="P57" s="28"/>
      <c r="Q57" s="28"/>
      <c r="R57" s="28"/>
      <c r="S57" s="28"/>
      <c r="T57" s="14"/>
      <c r="U57" s="28"/>
      <c r="V57" s="97"/>
    </row>
    <row r="58" spans="1:22" ht="18" customHeight="1">
      <c r="A58" s="284"/>
      <c r="U58" s="14"/>
      <c r="V58" s="97"/>
    </row>
    <row r="59" spans="1:22" ht="18" customHeight="1">
      <c r="A59" s="557"/>
      <c r="B59" s="30" t="s">
        <v>890</v>
      </c>
      <c r="Q59" s="14" t="s">
        <v>628</v>
      </c>
      <c r="S59" s="246" t="s">
        <v>138</v>
      </c>
      <c r="T59" s="639">
        <f>'Parameters &amp; Fault Cal. (4)'!Q10 *1000</f>
        <v>40000</v>
      </c>
      <c r="U59" s="639"/>
      <c r="V59" s="197" t="s">
        <v>9</v>
      </c>
    </row>
    <row r="60" spans="1:22" ht="18" customHeight="1">
      <c r="A60" s="557"/>
      <c r="B60" s="47" t="s">
        <v>665</v>
      </c>
      <c r="C60" s="14"/>
      <c r="D60" s="14"/>
      <c r="E60" s="14"/>
      <c r="F60" s="14"/>
      <c r="G60" s="18"/>
      <c r="H60" s="18"/>
      <c r="I60" s="14"/>
      <c r="J60" s="120"/>
      <c r="K60" s="14"/>
      <c r="L60" s="14"/>
      <c r="N60" s="14"/>
      <c r="O60" s="14"/>
      <c r="Q60" s="14" t="s">
        <v>434</v>
      </c>
      <c r="S60" s="246" t="s">
        <v>138</v>
      </c>
      <c r="T60" s="639">
        <f>H10</f>
        <v>2500</v>
      </c>
      <c r="U60" s="639"/>
      <c r="V60" s="197" t="s">
        <v>9</v>
      </c>
    </row>
    <row r="61" spans="1:22" ht="18" customHeight="1">
      <c r="A61" s="96"/>
      <c r="B61" s="47" t="s">
        <v>891</v>
      </c>
      <c r="C61" s="14"/>
      <c r="D61" s="14"/>
      <c r="E61" s="14"/>
      <c r="F61" s="14"/>
      <c r="G61" s="18"/>
      <c r="H61" s="18"/>
      <c r="I61" s="14"/>
      <c r="J61" s="120"/>
      <c r="K61" s="14"/>
      <c r="L61" s="14"/>
      <c r="N61" s="14"/>
      <c r="O61" s="14"/>
      <c r="Q61" s="14" t="s">
        <v>882</v>
      </c>
      <c r="S61" s="246" t="s">
        <v>138</v>
      </c>
      <c r="T61" s="637">
        <f>T59/T60</f>
        <v>16</v>
      </c>
      <c r="U61" s="637"/>
      <c r="V61" s="197" t="s">
        <v>9</v>
      </c>
    </row>
    <row r="62" spans="1:22" ht="18" customHeight="1">
      <c r="A62" s="96"/>
      <c r="B62" s="47" t="s">
        <v>666</v>
      </c>
      <c r="C62" s="14"/>
      <c r="D62" s="14"/>
      <c r="E62" s="14"/>
      <c r="F62" s="14"/>
      <c r="G62" s="18"/>
      <c r="H62" s="18"/>
      <c r="I62" s="14"/>
      <c r="J62" s="120"/>
      <c r="K62" s="14"/>
      <c r="L62" s="14"/>
      <c r="N62" s="14"/>
      <c r="O62" s="14"/>
      <c r="Q62" s="14" t="s">
        <v>431</v>
      </c>
      <c r="S62" s="246" t="s">
        <v>138</v>
      </c>
      <c r="T62" s="639">
        <f>H12</f>
        <v>5</v>
      </c>
      <c r="U62" s="639"/>
      <c r="V62" s="565" t="s">
        <v>344</v>
      </c>
    </row>
    <row r="63" spans="1:22" ht="18" customHeight="1">
      <c r="A63" s="96"/>
      <c r="B63" s="47" t="s">
        <v>687</v>
      </c>
      <c r="C63" s="14"/>
      <c r="D63" s="14"/>
      <c r="E63" s="14"/>
      <c r="F63" s="14"/>
      <c r="G63" s="18"/>
      <c r="H63" s="18"/>
      <c r="I63" s="14"/>
      <c r="J63" s="120"/>
      <c r="K63" s="14"/>
      <c r="L63" s="14"/>
      <c r="N63" s="14"/>
      <c r="O63" s="14"/>
      <c r="Q63" s="14" t="s">
        <v>877</v>
      </c>
      <c r="S63" s="246" t="s">
        <v>138</v>
      </c>
      <c r="T63" s="637">
        <f>S29</f>
        <v>1.46186744</v>
      </c>
      <c r="U63" s="637"/>
      <c r="V63" s="565" t="s">
        <v>344</v>
      </c>
    </row>
    <row r="64" spans="1:22" ht="18" customHeight="1">
      <c r="A64" s="96"/>
      <c r="B64" s="47" t="s">
        <v>702</v>
      </c>
      <c r="C64" s="14"/>
      <c r="D64" s="14"/>
      <c r="E64" s="14"/>
      <c r="F64" s="14"/>
      <c r="G64" s="14"/>
      <c r="H64" s="14"/>
      <c r="I64" s="14"/>
      <c r="J64" s="120"/>
      <c r="K64" s="14"/>
      <c r="L64" s="14"/>
      <c r="N64" s="14"/>
      <c r="O64" s="14"/>
      <c r="Q64" s="14" t="s">
        <v>522</v>
      </c>
      <c r="S64" s="246" t="s">
        <v>138</v>
      </c>
      <c r="T64" s="639">
        <f>O10</f>
        <v>1</v>
      </c>
      <c r="U64" s="639"/>
      <c r="V64" s="197" t="s">
        <v>9</v>
      </c>
    </row>
    <row r="65" spans="1:22" ht="18" customHeight="1">
      <c r="A65" s="96"/>
      <c r="B65" s="14" t="s">
        <v>892</v>
      </c>
      <c r="C65" s="14"/>
      <c r="D65" s="14"/>
      <c r="E65" s="247"/>
      <c r="F65" s="14"/>
      <c r="G65" s="28"/>
      <c r="H65" s="261"/>
      <c r="I65" s="28"/>
      <c r="J65" s="263"/>
      <c r="K65" s="14"/>
      <c r="L65" s="292"/>
      <c r="N65" s="47"/>
      <c r="O65" s="280"/>
      <c r="Q65" s="293" t="s">
        <v>352</v>
      </c>
      <c r="S65" s="246" t="s">
        <v>138</v>
      </c>
      <c r="T65" s="1174">
        <f>'Parameters &amp; Fault Cal. (4)'!Q11</f>
        <v>50</v>
      </c>
      <c r="U65" s="1175"/>
      <c r="V65" s="197"/>
    </row>
    <row r="66" spans="1:22" ht="18" customHeight="1">
      <c r="A66" s="337"/>
      <c r="B66" s="14" t="s">
        <v>893</v>
      </c>
      <c r="F66" s="14"/>
      <c r="G66" s="166"/>
      <c r="H66" s="102"/>
      <c r="I66" s="28"/>
      <c r="J66" s="27"/>
      <c r="K66" s="14"/>
      <c r="O66" s="47"/>
      <c r="P66" s="14"/>
      <c r="Q66" s="14"/>
      <c r="R66" s="14"/>
      <c r="S66" s="120"/>
      <c r="T66" s="940">
        <v>150</v>
      </c>
      <c r="U66" s="941"/>
      <c r="V66" s="97" t="s">
        <v>615</v>
      </c>
    </row>
    <row r="67" spans="1:22" ht="18.75" customHeight="1">
      <c r="A67" s="96"/>
      <c r="B67" s="14"/>
      <c r="Q67" s="14"/>
      <c r="R67" s="14"/>
      <c r="S67" s="120"/>
      <c r="T67" s="18"/>
      <c r="U67" s="18"/>
      <c r="V67" s="97"/>
    </row>
    <row r="68" spans="1:22" ht="18" customHeight="1">
      <c r="A68" s="196"/>
      <c r="B68" s="566" t="s">
        <v>894</v>
      </c>
      <c r="C68" s="566"/>
      <c r="D68" s="259"/>
      <c r="E68" s="259"/>
      <c r="F68" s="472" t="str">
        <f>IF(T66=150,"1 &amp; 2","3 &amp; 4")</f>
        <v>1 &amp; 2</v>
      </c>
      <c r="G68" s="567"/>
      <c r="V68" s="197"/>
    </row>
    <row r="69" spans="1:22" ht="18" customHeight="1">
      <c r="A69" s="557" t="s">
        <v>430</v>
      </c>
      <c r="B69" s="638" t="s">
        <v>882</v>
      </c>
      <c r="C69" s="638"/>
      <c r="D69" s="28" t="s">
        <v>326</v>
      </c>
      <c r="E69" s="28" t="s">
        <v>352</v>
      </c>
      <c r="F69" s="47" t="s">
        <v>361</v>
      </c>
      <c r="G69" s="166" t="s">
        <v>710</v>
      </c>
      <c r="H69" s="120" t="s">
        <v>430</v>
      </c>
      <c r="I69" s="233" t="str">
        <f>IF(T66=150,"1000","600")</f>
        <v>1000</v>
      </c>
      <c r="J69" s="28" t="s">
        <v>326</v>
      </c>
      <c r="K69" s="28" t="s">
        <v>522</v>
      </c>
      <c r="L69" s="47" t="s">
        <v>361</v>
      </c>
      <c r="M69" s="14"/>
      <c r="N69" s="14"/>
      <c r="U69" s="14" t="str">
        <f>IF(T66=150,"...cond.1","…cond.3")</f>
        <v>...cond.1</v>
      </c>
      <c r="V69" s="197"/>
    </row>
    <row r="70" spans="1:22" ht="18" customHeight="1">
      <c r="A70" s="557" t="s">
        <v>430</v>
      </c>
      <c r="B70" s="641">
        <f>T61</f>
        <v>16</v>
      </c>
      <c r="C70" s="641"/>
      <c r="D70" s="28" t="s">
        <v>326</v>
      </c>
      <c r="E70" s="28">
        <f>T65</f>
        <v>50</v>
      </c>
      <c r="F70" s="47" t="s">
        <v>361</v>
      </c>
      <c r="G70" s="166" t="s">
        <v>710</v>
      </c>
      <c r="H70" s="120" t="s">
        <v>430</v>
      </c>
      <c r="I70" s="233" t="str">
        <f>I69</f>
        <v>1000</v>
      </c>
      <c r="J70" s="28" t="s">
        <v>326</v>
      </c>
      <c r="K70" s="28">
        <f>T64</f>
        <v>1</v>
      </c>
      <c r="L70" s="47" t="s">
        <v>361</v>
      </c>
      <c r="M70" s="14"/>
      <c r="N70" s="14"/>
      <c r="U70" s="14"/>
      <c r="V70" s="97"/>
    </row>
    <row r="71" spans="1:22" ht="18" customHeight="1">
      <c r="A71" s="96"/>
      <c r="B71" s="14"/>
      <c r="C71" s="14"/>
      <c r="D71" s="959">
        <f>B70*E70</f>
        <v>800</v>
      </c>
      <c r="E71" s="1162"/>
      <c r="F71" s="14"/>
      <c r="G71" s="166" t="s">
        <v>710</v>
      </c>
      <c r="H71" s="102"/>
      <c r="I71" s="638">
        <f>I70*K70</f>
        <v>1000</v>
      </c>
      <c r="J71" s="639"/>
      <c r="K71" s="14"/>
      <c r="O71" s="47"/>
      <c r="P71" s="14"/>
      <c r="Q71" s="14"/>
      <c r="R71" s="14"/>
      <c r="S71" s="120" t="s">
        <v>895</v>
      </c>
      <c r="T71" s="1173" t="b">
        <f>IF(D71&lt;=I71,TRUE,FALSE)</f>
        <v>1</v>
      </c>
      <c r="U71" s="1173"/>
      <c r="V71" s="97"/>
    </row>
    <row r="72" spans="1:22" ht="18" customHeight="1">
      <c r="A72" s="196"/>
      <c r="B72" s="28" t="s">
        <v>628</v>
      </c>
      <c r="C72" s="30" t="str">
        <f>IF(T66=150,"…cond.1","…cond.3")</f>
        <v>…cond.1</v>
      </c>
      <c r="E72" s="14" t="s">
        <v>896</v>
      </c>
      <c r="V72" s="197"/>
    </row>
    <row r="73" spans="1:22" ht="18" customHeight="1">
      <c r="A73" s="196"/>
      <c r="V73" s="97"/>
    </row>
    <row r="74" spans="1:22" ht="18" customHeight="1">
      <c r="A74" s="196"/>
      <c r="B74" s="14"/>
      <c r="C74" s="28" t="s">
        <v>876</v>
      </c>
      <c r="D74" s="28" t="s">
        <v>540</v>
      </c>
      <c r="E74" s="28">
        <v>40</v>
      </c>
      <c r="F74" s="28" t="s">
        <v>358</v>
      </c>
      <c r="G74" s="233" t="str">
        <f>IF(T66=150,"0.07","0.35")</f>
        <v>0.07</v>
      </c>
      <c r="H74" s="28" t="s">
        <v>683</v>
      </c>
      <c r="I74" s="638" t="s">
        <v>882</v>
      </c>
      <c r="J74" s="985"/>
      <c r="K74" s="28" t="s">
        <v>326</v>
      </c>
      <c r="L74" s="28" t="s">
        <v>352</v>
      </c>
      <c r="M74" s="47" t="s">
        <v>361</v>
      </c>
      <c r="N74" s="196"/>
      <c r="O74" s="47" t="s">
        <v>897</v>
      </c>
      <c r="P74" s="27"/>
      <c r="Q74" s="28" t="s">
        <v>138</v>
      </c>
      <c r="R74" s="637">
        <f>MAX(E76,E77)</f>
        <v>96</v>
      </c>
      <c r="S74" s="639"/>
      <c r="V74" s="197"/>
    </row>
    <row r="75" spans="1:22" ht="18" customHeight="1">
      <c r="A75" s="196"/>
      <c r="B75" s="14"/>
      <c r="C75" s="28"/>
      <c r="D75" s="28" t="s">
        <v>540</v>
      </c>
      <c r="E75" s="28">
        <v>40</v>
      </c>
      <c r="F75" s="28" t="s">
        <v>358</v>
      </c>
      <c r="G75" s="233" t="str">
        <f>IF(T66=150,"0.07","0.35")</f>
        <v>0.07</v>
      </c>
      <c r="H75" s="28" t="s">
        <v>683</v>
      </c>
      <c r="I75" s="641">
        <f>T61</f>
        <v>16</v>
      </c>
      <c r="J75" s="985"/>
      <c r="K75" s="28" t="s">
        <v>326</v>
      </c>
      <c r="L75" s="28">
        <f>T65</f>
        <v>50</v>
      </c>
      <c r="M75" s="47" t="s">
        <v>361</v>
      </c>
      <c r="N75" s="196"/>
      <c r="V75" s="197"/>
    </row>
    <row r="76" spans="1:22" ht="18" customHeight="1">
      <c r="A76" s="196"/>
      <c r="B76" s="14"/>
      <c r="C76" s="28"/>
      <c r="D76" s="28" t="s">
        <v>540</v>
      </c>
      <c r="E76" s="641">
        <f>E75+(G75*(I75*L75))</f>
        <v>96</v>
      </c>
      <c r="F76" s="641"/>
      <c r="G76" s="233"/>
      <c r="H76" s="28"/>
      <c r="I76" s="230"/>
      <c r="K76" s="28"/>
      <c r="L76" s="28"/>
      <c r="M76" s="47"/>
      <c r="N76" s="196"/>
      <c r="V76" s="197"/>
    </row>
    <row r="77" spans="1:22" ht="18" customHeight="1">
      <c r="A77" s="96"/>
      <c r="B77" s="28" t="s">
        <v>885</v>
      </c>
      <c r="C77" s="28" t="s">
        <v>876</v>
      </c>
      <c r="D77" s="28" t="s">
        <v>138</v>
      </c>
      <c r="E77" s="28">
        <v>65</v>
      </c>
      <c r="G77" s="14"/>
      <c r="H77" s="166"/>
      <c r="I77" s="102"/>
      <c r="J77" s="28"/>
      <c r="K77" s="27"/>
      <c r="L77" s="14"/>
      <c r="N77" s="96"/>
      <c r="O77" s="14"/>
      <c r="Q77" s="14"/>
      <c r="R77" s="14"/>
      <c r="S77" s="14"/>
      <c r="T77" s="14"/>
      <c r="U77" s="14"/>
      <c r="V77" s="97"/>
    </row>
    <row r="78" spans="1:22" ht="18" customHeight="1">
      <c r="A78" s="96"/>
      <c r="B78" s="14"/>
      <c r="F78" s="28"/>
      <c r="I78" s="120"/>
      <c r="J78" s="233"/>
      <c r="K78" s="28"/>
      <c r="L78" s="28"/>
      <c r="M78" s="47"/>
      <c r="N78" s="14"/>
      <c r="O78" s="14"/>
      <c r="Q78" s="14"/>
      <c r="R78" s="14"/>
      <c r="S78" s="14"/>
      <c r="T78" s="14"/>
      <c r="U78" s="14"/>
      <c r="V78" s="97"/>
    </row>
    <row r="79" spans="1:22" ht="18" customHeight="1">
      <c r="A79" s="557" t="s">
        <v>430</v>
      </c>
      <c r="B79" s="233" t="str">
        <f>IF(T66=150,"1000","600")</f>
        <v>1000</v>
      </c>
      <c r="C79" s="28" t="s">
        <v>326</v>
      </c>
      <c r="D79" s="28" t="s">
        <v>522</v>
      </c>
      <c r="E79" s="47" t="s">
        <v>361</v>
      </c>
      <c r="F79" s="28" t="s">
        <v>886</v>
      </c>
      <c r="G79" s="120" t="s">
        <v>430</v>
      </c>
      <c r="H79" s="638" t="s">
        <v>882</v>
      </c>
      <c r="I79" s="985"/>
      <c r="J79" s="28" t="s">
        <v>326</v>
      </c>
      <c r="K79" s="28" t="s">
        <v>352</v>
      </c>
      <c r="L79" s="47" t="s">
        <v>361</v>
      </c>
      <c r="M79" s="166" t="s">
        <v>710</v>
      </c>
      <c r="N79" s="120" t="s">
        <v>430</v>
      </c>
      <c r="O79" s="233" t="str">
        <f>IF(T66=150,"2600","1600")</f>
        <v>2600</v>
      </c>
      <c r="P79" s="28" t="s">
        <v>326</v>
      </c>
      <c r="Q79" s="28" t="s">
        <v>522</v>
      </c>
      <c r="R79" s="47" t="s">
        <v>361</v>
      </c>
      <c r="S79" s="14"/>
      <c r="T79" s="14"/>
      <c r="U79" s="14" t="str">
        <f>IF(T66=150,"...cond.2","…cond.4")</f>
        <v>...cond.2</v>
      </c>
      <c r="V79" s="97"/>
    </row>
    <row r="80" spans="1:22" ht="18" customHeight="1">
      <c r="A80" s="557" t="s">
        <v>430</v>
      </c>
      <c r="B80" s="233" t="str">
        <f>B79</f>
        <v>1000</v>
      </c>
      <c r="C80" s="28" t="s">
        <v>326</v>
      </c>
      <c r="D80" s="28">
        <f>T64</f>
        <v>1</v>
      </c>
      <c r="E80" s="47" t="s">
        <v>361</v>
      </c>
      <c r="F80" s="28" t="s">
        <v>886</v>
      </c>
      <c r="G80" s="120" t="s">
        <v>430</v>
      </c>
      <c r="H80" s="641">
        <f>T61</f>
        <v>16</v>
      </c>
      <c r="I80" s="985"/>
      <c r="J80" s="28" t="s">
        <v>326</v>
      </c>
      <c r="K80" s="28">
        <f>T65</f>
        <v>50</v>
      </c>
      <c r="L80" s="47" t="s">
        <v>361</v>
      </c>
      <c r="M80" s="166" t="s">
        <v>710</v>
      </c>
      <c r="N80" s="120" t="s">
        <v>430</v>
      </c>
      <c r="O80" s="233" t="str">
        <f>O79</f>
        <v>2600</v>
      </c>
      <c r="P80" s="28" t="s">
        <v>326</v>
      </c>
      <c r="Q80" s="28">
        <f>T64</f>
        <v>1</v>
      </c>
      <c r="R80" s="47" t="s">
        <v>361</v>
      </c>
      <c r="S80" s="14"/>
      <c r="T80" s="14"/>
      <c r="U80" s="14"/>
      <c r="V80" s="97"/>
    </row>
    <row r="81" spans="1:22" ht="18" customHeight="1">
      <c r="A81" s="557"/>
      <c r="B81" s="261"/>
      <c r="C81" s="1172">
        <f>B80*D80</f>
        <v>1000</v>
      </c>
      <c r="D81" s="1172"/>
      <c r="E81" s="261"/>
      <c r="F81" s="28" t="s">
        <v>886</v>
      </c>
      <c r="G81" s="14"/>
      <c r="H81" s="14"/>
      <c r="I81" s="959">
        <f>H80*K80</f>
        <v>800</v>
      </c>
      <c r="J81" s="959"/>
      <c r="K81" s="14"/>
      <c r="L81" s="14"/>
      <c r="M81" s="166" t="s">
        <v>710</v>
      </c>
      <c r="N81" s="102"/>
      <c r="O81" s="987">
        <f>O80*Q80</f>
        <v>2600</v>
      </c>
      <c r="P81" s="985"/>
      <c r="Q81" s="14"/>
      <c r="R81" s="14"/>
      <c r="S81" s="120" t="s">
        <v>895</v>
      </c>
      <c r="T81" s="1173" t="b">
        <f>IF(AND(C81&lt;I81,I81&lt;=O81)=TRUE,TRUE,FALSE)</f>
        <v>0</v>
      </c>
      <c r="U81" s="1173"/>
      <c r="V81" s="97"/>
    </row>
    <row r="82" spans="1:22" ht="18" customHeight="1">
      <c r="A82" s="205"/>
      <c r="B82" s="14"/>
      <c r="C82" s="27"/>
      <c r="D82" s="230"/>
      <c r="E82" s="216"/>
      <c r="F82" s="14"/>
      <c r="G82" s="14"/>
      <c r="H82" s="14"/>
      <c r="I82" s="14"/>
      <c r="J82" s="120"/>
      <c r="K82" s="120"/>
      <c r="L82" s="14"/>
      <c r="M82" s="14"/>
      <c r="N82" s="28"/>
      <c r="O82" s="269"/>
      <c r="P82" s="14"/>
      <c r="Q82" s="14"/>
      <c r="R82" s="120"/>
      <c r="S82" s="28"/>
      <c r="T82" s="47"/>
      <c r="U82" s="14"/>
      <c r="V82" s="97"/>
    </row>
    <row r="83" spans="1:22" s="291" customFormat="1" ht="18" customHeight="1">
      <c r="A83" s="311"/>
      <c r="B83" s="28" t="s">
        <v>628</v>
      </c>
      <c r="C83" s="30" t="str">
        <f>IF(T66=150,"…cond.2","…cond.4")</f>
        <v>…cond.2</v>
      </c>
      <c r="D83" s="30"/>
      <c r="E83" s="14" t="s">
        <v>898</v>
      </c>
      <c r="F83" s="30"/>
      <c r="G83" s="30"/>
      <c r="H83" s="30"/>
      <c r="I83" s="30"/>
      <c r="J83" s="28" t="s">
        <v>138</v>
      </c>
      <c r="K83" s="30" t="str">
        <f>IF(T66=150,"107","256")</f>
        <v>107</v>
      </c>
      <c r="L83" s="30"/>
      <c r="M83" s="30"/>
      <c r="N83" s="1" t="s">
        <v>899</v>
      </c>
      <c r="O83" s="208"/>
      <c r="P83" s="208"/>
      <c r="Q83" s="208"/>
      <c r="R83" s="208"/>
      <c r="S83" s="194" t="s">
        <v>138</v>
      </c>
      <c r="T83" s="258">
        <f>IF(T71=TRUE,R74,IF(T81=TRUE,K83,))</f>
        <v>96</v>
      </c>
      <c r="U83" s="14"/>
      <c r="V83" s="97"/>
    </row>
    <row r="84" spans="1:22" ht="18" customHeight="1">
      <c r="A84" s="205"/>
      <c r="B84" s="14"/>
      <c r="C84" s="27"/>
      <c r="D84" s="230"/>
      <c r="E84" s="216"/>
      <c r="F84" s="14"/>
      <c r="G84" s="14"/>
      <c r="H84" s="14"/>
      <c r="I84" s="14"/>
      <c r="J84" s="120"/>
      <c r="K84" s="120"/>
      <c r="L84" s="14"/>
      <c r="M84" s="14"/>
      <c r="N84" s="28"/>
      <c r="O84" s="269"/>
      <c r="P84" s="14"/>
      <c r="Q84" s="14"/>
      <c r="R84" s="120"/>
      <c r="S84" s="28"/>
      <c r="T84" s="47"/>
      <c r="U84" s="14"/>
      <c r="V84" s="97"/>
    </row>
    <row r="85" spans="1:22"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2" ht="18" customHeight="1">
      <c r="A86" s="205"/>
      <c r="B86" s="14"/>
      <c r="C86" s="27"/>
      <c r="D86" s="230"/>
      <c r="E86" s="216"/>
      <c r="F86" s="14"/>
      <c r="G86" s="14"/>
      <c r="H86" s="14"/>
      <c r="I86" s="14"/>
      <c r="J86" s="120"/>
      <c r="K86" s="120"/>
      <c r="L86" s="14"/>
      <c r="M86" s="14"/>
      <c r="N86" s="28"/>
      <c r="O86" s="269"/>
      <c r="P86" s="14"/>
      <c r="Q86" s="14"/>
      <c r="R86" s="120"/>
      <c r="S86" s="28"/>
      <c r="T86" s="47"/>
      <c r="U86" s="14"/>
      <c r="V86" s="97"/>
    </row>
    <row r="87" spans="1:22" s="291" customFormat="1" ht="18" customHeight="1">
      <c r="A87" s="205" t="s">
        <v>900</v>
      </c>
      <c r="B87" s="28"/>
      <c r="C87" s="28"/>
      <c r="D87" s="28"/>
      <c r="E87" s="14"/>
      <c r="F87" s="14"/>
      <c r="G87" s="120"/>
      <c r="H87" s="28"/>
      <c r="I87" s="28"/>
      <c r="J87" s="28"/>
      <c r="K87" s="28"/>
      <c r="L87" s="28"/>
      <c r="M87" s="28"/>
      <c r="N87" s="28"/>
      <c r="O87" s="28"/>
      <c r="P87" s="28"/>
      <c r="Q87" s="28"/>
      <c r="R87" s="28"/>
      <c r="S87" s="28"/>
      <c r="T87" s="14"/>
      <c r="U87" s="28"/>
      <c r="V87" s="97"/>
    </row>
    <row r="88" spans="1:22" ht="18" customHeight="1">
      <c r="A88" s="196"/>
      <c r="D88" s="30" t="s">
        <v>484</v>
      </c>
      <c r="E88" s="27" t="s">
        <v>540</v>
      </c>
      <c r="F88" s="27" t="s">
        <v>876</v>
      </c>
      <c r="G88" s="27" t="s">
        <v>326</v>
      </c>
      <c r="H88" s="27" t="s">
        <v>522</v>
      </c>
      <c r="I88" s="27" t="s">
        <v>383</v>
      </c>
      <c r="J88" s="27" t="s">
        <v>431</v>
      </c>
      <c r="K88" s="27" t="s">
        <v>358</v>
      </c>
      <c r="L88" s="27" t="s">
        <v>877</v>
      </c>
      <c r="M88" s="30" t="s">
        <v>361</v>
      </c>
      <c r="V88" s="197"/>
    </row>
    <row r="89" spans="1:22" ht="18" customHeight="1">
      <c r="A89" s="196"/>
      <c r="B89" s="14"/>
      <c r="D89" s="14"/>
      <c r="E89" s="27" t="s">
        <v>540</v>
      </c>
      <c r="F89" s="27">
        <f>T83</f>
        <v>96</v>
      </c>
      <c r="G89" s="27" t="s">
        <v>326</v>
      </c>
      <c r="H89" s="27">
        <f>T64</f>
        <v>1</v>
      </c>
      <c r="I89" s="27" t="s">
        <v>383</v>
      </c>
      <c r="J89" s="27">
        <f>T62</f>
        <v>5</v>
      </c>
      <c r="K89" s="27" t="s">
        <v>358</v>
      </c>
      <c r="L89" s="223">
        <f>T63</f>
        <v>1.46186744</v>
      </c>
      <c r="M89" s="30" t="s">
        <v>361</v>
      </c>
      <c r="V89" s="197"/>
    </row>
    <row r="90" spans="1:22" ht="18.600000000000001" customHeight="1">
      <c r="A90" s="196"/>
      <c r="B90" s="14"/>
      <c r="D90" s="14"/>
      <c r="E90" s="27" t="s">
        <v>540</v>
      </c>
      <c r="F90" s="912">
        <f>F89*H89*(J89+L89)</f>
        <v>620.33927424000001</v>
      </c>
      <c r="G90" s="913"/>
      <c r="H90" s="14" t="s">
        <v>316</v>
      </c>
      <c r="I90" s="14"/>
      <c r="J90" s="14"/>
      <c r="K90" s="14"/>
      <c r="L90" s="120"/>
      <c r="M90" s="120"/>
      <c r="V90" s="197"/>
    </row>
    <row r="91" spans="1:22" ht="18" customHeight="1">
      <c r="A91" s="196"/>
      <c r="C91" s="30" t="s">
        <v>486</v>
      </c>
      <c r="F91" s="27" t="str">
        <f>IF(D92&gt;G92,"&gt;","&lt;")</f>
        <v>&gt;</v>
      </c>
      <c r="G91" s="30" t="s">
        <v>488</v>
      </c>
      <c r="L91" s="14"/>
      <c r="M91" s="14"/>
      <c r="N91" s="14"/>
      <c r="O91" s="14"/>
      <c r="P91" s="14"/>
      <c r="Q91" s="14"/>
      <c r="R91" s="14"/>
      <c r="S91" s="14"/>
      <c r="T91" s="14"/>
      <c r="U91" s="14"/>
      <c r="V91" s="97"/>
    </row>
    <row r="92" spans="1:22" ht="18" customHeight="1">
      <c r="A92" s="196"/>
      <c r="D92" s="639">
        <f>H13</f>
        <v>3750</v>
      </c>
      <c r="E92" s="639"/>
      <c r="F92" s="27" t="str">
        <f>F91</f>
        <v>&gt;</v>
      </c>
      <c r="G92" s="873">
        <f>F90</f>
        <v>620.33927424000001</v>
      </c>
      <c r="H92" s="873"/>
      <c r="L92" s="14"/>
      <c r="M92" s="14"/>
      <c r="N92" s="28"/>
      <c r="O92" s="28"/>
      <c r="P92" s="28"/>
      <c r="Q92" s="120"/>
      <c r="R92" s="262"/>
      <c r="S92" s="198"/>
      <c r="T92" s="14"/>
      <c r="U92" s="14"/>
      <c r="V92" s="97"/>
    </row>
    <row r="93" spans="1:22" ht="18" customHeight="1">
      <c r="A93" s="196"/>
      <c r="D93" s="27"/>
      <c r="E93" s="27"/>
      <c r="F93" s="27"/>
      <c r="G93" s="576"/>
      <c r="H93" s="576"/>
      <c r="L93" s="14"/>
      <c r="M93" s="14"/>
      <c r="N93" s="28"/>
      <c r="O93" s="28"/>
      <c r="P93" s="28"/>
      <c r="Q93" s="120"/>
      <c r="R93" s="262"/>
      <c r="S93" s="198"/>
      <c r="T93" s="14"/>
      <c r="U93" s="14"/>
      <c r="V93" s="97"/>
    </row>
    <row r="94" spans="1:22" ht="18" customHeight="1">
      <c r="A94" s="196"/>
      <c r="E94" s="256" t="s">
        <v>489</v>
      </c>
      <c r="G94" s="18" t="str">
        <f>IF(F92="&gt;","Suitably Dimensioned","Under Dimensioned")</f>
        <v>Suitably Dimensioned</v>
      </c>
      <c r="L94" s="14"/>
      <c r="M94" s="14"/>
      <c r="N94" s="28"/>
      <c r="O94" s="269"/>
      <c r="P94" s="14"/>
      <c r="Q94" s="14"/>
      <c r="R94" s="120"/>
      <c r="S94" s="28"/>
      <c r="T94" s="47"/>
      <c r="U94" s="14"/>
      <c r="V94" s="97"/>
    </row>
    <row r="95" spans="1:22" s="291" customFormat="1" ht="18" customHeight="1">
      <c r="A95" s="337"/>
      <c r="B95" s="28"/>
      <c r="C95" s="28"/>
      <c r="D95" s="28"/>
      <c r="E95" s="14"/>
      <c r="F95" s="14"/>
      <c r="G95" s="120"/>
      <c r="H95" s="28"/>
      <c r="I95" s="28"/>
      <c r="J95" s="28"/>
      <c r="K95" s="28"/>
      <c r="L95" s="28"/>
      <c r="M95" s="28"/>
      <c r="N95" s="28"/>
      <c r="O95" s="28"/>
      <c r="P95" s="28"/>
      <c r="Q95" s="28"/>
      <c r="R95" s="28"/>
      <c r="S95" s="28"/>
      <c r="T95" s="14"/>
      <c r="U95" s="28"/>
      <c r="V95" s="97"/>
    </row>
    <row r="96" spans="1:22" ht="18" customHeight="1">
      <c r="A96" s="116" t="s">
        <v>457</v>
      </c>
      <c r="B96" s="14"/>
      <c r="C96" s="27"/>
      <c r="D96" s="230"/>
      <c r="E96" s="216"/>
      <c r="F96" s="14"/>
      <c r="G96" s="14"/>
      <c r="H96" s="14"/>
      <c r="I96" s="14"/>
      <c r="J96" s="120"/>
      <c r="K96" s="120"/>
      <c r="L96" s="14"/>
      <c r="M96" s="14"/>
      <c r="N96" s="28"/>
      <c r="O96" s="269"/>
      <c r="P96" s="14"/>
      <c r="Q96" s="14"/>
      <c r="R96" s="120"/>
      <c r="S96" s="28"/>
      <c r="T96" s="47"/>
      <c r="U96" s="14"/>
      <c r="V96" s="197"/>
    </row>
    <row r="97" spans="1:22" ht="18" customHeight="1">
      <c r="A97" s="205" t="s">
        <v>427</v>
      </c>
      <c r="B97" s="14"/>
      <c r="C97" s="27"/>
      <c r="D97" s="230"/>
      <c r="E97" s="216"/>
      <c r="F97" s="14"/>
      <c r="G97" s="14"/>
      <c r="H97" s="14"/>
      <c r="I97" s="14"/>
      <c r="J97" s="120"/>
      <c r="K97" s="120"/>
      <c r="L97" s="14"/>
      <c r="M97" s="14"/>
      <c r="N97" s="28"/>
      <c r="O97" s="269"/>
      <c r="P97" s="14"/>
      <c r="Q97" s="14"/>
      <c r="R97" s="120"/>
      <c r="S97" s="28"/>
      <c r="T97" s="47"/>
      <c r="U97" s="14"/>
      <c r="V97" s="197"/>
    </row>
    <row r="98" spans="1:22" ht="32.700000000000003" customHeight="1">
      <c r="A98" s="964" t="s">
        <v>901</v>
      </c>
      <c r="B98" s="1118"/>
      <c r="C98" s="1118"/>
      <c r="D98" s="1118"/>
      <c r="E98" s="1118"/>
      <c r="F98" s="1118"/>
      <c r="G98" s="1118"/>
      <c r="H98" s="1118"/>
      <c r="I98" s="1118"/>
      <c r="J98" s="1118"/>
      <c r="K98" s="1118"/>
      <c r="L98" s="1118"/>
      <c r="M98" s="1118"/>
      <c r="N98" s="1118"/>
      <c r="O98" s="1118"/>
      <c r="P98" s="1118"/>
      <c r="Q98" s="1118"/>
      <c r="R98" s="1118"/>
      <c r="S98" s="1118"/>
      <c r="T98" s="1118"/>
      <c r="U98" s="1118"/>
      <c r="V98" s="1119"/>
    </row>
    <row r="99" spans="1:22" ht="18" customHeight="1">
      <c r="A99" s="205"/>
      <c r="B99" s="14"/>
      <c r="F99" s="14" t="s">
        <v>902</v>
      </c>
      <c r="G99" s="14" t="s">
        <v>138</v>
      </c>
      <c r="H99" s="1166">
        <f>'Parameters &amp; Fault Cal. (4)'!E52</f>
        <v>1.0135106990427094</v>
      </c>
      <c r="I99" s="1166"/>
      <c r="J99" s="120"/>
      <c r="K99" s="14" t="str">
        <f>IF(H99&gt;2,"Since SIR is &gt;2, the below calculation is not applicable","")</f>
        <v/>
      </c>
      <c r="N99" s="28"/>
      <c r="O99" s="269"/>
      <c r="P99" s="14"/>
      <c r="Q99" s="14"/>
      <c r="R99" s="120"/>
      <c r="S99" s="28"/>
      <c r="T99" s="47"/>
      <c r="U99" s="14"/>
      <c r="V99" s="197"/>
    </row>
    <row r="100" spans="1:22" ht="18" customHeight="1">
      <c r="A100" s="205"/>
      <c r="B100" s="14"/>
      <c r="C100" s="27"/>
      <c r="D100" s="230"/>
      <c r="E100" s="216"/>
      <c r="J100" s="120"/>
      <c r="K100" s="120"/>
      <c r="L100" s="14"/>
      <c r="M100" s="14"/>
      <c r="N100" s="28"/>
      <c r="O100" s="269"/>
      <c r="P100" s="14"/>
      <c r="Q100" s="14"/>
      <c r="R100" s="120"/>
      <c r="S100" s="28"/>
      <c r="T100" s="47"/>
      <c r="U100" s="14"/>
      <c r="V100" s="197"/>
    </row>
    <row r="101" spans="1:22" ht="18" customHeight="1">
      <c r="A101" s="196"/>
      <c r="B101" s="14"/>
      <c r="C101" s="27"/>
      <c r="D101" s="230"/>
      <c r="E101" s="216"/>
      <c r="F101" s="30" t="s">
        <v>484</v>
      </c>
      <c r="G101" s="27" t="s">
        <v>540</v>
      </c>
      <c r="H101" s="969" t="s">
        <v>903</v>
      </c>
      <c r="I101" s="969"/>
      <c r="J101" s="27" t="s">
        <v>326</v>
      </c>
      <c r="K101" s="969" t="s">
        <v>855</v>
      </c>
      <c r="L101" s="969"/>
      <c r="M101" s="27" t="s">
        <v>326</v>
      </c>
      <c r="N101" s="256" t="s">
        <v>430</v>
      </c>
      <c r="O101" s="27" t="s">
        <v>431</v>
      </c>
      <c r="P101" s="27" t="s">
        <v>358</v>
      </c>
      <c r="Q101" s="27" t="s">
        <v>419</v>
      </c>
      <c r="R101" s="30" t="s">
        <v>361</v>
      </c>
      <c r="S101" s="28"/>
      <c r="T101" s="47"/>
      <c r="U101" s="14"/>
      <c r="V101" s="197"/>
    </row>
    <row r="102" spans="1:22" ht="18" customHeight="1">
      <c r="A102" s="205"/>
      <c r="F102" s="14" t="s">
        <v>904</v>
      </c>
      <c r="H102" s="27"/>
      <c r="I102" s="230"/>
      <c r="J102" s="216"/>
      <c r="K102" s="14"/>
      <c r="L102" s="14"/>
      <c r="M102" s="14"/>
      <c r="N102" s="14"/>
      <c r="O102" s="120"/>
      <c r="P102" s="120"/>
      <c r="Q102" s="14"/>
      <c r="R102" s="14"/>
      <c r="U102" s="14"/>
      <c r="V102" s="197"/>
    </row>
    <row r="103" spans="1:22" ht="18" customHeight="1">
      <c r="A103" s="205"/>
      <c r="G103" s="969" t="s">
        <v>903</v>
      </c>
      <c r="H103" s="969"/>
      <c r="I103" s="230" t="s">
        <v>138</v>
      </c>
      <c r="J103" s="216" t="s">
        <v>905</v>
      </c>
      <c r="K103" s="14"/>
      <c r="L103" s="14"/>
      <c r="M103" s="14"/>
      <c r="N103" s="14"/>
      <c r="O103" s="120"/>
      <c r="P103" s="120"/>
      <c r="Q103" s="14"/>
      <c r="R103" s="14"/>
      <c r="S103" s="28" t="s">
        <v>138</v>
      </c>
      <c r="T103" s="47">
        <v>1.4</v>
      </c>
      <c r="U103" s="14"/>
      <c r="V103" s="97"/>
    </row>
    <row r="104" spans="1:22" ht="18" customHeight="1">
      <c r="A104" s="205"/>
      <c r="G104" s="969" t="s">
        <v>855</v>
      </c>
      <c r="H104" s="969"/>
      <c r="I104" s="230" t="s">
        <v>138</v>
      </c>
      <c r="J104" s="216" t="s">
        <v>906</v>
      </c>
      <c r="K104" s="14"/>
      <c r="L104" s="14"/>
      <c r="M104" s="14"/>
      <c r="N104" s="14"/>
      <c r="O104" s="120"/>
      <c r="P104" s="120"/>
      <c r="Q104" s="14"/>
      <c r="R104" s="14"/>
      <c r="S104" s="28" t="s">
        <v>138</v>
      </c>
      <c r="T104" s="989">
        <f>T61</f>
        <v>16</v>
      </c>
      <c r="U104" s="987"/>
      <c r="V104" s="97" t="s">
        <v>9</v>
      </c>
    </row>
    <row r="105" spans="1:22" ht="18" customHeight="1">
      <c r="A105" s="205"/>
      <c r="U105" s="14"/>
      <c r="V105" s="97"/>
    </row>
    <row r="106" spans="1:22" ht="18" customHeight="1">
      <c r="A106" s="205"/>
      <c r="F106" s="30" t="s">
        <v>484</v>
      </c>
      <c r="G106" s="27" t="s">
        <v>540</v>
      </c>
      <c r="H106" s="969" t="s">
        <v>903</v>
      </c>
      <c r="I106" s="969"/>
      <c r="J106" s="27" t="s">
        <v>326</v>
      </c>
      <c r="K106" s="969" t="s">
        <v>855</v>
      </c>
      <c r="L106" s="969"/>
      <c r="M106" s="27" t="s">
        <v>326</v>
      </c>
      <c r="N106" s="256" t="s">
        <v>430</v>
      </c>
      <c r="O106" s="27" t="s">
        <v>431</v>
      </c>
      <c r="P106" s="27" t="s">
        <v>358</v>
      </c>
      <c r="Q106" s="27" t="s">
        <v>419</v>
      </c>
      <c r="R106" s="30" t="s">
        <v>361</v>
      </c>
      <c r="T106" s="47"/>
      <c r="U106" s="14"/>
      <c r="V106" s="97"/>
    </row>
    <row r="107" spans="1:22" ht="18" customHeight="1">
      <c r="A107" s="205"/>
      <c r="F107" s="30" t="s">
        <v>484</v>
      </c>
      <c r="G107" s="27" t="s">
        <v>540</v>
      </c>
      <c r="H107" s="969">
        <f>T103</f>
        <v>1.4</v>
      </c>
      <c r="I107" s="969"/>
      <c r="J107" s="27" t="s">
        <v>326</v>
      </c>
      <c r="K107" s="640">
        <f>T104</f>
        <v>16</v>
      </c>
      <c r="L107" s="969"/>
      <c r="M107" s="27" t="s">
        <v>326</v>
      </c>
      <c r="N107" s="256" t="s">
        <v>430</v>
      </c>
      <c r="O107" s="27">
        <f>T62</f>
        <v>5</v>
      </c>
      <c r="P107" s="27" t="s">
        <v>358</v>
      </c>
      <c r="Q107" s="223">
        <f>T63</f>
        <v>1.46186744</v>
      </c>
      <c r="R107" s="30" t="s">
        <v>361</v>
      </c>
      <c r="V107" s="97"/>
    </row>
    <row r="108" spans="1:22" ht="18" customHeight="1">
      <c r="A108" s="196"/>
      <c r="F108" s="30" t="s">
        <v>484</v>
      </c>
      <c r="G108" s="27" t="s">
        <v>540</v>
      </c>
      <c r="H108" s="1170">
        <f>H107*K107*(O107+Q107)</f>
        <v>144.74583065599998</v>
      </c>
      <c r="I108" s="1171"/>
      <c r="J108" s="14" t="s">
        <v>907</v>
      </c>
      <c r="V108" s="97"/>
    </row>
    <row r="109" spans="1:22" ht="18" customHeight="1">
      <c r="A109" s="205" t="s">
        <v>908</v>
      </c>
      <c r="O109" s="47"/>
      <c r="P109" s="14"/>
      <c r="Q109" s="14"/>
      <c r="R109" s="14"/>
      <c r="S109" s="120"/>
      <c r="T109" s="18"/>
      <c r="U109" s="18"/>
      <c r="V109" s="97"/>
    </row>
    <row r="110" spans="1:22" ht="18" customHeight="1">
      <c r="A110" s="196"/>
      <c r="C110" s="30" t="s">
        <v>484</v>
      </c>
      <c r="D110" s="27" t="s">
        <v>540</v>
      </c>
      <c r="E110" s="861" t="s">
        <v>909</v>
      </c>
      <c r="F110" s="861"/>
      <c r="G110" s="27" t="s">
        <v>326</v>
      </c>
      <c r="H110" s="861" t="s">
        <v>910</v>
      </c>
      <c r="I110" s="861"/>
      <c r="J110" s="28" t="s">
        <v>683</v>
      </c>
      <c r="K110" s="27">
        <v>1</v>
      </c>
      <c r="L110" s="14" t="s">
        <v>358</v>
      </c>
      <c r="M110" s="14" t="s">
        <v>352</v>
      </c>
      <c r="N110" s="14" t="s">
        <v>911</v>
      </c>
      <c r="O110" s="27" t="s">
        <v>431</v>
      </c>
      <c r="P110" s="27" t="s">
        <v>358</v>
      </c>
      <c r="Q110" s="27" t="s">
        <v>419</v>
      </c>
      <c r="R110" s="30" t="s">
        <v>361</v>
      </c>
      <c r="V110" s="197"/>
    </row>
    <row r="111" spans="1:22" ht="18" customHeight="1">
      <c r="A111" s="196"/>
      <c r="C111" s="14" t="s">
        <v>904</v>
      </c>
      <c r="E111" s="27"/>
      <c r="F111" s="230"/>
      <c r="G111" s="216"/>
      <c r="H111" s="14"/>
      <c r="I111" s="14"/>
      <c r="J111" s="14"/>
      <c r="K111" s="14"/>
      <c r="L111" s="120"/>
      <c r="M111" s="120"/>
      <c r="N111" s="14"/>
      <c r="O111" s="14"/>
      <c r="U111" s="14"/>
      <c r="V111" s="197"/>
    </row>
    <row r="112" spans="1:22" ht="18" customHeight="1">
      <c r="A112" s="96"/>
      <c r="B112" s="14"/>
      <c r="D112" s="861" t="s">
        <v>909</v>
      </c>
      <c r="E112" s="969"/>
      <c r="F112" s="230" t="s">
        <v>138</v>
      </c>
      <c r="G112" s="269" t="s">
        <v>912</v>
      </c>
      <c r="H112" s="14"/>
      <c r="I112" s="14"/>
      <c r="J112" s="14"/>
      <c r="K112" s="14"/>
      <c r="L112" s="120"/>
      <c r="M112" s="120"/>
      <c r="N112" s="14"/>
      <c r="O112" s="14"/>
      <c r="S112" s="28" t="s">
        <v>138</v>
      </c>
      <c r="T112" s="47">
        <v>0.6</v>
      </c>
      <c r="U112" s="14"/>
      <c r="V112" s="97"/>
    </row>
    <row r="113" spans="1:22" ht="18" customHeight="1">
      <c r="A113" s="284"/>
      <c r="B113" s="47"/>
      <c r="D113" s="861" t="s">
        <v>910</v>
      </c>
      <c r="E113" s="969"/>
      <c r="F113" s="230" t="s">
        <v>138</v>
      </c>
      <c r="G113" s="269" t="s">
        <v>913</v>
      </c>
      <c r="H113" s="14"/>
      <c r="I113" s="14"/>
      <c r="J113" s="14"/>
      <c r="K113" s="14"/>
      <c r="L113" s="120"/>
      <c r="M113" s="120"/>
      <c r="N113" s="14"/>
      <c r="O113" s="14"/>
      <c r="S113" s="28" t="s">
        <v>138</v>
      </c>
      <c r="T113" s="989">
        <f>'Parameters &amp; Fault Cal. (4)'!M110/T60</f>
        <v>8.8347617643252185</v>
      </c>
      <c r="U113" s="987"/>
      <c r="V113" s="97" t="s">
        <v>9</v>
      </c>
    </row>
    <row r="114" spans="1:22" ht="18" customHeight="1">
      <c r="A114" s="96"/>
      <c r="B114" s="47"/>
      <c r="C114" s="120"/>
      <c r="S114" s="14"/>
      <c r="T114" s="14"/>
      <c r="U114" s="14"/>
      <c r="V114" s="97"/>
    </row>
    <row r="115" spans="1:22" ht="18" customHeight="1">
      <c r="A115" s="196"/>
      <c r="C115" s="30" t="s">
        <v>484</v>
      </c>
      <c r="D115" s="27" t="s">
        <v>540</v>
      </c>
      <c r="E115" s="861" t="s">
        <v>909</v>
      </c>
      <c r="F115" s="861"/>
      <c r="G115" s="27" t="s">
        <v>326</v>
      </c>
      <c r="H115" s="861" t="s">
        <v>910</v>
      </c>
      <c r="I115" s="861"/>
      <c r="J115" s="28" t="s">
        <v>683</v>
      </c>
      <c r="K115" s="27">
        <v>1</v>
      </c>
      <c r="L115" s="14" t="s">
        <v>358</v>
      </c>
      <c r="M115" s="14" t="s">
        <v>352</v>
      </c>
      <c r="N115" s="14" t="s">
        <v>911</v>
      </c>
      <c r="O115" s="27" t="s">
        <v>431</v>
      </c>
      <c r="P115" s="27" t="s">
        <v>358</v>
      </c>
      <c r="Q115" s="27" t="s">
        <v>419</v>
      </c>
      <c r="R115" s="30" t="s">
        <v>361</v>
      </c>
      <c r="V115" s="97"/>
    </row>
    <row r="116" spans="1:22" ht="18" customHeight="1">
      <c r="A116" s="196"/>
      <c r="C116" s="30" t="s">
        <v>484</v>
      </c>
      <c r="D116" s="27" t="s">
        <v>540</v>
      </c>
      <c r="E116" s="861">
        <f>T112</f>
        <v>0.6</v>
      </c>
      <c r="F116" s="861"/>
      <c r="G116" s="27" t="s">
        <v>326</v>
      </c>
      <c r="H116" s="1113">
        <f>T113</f>
        <v>8.8347617643252185</v>
      </c>
      <c r="I116" s="861"/>
      <c r="J116" s="28" t="s">
        <v>683</v>
      </c>
      <c r="K116" s="27">
        <v>1</v>
      </c>
      <c r="L116" s="14" t="s">
        <v>358</v>
      </c>
      <c r="M116" s="28">
        <f>T65</f>
        <v>50</v>
      </c>
      <c r="N116" s="14" t="s">
        <v>911</v>
      </c>
      <c r="O116" s="27">
        <f>T62</f>
        <v>5</v>
      </c>
      <c r="P116" s="27" t="s">
        <v>358</v>
      </c>
      <c r="Q116" s="223">
        <f>T63</f>
        <v>1.46186744</v>
      </c>
      <c r="R116" s="30" t="s">
        <v>361</v>
      </c>
      <c r="V116" s="97"/>
    </row>
    <row r="117" spans="1:22" ht="18" customHeight="1">
      <c r="A117" s="196"/>
      <c r="C117" s="30" t="s">
        <v>484</v>
      </c>
      <c r="D117" s="27" t="s">
        <v>540</v>
      </c>
      <c r="E117" s="1168">
        <f>E116*H116*((K116+M116)*(O116+Q116))</f>
        <v>1746.9252171825324</v>
      </c>
      <c r="F117" s="1169"/>
      <c r="G117" s="14" t="s">
        <v>907</v>
      </c>
      <c r="V117" s="97"/>
    </row>
    <row r="118" spans="1:22" ht="18" customHeight="1">
      <c r="A118" s="96"/>
      <c r="B118" s="472" t="s">
        <v>914</v>
      </c>
      <c r="C118" s="28"/>
      <c r="D118" s="28"/>
      <c r="E118" s="14"/>
      <c r="F118" s="14"/>
      <c r="G118" s="120"/>
      <c r="H118" s="120"/>
      <c r="I118" s="47"/>
      <c r="J118" s="568"/>
      <c r="K118" s="14"/>
      <c r="L118" s="14"/>
      <c r="M118" s="912">
        <f>MAX(F90,H108,E117)</f>
        <v>1746.9252171825324</v>
      </c>
      <c r="N118" s="913"/>
      <c r="O118" s="14" t="s">
        <v>907</v>
      </c>
      <c r="P118" s="14"/>
      <c r="Q118" s="14"/>
      <c r="R118" s="14"/>
      <c r="S118" s="14"/>
      <c r="T118" s="14"/>
      <c r="U118" s="14"/>
      <c r="V118" s="97"/>
    </row>
    <row r="119" spans="1:22" ht="18" customHeight="1">
      <c r="A119" s="205"/>
      <c r="I119" s="14"/>
      <c r="J119" s="14"/>
      <c r="K119" s="14"/>
      <c r="L119" s="47"/>
      <c r="M119" s="47"/>
      <c r="N119" s="47"/>
      <c r="O119" s="47"/>
      <c r="P119" s="28"/>
      <c r="Q119" s="569"/>
      <c r="R119" s="47"/>
      <c r="S119" s="14"/>
      <c r="T119" s="14"/>
      <c r="U119" s="14"/>
      <c r="V119" s="97"/>
    </row>
    <row r="120" spans="1:22" ht="18" customHeight="1">
      <c r="A120" s="196"/>
      <c r="C120" s="30" t="s">
        <v>486</v>
      </c>
      <c r="F120" s="27" t="str">
        <f>IF(D121&gt;G121,"&gt;","&lt;")</f>
        <v>&gt;</v>
      </c>
      <c r="G120" s="30" t="s">
        <v>488</v>
      </c>
      <c r="L120" s="14"/>
      <c r="M120" s="14"/>
      <c r="N120" s="14"/>
      <c r="O120" s="14"/>
      <c r="P120" s="14"/>
      <c r="Q120" s="14"/>
      <c r="R120" s="14"/>
      <c r="S120" s="14"/>
      <c r="T120" s="14"/>
      <c r="U120" s="14"/>
      <c r="V120" s="97"/>
    </row>
    <row r="121" spans="1:22" ht="18" customHeight="1">
      <c r="A121" s="196"/>
      <c r="D121" s="639">
        <f>H13</f>
        <v>3750</v>
      </c>
      <c r="E121" s="639"/>
      <c r="F121" s="27" t="str">
        <f>F120</f>
        <v>&gt;</v>
      </c>
      <c r="G121" s="873">
        <f>M118</f>
        <v>1746.9252171825324</v>
      </c>
      <c r="H121" s="873"/>
      <c r="L121" s="14"/>
      <c r="M121" s="14"/>
      <c r="N121" s="28"/>
      <c r="O121" s="28"/>
      <c r="P121" s="28"/>
      <c r="Q121" s="120"/>
      <c r="R121" s="262"/>
      <c r="S121" s="198"/>
      <c r="T121" s="14"/>
      <c r="U121" s="14"/>
      <c r="V121" s="97"/>
    </row>
    <row r="122" spans="1:22" ht="18" customHeight="1">
      <c r="A122" s="196"/>
      <c r="E122" s="256" t="s">
        <v>489</v>
      </c>
      <c r="G122" s="18" t="str">
        <f>IF(F120="&gt;","Suitably Dimensioned","Under Dimensioned")</f>
        <v>Suitably Dimensioned</v>
      </c>
      <c r="L122" s="14"/>
      <c r="M122" s="14"/>
      <c r="N122" s="28"/>
      <c r="O122" s="269"/>
      <c r="P122" s="14"/>
      <c r="Q122" s="14"/>
      <c r="R122" s="120"/>
      <c r="S122" s="28"/>
      <c r="T122" s="47"/>
      <c r="U122" s="14"/>
      <c r="V122" s="97"/>
    </row>
    <row r="123" spans="1:22" ht="18" customHeight="1">
      <c r="A123" s="205"/>
      <c r="B123" s="14"/>
      <c r="C123" s="27"/>
      <c r="D123" s="230"/>
      <c r="E123" s="216"/>
      <c r="F123" s="14"/>
      <c r="G123" s="14"/>
      <c r="H123" s="14"/>
      <c r="I123" s="14"/>
      <c r="J123" s="120"/>
      <c r="K123" s="120"/>
      <c r="L123" s="14"/>
      <c r="M123" s="14"/>
      <c r="N123" s="28"/>
      <c r="O123" s="269"/>
      <c r="P123" s="14"/>
      <c r="Q123" s="14"/>
      <c r="R123" s="120"/>
      <c r="S123" s="28"/>
      <c r="T123" s="47"/>
      <c r="U123" s="14"/>
      <c r="V123" s="97"/>
    </row>
    <row r="124" spans="1:22" ht="18" customHeight="1">
      <c r="A124" s="524"/>
      <c r="B124" s="207"/>
      <c r="C124" s="319"/>
      <c r="D124" s="526"/>
      <c r="E124" s="542"/>
      <c r="F124" s="207"/>
      <c r="G124" s="207"/>
      <c r="H124" s="207"/>
      <c r="I124" s="207"/>
      <c r="J124" s="236"/>
      <c r="K124" s="236"/>
      <c r="L124" s="207"/>
      <c r="M124" s="207"/>
      <c r="N124" s="194"/>
      <c r="O124" s="597"/>
      <c r="P124" s="207"/>
      <c r="Q124" s="207"/>
      <c r="R124" s="236"/>
      <c r="S124" s="194"/>
      <c r="T124" s="2"/>
      <c r="U124" s="207"/>
      <c r="V124" s="586"/>
    </row>
    <row r="125" spans="1:22" ht="18" hidden="1" customHeight="1">
      <c r="A125" s="274"/>
      <c r="B125" s="271"/>
      <c r="C125" s="271"/>
      <c r="D125" s="271"/>
      <c r="E125" s="271"/>
      <c r="F125" s="271"/>
      <c r="G125" s="271"/>
      <c r="H125" s="271"/>
      <c r="I125" s="271"/>
      <c r="J125" s="271"/>
      <c r="K125" s="271"/>
      <c r="L125" s="271"/>
      <c r="M125" s="271"/>
      <c r="N125" s="271"/>
      <c r="O125" s="271"/>
      <c r="P125" s="271"/>
      <c r="Q125" s="594"/>
      <c r="R125" s="241"/>
      <c r="S125" s="595"/>
      <c r="T125" s="271"/>
      <c r="U125" s="271"/>
      <c r="V125" s="596"/>
    </row>
    <row r="126" spans="1:22" ht="18" hidden="1" customHeight="1">
      <c r="A126" s="238"/>
      <c r="B126" s="239"/>
      <c r="C126" s="239"/>
      <c r="D126" s="239"/>
      <c r="E126" s="239"/>
      <c r="F126" s="239"/>
      <c r="G126" s="239"/>
      <c r="H126" s="239"/>
      <c r="I126" s="239"/>
      <c r="J126" s="239"/>
      <c r="K126" s="239"/>
      <c r="L126" s="239"/>
      <c r="M126" s="239"/>
      <c r="N126" s="239"/>
      <c r="O126" s="239"/>
      <c r="P126" s="239"/>
      <c r="Q126" s="239"/>
      <c r="R126" s="239"/>
      <c r="S126" s="239"/>
      <c r="T126" s="239"/>
      <c r="U126" s="239"/>
      <c r="V126" s="240"/>
    </row>
    <row r="127" spans="1:22" ht="18" hidden="1" customHeight="1">
      <c r="A127" s="196"/>
      <c r="B127" s="650" t="str">
        <f>B7</f>
        <v>T1</v>
      </c>
      <c r="C127" s="651"/>
      <c r="D127" s="1184" t="str">
        <f>D7</f>
        <v>Core2</v>
      </c>
      <c r="E127" s="1185"/>
      <c r="F127" s="1182">
        <f>F7</f>
        <v>0</v>
      </c>
      <c r="G127" s="1182"/>
      <c r="H127" s="638">
        <f>H7</f>
        <v>0</v>
      </c>
      <c r="I127" s="638"/>
      <c r="J127" s="638"/>
      <c r="K127" s="638"/>
      <c r="L127" s="638"/>
      <c r="M127" s="638"/>
      <c r="P127" s="198"/>
      <c r="S127" s="199" t="s">
        <v>398</v>
      </c>
      <c r="T127" s="650" t="str">
        <f>T7</f>
        <v>P545</v>
      </c>
      <c r="U127" s="651"/>
      <c r="V127" s="197"/>
    </row>
    <row r="128" spans="1:22" ht="18" hidden="1" customHeight="1">
      <c r="A128" s="196"/>
      <c r="B128" s="660">
        <f>B8</f>
        <v>0</v>
      </c>
      <c r="C128" s="660"/>
      <c r="D128" s="1184">
        <f>D8</f>
        <v>0</v>
      </c>
      <c r="E128" s="1185"/>
      <c r="F128" s="468"/>
      <c r="T128" s="650">
        <f>T8</f>
        <v>0</v>
      </c>
      <c r="U128" s="651"/>
      <c r="V128" s="197"/>
    </row>
    <row r="129" spans="1:29" ht="18" hidden="1" customHeight="1">
      <c r="A129" s="196"/>
      <c r="H129" s="661" t="s">
        <v>401</v>
      </c>
      <c r="I129" s="661"/>
      <c r="J129" s="662" t="s">
        <v>402</v>
      </c>
      <c r="K129" s="662"/>
      <c r="L129" s="701" t="s">
        <v>403</v>
      </c>
      <c r="M129" s="701"/>
      <c r="T129" s="650">
        <f>T9</f>
        <v>0</v>
      </c>
      <c r="U129" s="651"/>
      <c r="V129" s="197"/>
    </row>
    <row r="130" spans="1:29" ht="18" hidden="1" customHeight="1">
      <c r="A130" s="196"/>
      <c r="B130" s="47" t="s">
        <v>404</v>
      </c>
      <c r="H130" s="650">
        <f>H10</f>
        <v>2500</v>
      </c>
      <c r="I130" s="651"/>
      <c r="J130" s="652" t="str">
        <f>J10</f>
        <v>-</v>
      </c>
      <c r="K130" s="653"/>
      <c r="L130" s="650" t="str">
        <f>L10</f>
        <v>-</v>
      </c>
      <c r="M130" s="651"/>
      <c r="N130" s="203" t="s">
        <v>353</v>
      </c>
      <c r="O130" s="268">
        <f>O10</f>
        <v>1</v>
      </c>
      <c r="P130" s="27" t="s">
        <v>9</v>
      </c>
      <c r="V130" s="197"/>
    </row>
    <row r="131" spans="1:29" ht="18" hidden="1" customHeight="1">
      <c r="A131" s="196"/>
      <c r="B131" s="47" t="s">
        <v>405</v>
      </c>
      <c r="J131" s="650" t="str">
        <f>H11</f>
        <v>PX-A</v>
      </c>
      <c r="K131" s="651"/>
      <c r="V131" s="197"/>
    </row>
    <row r="132" spans="1:29" ht="18" hidden="1" customHeight="1">
      <c r="A132" s="196"/>
      <c r="B132" s="47" t="s">
        <v>407</v>
      </c>
      <c r="I132" s="120" t="s">
        <v>508</v>
      </c>
      <c r="J132" s="940">
        <v>10</v>
      </c>
      <c r="K132" s="941"/>
      <c r="L132" s="204" t="s">
        <v>344</v>
      </c>
      <c r="V132" s="197"/>
    </row>
    <row r="133" spans="1:29" ht="18" hidden="1" customHeight="1">
      <c r="A133" s="196"/>
      <c r="B133" s="47" t="s">
        <v>409</v>
      </c>
      <c r="I133" s="120" t="s">
        <v>509</v>
      </c>
      <c r="J133" s="940">
        <v>3000</v>
      </c>
      <c r="K133" s="941"/>
      <c r="L133" s="14" t="s">
        <v>316</v>
      </c>
      <c r="V133" s="197"/>
      <c r="W133" s="30" t="s">
        <v>411</v>
      </c>
      <c r="AB133" s="996" t="e">
        <f>M237</f>
        <v>#VALUE!</v>
      </c>
      <c r="AC133" s="997"/>
    </row>
    <row r="134" spans="1:29" ht="18" hidden="1" customHeight="1">
      <c r="A134" s="196"/>
      <c r="B134" s="14" t="s">
        <v>412</v>
      </c>
      <c r="I134" s="120" t="s">
        <v>413</v>
      </c>
      <c r="J134" s="940">
        <v>30</v>
      </c>
      <c r="K134" s="941"/>
      <c r="L134" s="14" t="s">
        <v>414</v>
      </c>
      <c r="V134" s="197"/>
    </row>
    <row r="135" spans="1:29" ht="18" hidden="1" customHeight="1">
      <c r="A135" s="196"/>
      <c r="V135" s="197"/>
    </row>
    <row r="136" spans="1:29" ht="18" hidden="1" customHeight="1">
      <c r="A136" s="205" t="s">
        <v>415</v>
      </c>
      <c r="V136" s="197"/>
    </row>
    <row r="137" spans="1:29" ht="18" hidden="1" customHeight="1">
      <c r="A137" s="196"/>
      <c r="V137" s="197"/>
    </row>
    <row r="138" spans="1:29" ht="18" hidden="1" customHeight="1">
      <c r="A138" s="196"/>
      <c r="B138" s="206" t="s">
        <v>416</v>
      </c>
      <c r="C138" s="207"/>
      <c r="D138" s="207" t="str">
        <f>T127</f>
        <v>P545</v>
      </c>
      <c r="E138" s="208"/>
      <c r="F138" s="208"/>
      <c r="G138" s="208"/>
      <c r="H138" s="194" t="s">
        <v>417</v>
      </c>
      <c r="I138" s="195" t="s">
        <v>138</v>
      </c>
      <c r="J138" s="897">
        <f>J18</f>
        <v>0.02</v>
      </c>
      <c r="K138" s="649"/>
      <c r="L138" s="214" t="s">
        <v>168</v>
      </c>
      <c r="V138" s="197"/>
    </row>
    <row r="139" spans="1:29" ht="18" hidden="1" customHeight="1">
      <c r="A139" s="196"/>
      <c r="B139" s="196" t="s">
        <v>416</v>
      </c>
      <c r="D139" s="308">
        <f>T128</f>
        <v>0</v>
      </c>
      <c r="I139" s="28" t="s">
        <v>138</v>
      </c>
      <c r="J139" s="897">
        <f>J19</f>
        <v>0</v>
      </c>
      <c r="K139" s="797"/>
      <c r="L139" s="309" t="s">
        <v>168</v>
      </c>
      <c r="V139" s="197"/>
    </row>
    <row r="140" spans="1:29" ht="18" hidden="1" customHeight="1">
      <c r="A140" s="196"/>
      <c r="B140" s="196" t="s">
        <v>416</v>
      </c>
      <c r="D140" s="308">
        <f>T129</f>
        <v>0</v>
      </c>
      <c r="E140" s="14"/>
      <c r="G140" s="211"/>
      <c r="H140" s="27"/>
      <c r="I140" s="101" t="s">
        <v>138</v>
      </c>
      <c r="J140" s="644">
        <f>J20</f>
        <v>0</v>
      </c>
      <c r="K140" s="800"/>
      <c r="L140" s="439" t="s">
        <v>168</v>
      </c>
      <c r="V140" s="197"/>
    </row>
    <row r="141" spans="1:29" ht="18" hidden="1" customHeight="1">
      <c r="A141" s="196"/>
      <c r="B141" s="196" t="s">
        <v>423</v>
      </c>
      <c r="H141" s="27"/>
      <c r="I141" s="189" t="s">
        <v>138</v>
      </c>
      <c r="J141" s="1042">
        <f>J21</f>
        <v>1.44186744</v>
      </c>
      <c r="K141" s="1186"/>
      <c r="L141" s="439" t="s">
        <v>168</v>
      </c>
      <c r="V141" s="197"/>
    </row>
    <row r="142" spans="1:29" ht="18" hidden="1" customHeight="1">
      <c r="A142" s="196"/>
      <c r="B142" s="217" t="s">
        <v>424</v>
      </c>
      <c r="C142" s="218"/>
      <c r="D142" s="218"/>
      <c r="E142" s="218"/>
      <c r="F142" s="219"/>
      <c r="G142" s="219"/>
      <c r="H142" s="202" t="s">
        <v>420</v>
      </c>
      <c r="I142" s="220" t="s">
        <v>138</v>
      </c>
      <c r="J142" s="897">
        <f>SUM(J139:K141)</f>
        <v>1.44186744</v>
      </c>
      <c r="K142" s="797"/>
      <c r="L142" s="441" t="s">
        <v>168</v>
      </c>
      <c r="V142" s="197"/>
    </row>
    <row r="143" spans="1:29" ht="18" hidden="1" customHeight="1">
      <c r="A143" s="196"/>
      <c r="B143" s="47"/>
      <c r="C143" s="47"/>
      <c r="D143" s="47"/>
      <c r="E143" s="47"/>
      <c r="H143" s="27"/>
      <c r="I143" s="28"/>
      <c r="J143" s="211"/>
      <c r="L143" s="47"/>
      <c r="O143" s="27"/>
      <c r="P143" s="223"/>
      <c r="Q143" s="223"/>
      <c r="R143" s="204"/>
      <c r="V143" s="197"/>
    </row>
    <row r="144" spans="1:29" ht="18" hidden="1" customHeight="1">
      <c r="A144" s="196"/>
      <c r="B144" s="209" t="s">
        <v>659</v>
      </c>
      <c r="L144" s="47"/>
      <c r="M144" s="209" t="s">
        <v>418</v>
      </c>
      <c r="V144" s="197"/>
    </row>
    <row r="145" spans="1:22" ht="18" hidden="1" customHeight="1">
      <c r="A145" s="196"/>
      <c r="B145" s="257" t="s">
        <v>660</v>
      </c>
      <c r="C145" s="257" t="s">
        <v>138</v>
      </c>
      <c r="D145" s="254" t="s">
        <v>417</v>
      </c>
      <c r="E145" s="559" t="s">
        <v>421</v>
      </c>
      <c r="F145" s="257" t="s">
        <v>157</v>
      </c>
      <c r="G145" s="233" t="s">
        <v>326</v>
      </c>
      <c r="H145" s="234" t="s">
        <v>157</v>
      </c>
      <c r="I145" s="254" t="s">
        <v>361</v>
      </c>
      <c r="J145" s="516"/>
      <c r="K145" s="254"/>
      <c r="L145" s="560"/>
      <c r="M145" s="254" t="s">
        <v>419</v>
      </c>
      <c r="N145" s="257" t="s">
        <v>138</v>
      </c>
      <c r="O145" s="254" t="s">
        <v>420</v>
      </c>
      <c r="P145" s="561" t="s">
        <v>421</v>
      </c>
      <c r="Q145" s="556" t="s">
        <v>422</v>
      </c>
      <c r="R145" s="257" t="s">
        <v>326</v>
      </c>
      <c r="S145" s="254" t="s">
        <v>422</v>
      </c>
      <c r="T145" s="254" t="s">
        <v>361</v>
      </c>
      <c r="V145" s="197"/>
    </row>
    <row r="146" spans="1:22" ht="18" hidden="1" customHeight="1">
      <c r="A146" s="196"/>
      <c r="B146" s="560"/>
      <c r="C146" s="257" t="s">
        <v>138</v>
      </c>
      <c r="D146" s="313">
        <f>J138</f>
        <v>0.02</v>
      </c>
      <c r="E146" s="561" t="s">
        <v>421</v>
      </c>
      <c r="F146" s="257">
        <f>F26</f>
        <v>1</v>
      </c>
      <c r="G146" s="257" t="s">
        <v>326</v>
      </c>
      <c r="H146" s="257">
        <f>H26</f>
        <v>1</v>
      </c>
      <c r="I146" s="254" t="s">
        <v>361</v>
      </c>
      <c r="J146" s="516"/>
      <c r="K146" s="254"/>
      <c r="L146" s="560"/>
      <c r="M146" s="254"/>
      <c r="N146" s="257" t="s">
        <v>138</v>
      </c>
      <c r="O146" s="313">
        <f>J142</f>
        <v>1.44186744</v>
      </c>
      <c r="P146" s="561" t="s">
        <v>421</v>
      </c>
      <c r="Q146" s="257">
        <f>O130</f>
        <v>1</v>
      </c>
      <c r="R146" s="257" t="s">
        <v>326</v>
      </c>
      <c r="S146" s="257">
        <f>O130</f>
        <v>1</v>
      </c>
      <c r="T146" s="254" t="s">
        <v>361</v>
      </c>
      <c r="V146" s="197"/>
    </row>
    <row r="147" spans="1:22" ht="18" hidden="1" customHeight="1">
      <c r="A147" s="196"/>
      <c r="B147" s="560"/>
      <c r="C147" s="257" t="s">
        <v>138</v>
      </c>
      <c r="D147" s="640">
        <f>D146/(F146*H146)</f>
        <v>0.02</v>
      </c>
      <c r="E147" s="640"/>
      <c r="F147" s="562" t="s">
        <v>344</v>
      </c>
      <c r="G147" s="254"/>
      <c r="H147" s="254"/>
      <c r="I147" s="254"/>
      <c r="J147" s="516"/>
      <c r="K147" s="254"/>
      <c r="L147" s="560"/>
      <c r="M147" s="254"/>
      <c r="N147" s="257" t="s">
        <v>138</v>
      </c>
      <c r="O147" s="640">
        <f>O146/(Q146*S146)</f>
        <v>1.44186744</v>
      </c>
      <c r="P147" s="640"/>
      <c r="Q147" s="562" t="s">
        <v>344</v>
      </c>
      <c r="R147" s="254"/>
      <c r="S147" s="254"/>
      <c r="T147" s="254"/>
      <c r="V147" s="197"/>
    </row>
    <row r="148" spans="1:22" ht="18" hidden="1" customHeight="1">
      <c r="A148" s="196"/>
      <c r="B148" s="47" t="s">
        <v>874</v>
      </c>
      <c r="C148" s="47"/>
      <c r="D148" s="47"/>
      <c r="E148" s="47"/>
      <c r="H148" s="27"/>
      <c r="I148" s="28"/>
      <c r="J148" s="211"/>
      <c r="L148" s="28" t="s">
        <v>138</v>
      </c>
      <c r="M148" s="640">
        <f>D147</f>
        <v>0.02</v>
      </c>
      <c r="N148" s="640"/>
      <c r="O148" s="257" t="s">
        <v>358</v>
      </c>
      <c r="P148" s="640">
        <f>O147</f>
        <v>1.44186744</v>
      </c>
      <c r="Q148" s="640"/>
      <c r="R148" s="555" t="s">
        <v>138</v>
      </c>
      <c r="S148" s="640">
        <f>M148+P148</f>
        <v>1.46186744</v>
      </c>
      <c r="T148" s="640"/>
      <c r="U148" s="204" t="s">
        <v>344</v>
      </c>
      <c r="V148" s="197"/>
    </row>
    <row r="149" spans="1:22" ht="18" hidden="1" customHeight="1">
      <c r="A149" s="284"/>
      <c r="V149" s="197"/>
    </row>
    <row r="150" spans="1:22" ht="18" hidden="1" customHeight="1">
      <c r="A150" s="116" t="s">
        <v>425</v>
      </c>
      <c r="B150" s="47"/>
      <c r="D150" s="47"/>
      <c r="E150" s="47"/>
      <c r="H150" s="27"/>
      <c r="I150" s="28"/>
      <c r="J150" s="211"/>
      <c r="L150" s="47"/>
      <c r="M150" s="313"/>
      <c r="N150" s="257"/>
      <c r="O150" s="555"/>
      <c r="P150" s="555"/>
      <c r="Q150" s="555"/>
      <c r="R150" s="204"/>
      <c r="V150" s="197"/>
    </row>
    <row r="151" spans="1:22" ht="18" hidden="1" customHeight="1">
      <c r="A151" s="284" t="s">
        <v>875</v>
      </c>
      <c r="V151" s="197"/>
    </row>
    <row r="152" spans="1:22" s="291" customFormat="1" ht="18" hidden="1" customHeight="1">
      <c r="A152" s="196"/>
      <c r="B152" s="30" t="s">
        <v>484</v>
      </c>
      <c r="C152" s="27" t="s">
        <v>540</v>
      </c>
      <c r="D152" s="27" t="s">
        <v>876</v>
      </c>
      <c r="E152" s="27" t="s">
        <v>326</v>
      </c>
      <c r="F152" s="27" t="s">
        <v>522</v>
      </c>
      <c r="G152" s="27" t="s">
        <v>383</v>
      </c>
      <c r="H152" s="27" t="s">
        <v>431</v>
      </c>
      <c r="I152" s="27" t="s">
        <v>358</v>
      </c>
      <c r="J152" s="27" t="s">
        <v>877</v>
      </c>
      <c r="K152" s="30" t="s">
        <v>361</v>
      </c>
      <c r="L152" s="30"/>
      <c r="M152" s="30"/>
      <c r="N152" s="30"/>
      <c r="O152" s="30"/>
      <c r="P152" s="30"/>
      <c r="Q152" s="30"/>
      <c r="R152" s="30"/>
      <c r="S152" s="30"/>
      <c r="T152" s="30"/>
      <c r="U152" s="30" t="s">
        <v>878</v>
      </c>
      <c r="V152" s="197"/>
    </row>
    <row r="153" spans="1:22" s="291" customFormat="1" ht="18" hidden="1" customHeight="1">
      <c r="A153" s="196"/>
      <c r="B153" s="30"/>
      <c r="C153" s="30"/>
      <c r="D153" s="30"/>
      <c r="E153" s="30"/>
      <c r="F153" s="30"/>
      <c r="G153" s="30"/>
      <c r="H153" s="30"/>
      <c r="I153" s="30"/>
      <c r="J153" s="30"/>
      <c r="K153" s="30"/>
      <c r="L153" s="30"/>
      <c r="M153" s="30"/>
      <c r="N153" s="30"/>
      <c r="O153" s="30"/>
      <c r="P153" s="30"/>
      <c r="Q153" s="30"/>
      <c r="R153" s="30"/>
      <c r="S153" s="30"/>
      <c r="T153" s="30"/>
      <c r="U153" s="30"/>
      <c r="V153" s="197"/>
    </row>
    <row r="154" spans="1:22" s="291" customFormat="1" ht="18" hidden="1" customHeight="1">
      <c r="A154" s="1002" t="s">
        <v>879</v>
      </c>
      <c r="B154" s="965"/>
      <c r="C154" s="965"/>
      <c r="D154" s="965"/>
      <c r="E154" s="965"/>
      <c r="F154" s="965"/>
      <c r="G154" s="965"/>
      <c r="H154" s="965"/>
      <c r="I154" s="965"/>
      <c r="J154" s="965"/>
      <c r="K154" s="965"/>
      <c r="L154" s="965"/>
      <c r="M154" s="965"/>
      <c r="N154" s="965"/>
      <c r="O154" s="965"/>
      <c r="P154" s="965"/>
      <c r="Q154" s="965"/>
      <c r="R154" s="965"/>
      <c r="S154" s="965"/>
      <c r="T154" s="965"/>
      <c r="U154" s="965"/>
      <c r="V154" s="966"/>
    </row>
    <row r="155" spans="1:22" s="291" customFormat="1" ht="18" hidden="1" customHeight="1">
      <c r="A155" s="967"/>
      <c r="B155" s="965"/>
      <c r="C155" s="965"/>
      <c r="D155" s="965"/>
      <c r="E155" s="965"/>
      <c r="F155" s="965"/>
      <c r="G155" s="965"/>
      <c r="H155" s="965"/>
      <c r="I155" s="965"/>
      <c r="J155" s="965"/>
      <c r="K155" s="965"/>
      <c r="L155" s="965"/>
      <c r="M155" s="965"/>
      <c r="N155" s="965"/>
      <c r="O155" s="965"/>
      <c r="P155" s="965"/>
      <c r="Q155" s="965"/>
      <c r="R155" s="965"/>
      <c r="S155" s="965"/>
      <c r="T155" s="965"/>
      <c r="U155" s="965"/>
      <c r="V155" s="966"/>
    </row>
    <row r="156" spans="1:22" s="291" customFormat="1" ht="18" hidden="1" customHeight="1">
      <c r="A156" s="925">
        <v>1</v>
      </c>
      <c r="B156" s="1176" t="s">
        <v>880</v>
      </c>
      <c r="C156" s="1176"/>
      <c r="D156" s="1176"/>
      <c r="E156" s="1176"/>
      <c r="F156" s="1176"/>
      <c r="G156" s="1176"/>
      <c r="H156" s="1176"/>
      <c r="I156" s="1176"/>
      <c r="J156" s="1176"/>
      <c r="K156" s="1176"/>
      <c r="L156" s="1176"/>
      <c r="M156" s="1176"/>
      <c r="N156" s="1176"/>
      <c r="O156" s="1176"/>
      <c r="P156" s="1176"/>
      <c r="Q156" s="1176"/>
      <c r="R156" s="1176"/>
      <c r="S156" s="1176"/>
      <c r="T156" s="1176"/>
      <c r="U156" s="1176"/>
      <c r="V156" s="1177"/>
    </row>
    <row r="157" spans="1:22" s="291" customFormat="1" ht="18" hidden="1" customHeight="1">
      <c r="A157" s="925"/>
      <c r="B157" s="1176"/>
      <c r="C157" s="1176"/>
      <c r="D157" s="1176"/>
      <c r="E157" s="1176"/>
      <c r="F157" s="1176"/>
      <c r="G157" s="1176"/>
      <c r="H157" s="1176"/>
      <c r="I157" s="1176"/>
      <c r="J157" s="1176"/>
      <c r="K157" s="1176"/>
      <c r="L157" s="1176"/>
      <c r="M157" s="1176"/>
      <c r="N157" s="1176"/>
      <c r="O157" s="1176"/>
      <c r="P157" s="1176"/>
      <c r="Q157" s="1176"/>
      <c r="R157" s="1176"/>
      <c r="S157" s="1176"/>
      <c r="T157" s="1176"/>
      <c r="U157" s="1176"/>
      <c r="V157" s="1177"/>
    </row>
    <row r="158" spans="1:22" s="291" customFormat="1" ht="18" hidden="1" customHeight="1">
      <c r="A158" s="96"/>
      <c r="B158" s="120" t="s">
        <v>881</v>
      </c>
      <c r="C158" s="120" t="s">
        <v>430</v>
      </c>
      <c r="D158" s="638" t="s">
        <v>882</v>
      </c>
      <c r="E158" s="985"/>
      <c r="F158" s="28" t="s">
        <v>326</v>
      </c>
      <c r="G158" s="28" t="s">
        <v>352</v>
      </c>
      <c r="H158" s="47" t="s">
        <v>361</v>
      </c>
      <c r="I158" s="166" t="s">
        <v>710</v>
      </c>
      <c r="J158" s="120" t="s">
        <v>430</v>
      </c>
      <c r="K158" s="233">
        <v>1000</v>
      </c>
      <c r="L158" s="28" t="s">
        <v>326</v>
      </c>
      <c r="M158" s="28" t="s">
        <v>522</v>
      </c>
      <c r="N158" s="47" t="s">
        <v>361</v>
      </c>
      <c r="O158" s="28"/>
      <c r="P158" s="28"/>
      <c r="Q158" s="28"/>
      <c r="R158" s="28"/>
      <c r="S158" s="28"/>
      <c r="U158" s="14" t="s">
        <v>883</v>
      </c>
      <c r="V158" s="97"/>
    </row>
    <row r="159" spans="1:22" s="291" customFormat="1" ht="18" hidden="1" customHeight="1">
      <c r="A159" s="311"/>
      <c r="C159" s="14" t="s">
        <v>884</v>
      </c>
      <c r="M159" s="28"/>
      <c r="N159" s="28"/>
      <c r="O159" s="28"/>
      <c r="P159" s="28"/>
      <c r="Q159" s="28"/>
      <c r="R159" s="28"/>
      <c r="S159" s="28"/>
      <c r="T159" s="14"/>
      <c r="U159" s="28"/>
      <c r="V159" s="97"/>
    </row>
    <row r="160" spans="1:22" s="291" customFormat="1" ht="18" hidden="1" customHeight="1">
      <c r="A160" s="311"/>
      <c r="C160" s="14"/>
      <c r="D160" s="28" t="s">
        <v>876</v>
      </c>
      <c r="E160" s="28" t="s">
        <v>540</v>
      </c>
      <c r="F160" s="28">
        <v>40</v>
      </c>
      <c r="G160" s="28" t="s">
        <v>358</v>
      </c>
      <c r="H160" s="233">
        <v>7.0000000000000007E-2</v>
      </c>
      <c r="I160" s="28" t="s">
        <v>683</v>
      </c>
      <c r="J160" s="638" t="s">
        <v>882</v>
      </c>
      <c r="K160" s="985"/>
      <c r="L160" s="28" t="s">
        <v>326</v>
      </c>
      <c r="M160" s="28" t="s">
        <v>352</v>
      </c>
      <c r="N160" s="47" t="s">
        <v>361</v>
      </c>
      <c r="O160" s="28"/>
      <c r="P160" s="28"/>
      <c r="Q160" s="28"/>
      <c r="R160" s="28"/>
      <c r="S160" s="28"/>
      <c r="T160" s="14"/>
      <c r="U160" s="28"/>
      <c r="V160" s="97"/>
    </row>
    <row r="161" spans="1:22" s="291" customFormat="1" ht="18" hidden="1" customHeight="1">
      <c r="A161" s="337"/>
      <c r="B161" s="28"/>
      <c r="C161" s="28" t="s">
        <v>885</v>
      </c>
      <c r="D161" s="28" t="s">
        <v>876</v>
      </c>
      <c r="E161" s="28" t="s">
        <v>540</v>
      </c>
      <c r="F161" s="28">
        <v>65</v>
      </c>
      <c r="G161" s="14"/>
      <c r="H161" s="14"/>
      <c r="I161" s="120"/>
      <c r="J161" s="28"/>
      <c r="K161" s="28"/>
      <c r="L161" s="28"/>
      <c r="M161" s="28"/>
      <c r="N161" s="28"/>
      <c r="O161" s="28"/>
      <c r="P161" s="28"/>
      <c r="Q161" s="28"/>
      <c r="R161" s="28"/>
      <c r="S161" s="28"/>
      <c r="T161" s="14"/>
      <c r="U161" s="28"/>
      <c r="V161" s="97"/>
    </row>
    <row r="162" spans="1:22" s="291" customFormat="1" ht="18" hidden="1" customHeight="1">
      <c r="A162" s="96"/>
      <c r="B162" s="28"/>
      <c r="C162" s="28"/>
      <c r="D162" s="14"/>
      <c r="E162" s="14"/>
      <c r="F162" s="14"/>
      <c r="G162" s="120"/>
      <c r="H162" s="28"/>
      <c r="I162" s="28"/>
      <c r="J162" s="28"/>
      <c r="K162" s="28"/>
      <c r="L162" s="28"/>
      <c r="M162" s="28"/>
      <c r="N162" s="28"/>
      <c r="O162" s="28"/>
      <c r="P162" s="28"/>
      <c r="Q162" s="28"/>
      <c r="R162" s="28"/>
      <c r="S162" s="28"/>
      <c r="T162" s="14"/>
      <c r="U162" s="28"/>
      <c r="V162" s="97"/>
    </row>
    <row r="163" spans="1:22" ht="18" hidden="1" customHeight="1">
      <c r="A163" s="337"/>
      <c r="B163" s="120" t="s">
        <v>881</v>
      </c>
      <c r="C163" s="120" t="s">
        <v>430</v>
      </c>
      <c r="D163" s="233">
        <v>1000</v>
      </c>
      <c r="E163" s="28" t="s">
        <v>326</v>
      </c>
      <c r="F163" s="28" t="s">
        <v>522</v>
      </c>
      <c r="G163" s="47" t="s">
        <v>361</v>
      </c>
      <c r="H163" s="28" t="s">
        <v>886</v>
      </c>
      <c r="I163" s="120" t="s">
        <v>430</v>
      </c>
      <c r="J163" s="638" t="s">
        <v>882</v>
      </c>
      <c r="K163" s="985"/>
      <c r="L163" s="28" t="s">
        <v>326</v>
      </c>
      <c r="M163" s="28" t="s">
        <v>352</v>
      </c>
      <c r="N163" s="47" t="s">
        <v>361</v>
      </c>
      <c r="O163" s="166" t="s">
        <v>710</v>
      </c>
      <c r="P163" s="120" t="s">
        <v>430</v>
      </c>
      <c r="Q163" s="233">
        <v>2600</v>
      </c>
      <c r="R163" s="28" t="s">
        <v>326</v>
      </c>
      <c r="S163" s="28" t="s">
        <v>522</v>
      </c>
      <c r="T163" s="47" t="s">
        <v>361</v>
      </c>
      <c r="U163" s="14" t="s">
        <v>598</v>
      </c>
      <c r="V163" s="97"/>
    </row>
    <row r="164" spans="1:22" ht="18" hidden="1" customHeight="1">
      <c r="A164" s="337"/>
      <c r="B164" s="28" t="s">
        <v>876</v>
      </c>
      <c r="C164" s="28" t="s">
        <v>138</v>
      </c>
      <c r="D164" s="28">
        <v>107</v>
      </c>
      <c r="E164" s="14"/>
      <c r="F164" s="14"/>
      <c r="G164" s="120"/>
      <c r="H164" s="28"/>
      <c r="I164" s="28"/>
      <c r="J164" s="28"/>
      <c r="K164" s="28"/>
      <c r="L164" s="28"/>
      <c r="M164" s="28"/>
      <c r="N164" s="28"/>
      <c r="O164" s="28"/>
      <c r="P164" s="28"/>
      <c r="Q164" s="28"/>
      <c r="R164" s="28"/>
      <c r="S164" s="28"/>
      <c r="T164" s="14"/>
      <c r="U164" s="28"/>
      <c r="V164" s="97"/>
    </row>
    <row r="165" spans="1:22" s="291" customFormat="1" ht="18" hidden="1" customHeight="1">
      <c r="A165" s="96"/>
      <c r="B165" s="28"/>
      <c r="C165" s="28"/>
      <c r="D165" s="14"/>
      <c r="E165" s="14"/>
      <c r="F165" s="14"/>
      <c r="G165" s="120"/>
      <c r="H165" s="28"/>
      <c r="I165" s="28"/>
      <c r="J165" s="28"/>
      <c r="K165" s="28"/>
      <c r="L165" s="28"/>
      <c r="M165" s="28"/>
      <c r="N165" s="28"/>
      <c r="O165" s="28"/>
      <c r="P165" s="28"/>
      <c r="Q165" s="28"/>
      <c r="R165" s="28"/>
      <c r="S165" s="28"/>
      <c r="T165" s="14"/>
      <c r="U165" s="28"/>
      <c r="V165" s="97"/>
    </row>
    <row r="166" spans="1:22" s="14" customFormat="1" ht="18" hidden="1" customHeight="1">
      <c r="A166" s="206"/>
      <c r="B166" s="207"/>
      <c r="C166" s="207"/>
      <c r="D166" s="207"/>
      <c r="E166" s="207"/>
      <c r="F166" s="207"/>
      <c r="G166" s="207"/>
      <c r="H166" s="207"/>
      <c r="I166" s="207"/>
      <c r="J166" s="207"/>
      <c r="K166" s="207"/>
      <c r="L166" s="207"/>
      <c r="M166" s="207"/>
      <c r="N166" s="207"/>
      <c r="O166" s="207"/>
      <c r="P166" s="207"/>
      <c r="Q166" s="236"/>
      <c r="R166" s="194"/>
      <c r="S166" s="237"/>
      <c r="T166" s="207"/>
      <c r="U166" s="207"/>
      <c r="V166" s="140"/>
    </row>
    <row r="167" spans="1:22" ht="18" hidden="1" customHeight="1">
      <c r="A167" s="238"/>
      <c r="B167" s="239"/>
      <c r="C167" s="239"/>
      <c r="D167" s="239"/>
      <c r="E167" s="239"/>
      <c r="F167" s="239"/>
      <c r="G167" s="239"/>
      <c r="H167" s="239"/>
      <c r="I167" s="239"/>
      <c r="J167" s="239"/>
      <c r="K167" s="239"/>
      <c r="L167" s="239"/>
      <c r="M167" s="239"/>
      <c r="N167" s="239"/>
      <c r="O167" s="239"/>
      <c r="P167" s="239"/>
      <c r="Q167" s="239"/>
      <c r="R167" s="239"/>
      <c r="S167" s="239"/>
      <c r="T167" s="239"/>
      <c r="U167" s="239"/>
      <c r="V167" s="240"/>
    </row>
    <row r="168" spans="1:22" ht="18" hidden="1" customHeight="1">
      <c r="A168" s="925">
        <v>2</v>
      </c>
      <c r="B168" s="1176" t="s">
        <v>887</v>
      </c>
      <c r="C168" s="1176"/>
      <c r="D168" s="1176"/>
      <c r="E168" s="1176"/>
      <c r="F168" s="1176"/>
      <c r="G168" s="1176"/>
      <c r="H168" s="1176"/>
      <c r="I168" s="1176"/>
      <c r="J168" s="1176"/>
      <c r="K168" s="1176"/>
      <c r="L168" s="1176"/>
      <c r="M168" s="1176"/>
      <c r="N168" s="1176"/>
      <c r="O168" s="1176"/>
      <c r="P168" s="1176"/>
      <c r="Q168" s="1176"/>
      <c r="R168" s="1176"/>
      <c r="S168" s="1176"/>
      <c r="T168" s="1176"/>
      <c r="U168" s="1176"/>
      <c r="V168" s="1177"/>
    </row>
    <row r="169" spans="1:22" ht="18" hidden="1" customHeight="1">
      <c r="A169" s="925"/>
      <c r="B169" s="1176"/>
      <c r="C169" s="1176"/>
      <c r="D169" s="1176"/>
      <c r="E169" s="1176"/>
      <c r="F169" s="1176"/>
      <c r="G169" s="1176"/>
      <c r="H169" s="1176"/>
      <c r="I169" s="1176"/>
      <c r="J169" s="1176"/>
      <c r="K169" s="1176"/>
      <c r="L169" s="1176"/>
      <c r="M169" s="1176"/>
      <c r="N169" s="1176"/>
      <c r="O169" s="1176"/>
      <c r="P169" s="1176"/>
      <c r="Q169" s="1176"/>
      <c r="R169" s="1176"/>
      <c r="S169" s="1176"/>
      <c r="T169" s="1176"/>
      <c r="U169" s="1176"/>
      <c r="V169" s="1177"/>
    </row>
    <row r="170" spans="1:22" ht="18" hidden="1" customHeight="1">
      <c r="A170" s="284"/>
      <c r="B170" s="120" t="s">
        <v>881</v>
      </c>
      <c r="C170" s="120" t="s">
        <v>430</v>
      </c>
      <c r="D170" s="638" t="s">
        <v>882</v>
      </c>
      <c r="E170" s="985"/>
      <c r="F170" s="28" t="s">
        <v>326</v>
      </c>
      <c r="G170" s="28" t="s">
        <v>352</v>
      </c>
      <c r="H170" s="47" t="s">
        <v>361</v>
      </c>
      <c r="I170" s="166" t="s">
        <v>710</v>
      </c>
      <c r="J170" s="120" t="s">
        <v>430</v>
      </c>
      <c r="K170" s="233">
        <v>600</v>
      </c>
      <c r="L170" s="28" t="s">
        <v>326</v>
      </c>
      <c r="M170" s="28" t="s">
        <v>522</v>
      </c>
      <c r="N170" s="47" t="s">
        <v>361</v>
      </c>
      <c r="O170" s="28"/>
      <c r="P170" s="28"/>
      <c r="Q170" s="28"/>
      <c r="R170" s="28"/>
      <c r="S170" s="28"/>
      <c r="T170" s="291"/>
      <c r="U170" s="14" t="s">
        <v>888</v>
      </c>
      <c r="V170" s="97"/>
    </row>
    <row r="171" spans="1:22" ht="18" hidden="1" customHeight="1">
      <c r="A171" s="284"/>
      <c r="B171" s="291"/>
      <c r="C171" s="14" t="s">
        <v>884</v>
      </c>
      <c r="D171" s="291"/>
      <c r="E171" s="291"/>
      <c r="F171" s="291"/>
      <c r="G171" s="291"/>
      <c r="H171" s="291"/>
      <c r="I171" s="291"/>
      <c r="J171" s="291"/>
      <c r="K171" s="291"/>
      <c r="L171" s="291"/>
      <c r="M171" s="28"/>
      <c r="N171" s="28"/>
      <c r="O171" s="28"/>
      <c r="P171" s="28"/>
      <c r="Q171" s="28"/>
      <c r="R171" s="28"/>
      <c r="S171" s="28"/>
      <c r="T171" s="14"/>
      <c r="U171" s="28"/>
      <c r="V171" s="97"/>
    </row>
    <row r="172" spans="1:22" ht="18" hidden="1" customHeight="1">
      <c r="A172" s="284"/>
      <c r="B172" s="291"/>
      <c r="C172" s="14"/>
      <c r="D172" s="28" t="s">
        <v>876</v>
      </c>
      <c r="E172" s="28" t="s">
        <v>540</v>
      </c>
      <c r="F172" s="28">
        <v>40</v>
      </c>
      <c r="G172" s="28" t="s">
        <v>358</v>
      </c>
      <c r="H172" s="233">
        <v>0.35</v>
      </c>
      <c r="I172" s="28" t="s">
        <v>683</v>
      </c>
      <c r="J172" s="638" t="s">
        <v>882</v>
      </c>
      <c r="K172" s="985"/>
      <c r="L172" s="28" t="s">
        <v>326</v>
      </c>
      <c r="M172" s="28" t="s">
        <v>352</v>
      </c>
      <c r="N172" s="47" t="s">
        <v>361</v>
      </c>
      <c r="O172" s="28"/>
      <c r="P172" s="28"/>
      <c r="Q172" s="28"/>
      <c r="R172" s="28"/>
      <c r="S172" s="28"/>
      <c r="T172" s="14"/>
      <c r="U172" s="28"/>
      <c r="V172" s="97"/>
    </row>
    <row r="173" spans="1:22" ht="18" hidden="1" customHeight="1">
      <c r="A173" s="284"/>
      <c r="B173" s="28"/>
      <c r="C173" s="28" t="s">
        <v>885</v>
      </c>
      <c r="D173" s="28" t="s">
        <v>876</v>
      </c>
      <c r="E173" s="28" t="s">
        <v>540</v>
      </c>
      <c r="F173" s="28">
        <v>65</v>
      </c>
      <c r="G173" s="14"/>
      <c r="H173" s="14"/>
      <c r="I173" s="120"/>
      <c r="J173" s="28"/>
      <c r="K173" s="28"/>
      <c r="L173" s="28"/>
      <c r="M173" s="28"/>
      <c r="N173" s="28"/>
      <c r="O173" s="28"/>
      <c r="P173" s="28"/>
      <c r="Q173" s="28"/>
      <c r="R173" s="28"/>
      <c r="S173" s="28"/>
      <c r="T173" s="14"/>
      <c r="U173" s="28"/>
      <c r="V173" s="97"/>
    </row>
    <row r="174" spans="1:22" ht="18" hidden="1" customHeight="1">
      <c r="A174" s="96"/>
      <c r="B174" s="14"/>
      <c r="C174" s="14"/>
      <c r="D174" s="247"/>
      <c r="E174" s="14"/>
      <c r="F174" s="28"/>
      <c r="G174" s="261"/>
      <c r="H174" s="28"/>
      <c r="I174" s="263"/>
      <c r="J174" s="14"/>
      <c r="K174" s="292"/>
      <c r="M174" s="47"/>
      <c r="N174" s="280"/>
      <c r="P174" s="293"/>
      <c r="R174" s="246"/>
      <c r="S174" s="564"/>
      <c r="T174" s="564"/>
      <c r="V174" s="197"/>
    </row>
    <row r="175" spans="1:22" ht="18" hidden="1" customHeight="1">
      <c r="A175" s="96"/>
      <c r="B175" s="120" t="s">
        <v>881</v>
      </c>
      <c r="C175" s="120" t="s">
        <v>430</v>
      </c>
      <c r="D175" s="233">
        <v>600</v>
      </c>
      <c r="E175" s="28" t="s">
        <v>326</v>
      </c>
      <c r="F175" s="28" t="s">
        <v>522</v>
      </c>
      <c r="G175" s="47" t="s">
        <v>361</v>
      </c>
      <c r="H175" s="28" t="s">
        <v>886</v>
      </c>
      <c r="I175" s="120" t="s">
        <v>430</v>
      </c>
      <c r="J175" s="638" t="s">
        <v>882</v>
      </c>
      <c r="K175" s="985"/>
      <c r="L175" s="28" t="s">
        <v>326</v>
      </c>
      <c r="M175" s="28" t="s">
        <v>352</v>
      </c>
      <c r="N175" s="47" t="s">
        <v>361</v>
      </c>
      <c r="O175" s="166" t="s">
        <v>710</v>
      </c>
      <c r="P175" s="120" t="s">
        <v>430</v>
      </c>
      <c r="Q175" s="233">
        <v>1600</v>
      </c>
      <c r="R175" s="28" t="s">
        <v>326</v>
      </c>
      <c r="S175" s="28" t="s">
        <v>522</v>
      </c>
      <c r="T175" s="47" t="s">
        <v>361</v>
      </c>
      <c r="U175" s="14" t="s">
        <v>889</v>
      </c>
      <c r="V175" s="97"/>
    </row>
    <row r="176" spans="1:22" ht="18" hidden="1" customHeight="1">
      <c r="A176" s="284"/>
      <c r="B176" s="28" t="s">
        <v>876</v>
      </c>
      <c r="C176" s="28" t="s">
        <v>138</v>
      </c>
      <c r="D176" s="28">
        <v>256</v>
      </c>
      <c r="E176" s="14"/>
      <c r="F176" s="14"/>
      <c r="G176" s="120"/>
      <c r="H176" s="28"/>
      <c r="I176" s="28"/>
      <c r="J176" s="28"/>
      <c r="K176" s="28"/>
      <c r="L176" s="28"/>
      <c r="M176" s="28"/>
      <c r="N176" s="28"/>
      <c r="O176" s="28"/>
      <c r="P176" s="28"/>
      <c r="Q176" s="28"/>
      <c r="R176" s="28"/>
      <c r="S176" s="28"/>
      <c r="T176" s="14"/>
      <c r="U176" s="28"/>
      <c r="V176" s="97"/>
    </row>
    <row r="177" spans="1:22" ht="18" hidden="1" customHeight="1">
      <c r="A177" s="284"/>
      <c r="U177" s="14"/>
      <c r="V177" s="97"/>
    </row>
    <row r="178" spans="1:22" ht="18" hidden="1" customHeight="1">
      <c r="A178" s="557"/>
      <c r="B178" s="30" t="s">
        <v>890</v>
      </c>
      <c r="Q178" s="14" t="s">
        <v>628</v>
      </c>
      <c r="S178" s="246" t="s">
        <v>138</v>
      </c>
      <c r="T178" s="639">
        <f>T59</f>
        <v>40000</v>
      </c>
      <c r="U178" s="639"/>
      <c r="V178" s="197" t="s">
        <v>9</v>
      </c>
    </row>
    <row r="179" spans="1:22" ht="18" hidden="1" customHeight="1">
      <c r="A179" s="557"/>
      <c r="B179" s="47" t="s">
        <v>665</v>
      </c>
      <c r="C179" s="14"/>
      <c r="D179" s="14"/>
      <c r="E179" s="14"/>
      <c r="F179" s="14"/>
      <c r="G179" s="18"/>
      <c r="H179" s="18"/>
      <c r="I179" s="14"/>
      <c r="J179" s="120"/>
      <c r="K179" s="14"/>
      <c r="L179" s="14"/>
      <c r="N179" s="14"/>
      <c r="O179" s="14"/>
      <c r="Q179" s="14" t="s">
        <v>434</v>
      </c>
      <c r="S179" s="246" t="s">
        <v>138</v>
      </c>
      <c r="T179" s="639" t="str">
        <f>J130</f>
        <v>-</v>
      </c>
      <c r="U179" s="639"/>
      <c r="V179" s="197" t="s">
        <v>9</v>
      </c>
    </row>
    <row r="180" spans="1:22" ht="18" hidden="1" customHeight="1">
      <c r="A180" s="96"/>
      <c r="B180" s="47" t="s">
        <v>891</v>
      </c>
      <c r="C180" s="14"/>
      <c r="D180" s="14"/>
      <c r="E180" s="14"/>
      <c r="F180" s="14"/>
      <c r="G180" s="18"/>
      <c r="H180" s="18"/>
      <c r="I180" s="14"/>
      <c r="J180" s="120"/>
      <c r="K180" s="14"/>
      <c r="L180" s="14"/>
      <c r="N180" s="14"/>
      <c r="O180" s="14"/>
      <c r="Q180" s="14" t="s">
        <v>882</v>
      </c>
      <c r="S180" s="246" t="s">
        <v>138</v>
      </c>
      <c r="T180" s="637" t="e">
        <f>T178/T179</f>
        <v>#VALUE!</v>
      </c>
      <c r="U180" s="637"/>
      <c r="V180" s="197" t="s">
        <v>9</v>
      </c>
    </row>
    <row r="181" spans="1:22" ht="18" hidden="1" customHeight="1">
      <c r="A181" s="96"/>
      <c r="B181" s="47" t="s">
        <v>666</v>
      </c>
      <c r="C181" s="14"/>
      <c r="D181" s="14"/>
      <c r="E181" s="14"/>
      <c r="F181" s="14"/>
      <c r="G181" s="18"/>
      <c r="H181" s="18"/>
      <c r="I181" s="14"/>
      <c r="J181" s="120"/>
      <c r="K181" s="14"/>
      <c r="L181" s="14"/>
      <c r="N181" s="14"/>
      <c r="O181" s="14"/>
      <c r="Q181" s="14" t="s">
        <v>431</v>
      </c>
      <c r="S181" s="246" t="s">
        <v>138</v>
      </c>
      <c r="T181" s="639">
        <f>J132</f>
        <v>10</v>
      </c>
      <c r="U181" s="639"/>
      <c r="V181" s="565" t="s">
        <v>344</v>
      </c>
    </row>
    <row r="182" spans="1:22" ht="18" hidden="1" customHeight="1">
      <c r="A182" s="96"/>
      <c r="B182" s="47" t="s">
        <v>687</v>
      </c>
      <c r="C182" s="14"/>
      <c r="D182" s="14"/>
      <c r="E182" s="14"/>
      <c r="F182" s="14"/>
      <c r="G182" s="18"/>
      <c r="H182" s="18"/>
      <c r="I182" s="14"/>
      <c r="J182" s="120"/>
      <c r="K182" s="14"/>
      <c r="L182" s="14"/>
      <c r="N182" s="14"/>
      <c r="O182" s="14"/>
      <c r="Q182" s="14" t="s">
        <v>877</v>
      </c>
      <c r="S182" s="246" t="s">
        <v>138</v>
      </c>
      <c r="T182" s="637">
        <f>S148</f>
        <v>1.46186744</v>
      </c>
      <c r="U182" s="637"/>
      <c r="V182" s="565" t="s">
        <v>344</v>
      </c>
    </row>
    <row r="183" spans="1:22" ht="18" hidden="1" customHeight="1">
      <c r="A183" s="96"/>
      <c r="B183" s="47" t="s">
        <v>702</v>
      </c>
      <c r="C183" s="14"/>
      <c r="D183" s="14"/>
      <c r="E183" s="14"/>
      <c r="F183" s="14"/>
      <c r="G183" s="14"/>
      <c r="H183" s="14"/>
      <c r="I183" s="14"/>
      <c r="J183" s="120"/>
      <c r="K183" s="14"/>
      <c r="L183" s="14"/>
      <c r="N183" s="14"/>
      <c r="O183" s="14"/>
      <c r="Q183" s="14" t="s">
        <v>522</v>
      </c>
      <c r="S183" s="246" t="s">
        <v>138</v>
      </c>
      <c r="T183" s="639">
        <f>O130</f>
        <v>1</v>
      </c>
      <c r="U183" s="639"/>
      <c r="V183" s="197" t="s">
        <v>9</v>
      </c>
    </row>
    <row r="184" spans="1:22" ht="18" hidden="1" customHeight="1">
      <c r="A184" s="96"/>
      <c r="B184" s="14" t="s">
        <v>892</v>
      </c>
      <c r="C184" s="14"/>
      <c r="D184" s="14"/>
      <c r="E184" s="247"/>
      <c r="F184" s="14"/>
      <c r="G184" s="28"/>
      <c r="H184" s="261"/>
      <c r="I184" s="28"/>
      <c r="J184" s="263"/>
      <c r="K184" s="14"/>
      <c r="L184" s="292"/>
      <c r="N184" s="47"/>
      <c r="O184" s="280"/>
      <c r="Q184" s="293" t="s">
        <v>352</v>
      </c>
      <c r="S184" s="246" t="s">
        <v>138</v>
      </c>
      <c r="T184" s="644">
        <f>T65</f>
        <v>50</v>
      </c>
      <c r="U184" s="648"/>
      <c r="V184" s="197"/>
    </row>
    <row r="185" spans="1:22" ht="18" hidden="1" customHeight="1">
      <c r="A185" s="337"/>
      <c r="B185" s="14" t="s">
        <v>893</v>
      </c>
      <c r="F185" s="14"/>
      <c r="G185" s="166"/>
      <c r="H185" s="102"/>
      <c r="I185" s="28"/>
      <c r="J185" s="27"/>
      <c r="K185" s="14"/>
      <c r="O185" s="47"/>
      <c r="P185" s="14"/>
      <c r="Q185" s="14"/>
      <c r="R185" s="14"/>
      <c r="S185" s="120"/>
      <c r="T185" s="705">
        <f>T66</f>
        <v>150</v>
      </c>
      <c r="U185" s="707"/>
      <c r="V185" s="97" t="s">
        <v>615</v>
      </c>
    </row>
    <row r="186" spans="1:22" ht="18" hidden="1" customHeight="1">
      <c r="A186" s="96"/>
      <c r="B186" s="14"/>
      <c r="Q186" s="14"/>
      <c r="R186" s="14"/>
      <c r="S186" s="120"/>
      <c r="T186" s="18"/>
      <c r="U186" s="18"/>
      <c r="V186" s="97"/>
    </row>
    <row r="187" spans="1:22" ht="18" hidden="1" customHeight="1">
      <c r="A187" s="196"/>
      <c r="B187" s="566" t="s">
        <v>894</v>
      </c>
      <c r="C187" s="566"/>
      <c r="D187" s="259"/>
      <c r="E187" s="259"/>
      <c r="F187" s="472" t="str">
        <f>IF(T185=150,"1 &amp; 2","3 &amp; 4")</f>
        <v>1 &amp; 2</v>
      </c>
      <c r="G187" s="567"/>
      <c r="V187" s="197"/>
    </row>
    <row r="188" spans="1:22" ht="18" hidden="1" customHeight="1">
      <c r="A188" s="557" t="s">
        <v>430</v>
      </c>
      <c r="B188" s="638" t="s">
        <v>882</v>
      </c>
      <c r="C188" s="638"/>
      <c r="D188" s="28" t="s">
        <v>326</v>
      </c>
      <c r="E188" s="28" t="s">
        <v>352</v>
      </c>
      <c r="F188" s="47" t="s">
        <v>361</v>
      </c>
      <c r="G188" s="166" t="s">
        <v>710</v>
      </c>
      <c r="H188" s="120" t="s">
        <v>430</v>
      </c>
      <c r="I188" s="233" t="str">
        <f>IF(T185=150,"1000","600")</f>
        <v>1000</v>
      </c>
      <c r="J188" s="28" t="s">
        <v>326</v>
      </c>
      <c r="K188" s="28" t="s">
        <v>522</v>
      </c>
      <c r="L188" s="47" t="s">
        <v>361</v>
      </c>
      <c r="M188" s="14"/>
      <c r="N188" s="14"/>
      <c r="U188" s="14" t="str">
        <f>IF(T185=150,"...cond.1","…cond.3")</f>
        <v>...cond.1</v>
      </c>
      <c r="V188" s="197"/>
    </row>
    <row r="189" spans="1:22" ht="18" hidden="1" customHeight="1">
      <c r="A189" s="557" t="s">
        <v>430</v>
      </c>
      <c r="B189" s="641" t="e">
        <f>T180</f>
        <v>#VALUE!</v>
      </c>
      <c r="C189" s="641"/>
      <c r="D189" s="28" t="s">
        <v>326</v>
      </c>
      <c r="E189" s="28">
        <f>T184</f>
        <v>50</v>
      </c>
      <c r="F189" s="47" t="s">
        <v>361</v>
      </c>
      <c r="G189" s="166" t="s">
        <v>710</v>
      </c>
      <c r="H189" s="120" t="s">
        <v>430</v>
      </c>
      <c r="I189" s="233" t="str">
        <f>I188</f>
        <v>1000</v>
      </c>
      <c r="J189" s="28" t="s">
        <v>326</v>
      </c>
      <c r="K189" s="28">
        <f>T183</f>
        <v>1</v>
      </c>
      <c r="L189" s="47" t="s">
        <v>361</v>
      </c>
      <c r="M189" s="14"/>
      <c r="N189" s="14"/>
      <c r="U189" s="14"/>
      <c r="V189" s="97"/>
    </row>
    <row r="190" spans="1:22" ht="18" hidden="1" customHeight="1">
      <c r="A190" s="96"/>
      <c r="B190" s="14"/>
      <c r="C190" s="14"/>
      <c r="D190" s="959" t="e">
        <f>B189*E189</f>
        <v>#VALUE!</v>
      </c>
      <c r="E190" s="1162"/>
      <c r="F190" s="14"/>
      <c r="G190" s="166" t="s">
        <v>710</v>
      </c>
      <c r="H190" s="102"/>
      <c r="I190" s="638">
        <f>I189*K189</f>
        <v>1000</v>
      </c>
      <c r="J190" s="639"/>
      <c r="K190" s="14"/>
      <c r="O190" s="47"/>
      <c r="P190" s="14"/>
      <c r="Q190" s="14"/>
      <c r="R190" s="14"/>
      <c r="S190" s="120" t="s">
        <v>895</v>
      </c>
      <c r="T190" s="1173" t="e">
        <f>IF(D190&lt;=I190,TRUE,FALSE)</f>
        <v>#VALUE!</v>
      </c>
      <c r="U190" s="1173"/>
      <c r="V190" s="97"/>
    </row>
    <row r="191" spans="1:22" ht="18" hidden="1" customHeight="1">
      <c r="A191" s="196"/>
      <c r="B191" s="28" t="s">
        <v>628</v>
      </c>
      <c r="C191" s="30" t="str">
        <f>IF(T185=150,"…cond.1","…cond.3")</f>
        <v>…cond.1</v>
      </c>
      <c r="E191" s="14" t="s">
        <v>896</v>
      </c>
      <c r="V191" s="197"/>
    </row>
    <row r="192" spans="1:22" ht="18" hidden="1" customHeight="1">
      <c r="A192" s="196"/>
      <c r="V192" s="97"/>
    </row>
    <row r="193" spans="1:22" ht="18" hidden="1" customHeight="1">
      <c r="A193" s="196"/>
      <c r="B193" s="14"/>
      <c r="C193" s="28" t="s">
        <v>876</v>
      </c>
      <c r="D193" s="28" t="s">
        <v>540</v>
      </c>
      <c r="E193" s="28">
        <v>40</v>
      </c>
      <c r="F193" s="28" t="s">
        <v>358</v>
      </c>
      <c r="G193" s="233" t="str">
        <f>IF(T185=150,"0.07","0.35")</f>
        <v>0.07</v>
      </c>
      <c r="H193" s="28" t="s">
        <v>683</v>
      </c>
      <c r="I193" s="638" t="s">
        <v>882</v>
      </c>
      <c r="J193" s="985"/>
      <c r="K193" s="28" t="s">
        <v>326</v>
      </c>
      <c r="L193" s="28" t="s">
        <v>352</v>
      </c>
      <c r="M193" s="47" t="s">
        <v>361</v>
      </c>
      <c r="N193" s="196"/>
      <c r="O193" s="47" t="s">
        <v>897</v>
      </c>
      <c r="P193" s="27"/>
      <c r="Q193" s="28" t="s">
        <v>138</v>
      </c>
      <c r="R193" s="637" t="e">
        <f>MAX(E195,E196)</f>
        <v>#VALUE!</v>
      </c>
      <c r="S193" s="639"/>
      <c r="V193" s="197"/>
    </row>
    <row r="194" spans="1:22" ht="18" hidden="1" customHeight="1">
      <c r="A194" s="196"/>
      <c r="B194" s="14"/>
      <c r="C194" s="28"/>
      <c r="D194" s="28" t="s">
        <v>540</v>
      </c>
      <c r="E194" s="28">
        <v>40</v>
      </c>
      <c r="F194" s="28" t="s">
        <v>358</v>
      </c>
      <c r="G194" s="233" t="str">
        <f>IF(T185=150,"0.07","0.35")</f>
        <v>0.07</v>
      </c>
      <c r="H194" s="28" t="s">
        <v>683</v>
      </c>
      <c r="I194" s="641" t="e">
        <f>T180</f>
        <v>#VALUE!</v>
      </c>
      <c r="J194" s="985"/>
      <c r="K194" s="28" t="s">
        <v>326</v>
      </c>
      <c r="L194" s="28">
        <f>T184</f>
        <v>50</v>
      </c>
      <c r="M194" s="47" t="s">
        <v>361</v>
      </c>
      <c r="N194" s="196"/>
      <c r="V194" s="197"/>
    </row>
    <row r="195" spans="1:22" ht="18" hidden="1" customHeight="1">
      <c r="A195" s="196"/>
      <c r="B195" s="14"/>
      <c r="C195" s="28"/>
      <c r="D195" s="28" t="s">
        <v>540</v>
      </c>
      <c r="E195" s="1187" t="e">
        <f>E194+(G194*(I194*L194))</f>
        <v>#VALUE!</v>
      </c>
      <c r="F195" s="1187"/>
      <c r="G195" s="233"/>
      <c r="H195" s="28"/>
      <c r="I195" s="230"/>
      <c r="K195" s="28"/>
      <c r="L195" s="28"/>
      <c r="M195" s="47"/>
      <c r="N195" s="196"/>
      <c r="V195" s="197"/>
    </row>
    <row r="196" spans="1:22" ht="18" hidden="1" customHeight="1">
      <c r="A196" s="96"/>
      <c r="B196" s="28" t="s">
        <v>885</v>
      </c>
      <c r="C196" s="28" t="s">
        <v>876</v>
      </c>
      <c r="D196" s="28" t="s">
        <v>138</v>
      </c>
      <c r="E196" s="28">
        <v>65</v>
      </c>
      <c r="G196" s="14"/>
      <c r="H196" s="166"/>
      <c r="I196" s="102"/>
      <c r="J196" s="28"/>
      <c r="K196" s="27"/>
      <c r="L196" s="14"/>
      <c r="N196" s="96"/>
      <c r="O196" s="14"/>
      <c r="Q196" s="14"/>
      <c r="R196" s="14"/>
      <c r="S196" s="14"/>
      <c r="T196" s="14"/>
      <c r="U196" s="14"/>
      <c r="V196" s="97"/>
    </row>
    <row r="197" spans="1:22" ht="18" hidden="1" customHeight="1">
      <c r="A197" s="96"/>
      <c r="B197" s="14"/>
      <c r="F197" s="28"/>
      <c r="I197" s="120"/>
      <c r="J197" s="233"/>
      <c r="K197" s="28"/>
      <c r="L197" s="28"/>
      <c r="M197" s="47"/>
      <c r="N197" s="14"/>
      <c r="O197" s="14"/>
      <c r="Q197" s="14"/>
      <c r="R197" s="14"/>
      <c r="S197" s="14"/>
      <c r="T197" s="14"/>
      <c r="U197" s="14"/>
      <c r="V197" s="97"/>
    </row>
    <row r="198" spans="1:22" ht="18" hidden="1" customHeight="1">
      <c r="A198" s="557" t="s">
        <v>430</v>
      </c>
      <c r="B198" s="233" t="str">
        <f>IF(T185=150,"1000","600")</f>
        <v>1000</v>
      </c>
      <c r="C198" s="28" t="s">
        <v>326</v>
      </c>
      <c r="D198" s="28" t="s">
        <v>522</v>
      </c>
      <c r="E198" s="47" t="s">
        <v>361</v>
      </c>
      <c r="F198" s="28" t="s">
        <v>886</v>
      </c>
      <c r="G198" s="120" t="s">
        <v>430</v>
      </c>
      <c r="H198" s="638" t="s">
        <v>882</v>
      </c>
      <c r="I198" s="985"/>
      <c r="J198" s="28" t="s">
        <v>326</v>
      </c>
      <c r="K198" s="28" t="s">
        <v>352</v>
      </c>
      <c r="L198" s="47" t="s">
        <v>361</v>
      </c>
      <c r="M198" s="166" t="s">
        <v>710</v>
      </c>
      <c r="N198" s="120" t="s">
        <v>430</v>
      </c>
      <c r="O198" s="233" t="str">
        <f>IF(T185=150,"2600","1600")</f>
        <v>2600</v>
      </c>
      <c r="P198" s="28" t="s">
        <v>326</v>
      </c>
      <c r="Q198" s="28" t="s">
        <v>522</v>
      </c>
      <c r="R198" s="47" t="s">
        <v>361</v>
      </c>
      <c r="S198" s="14"/>
      <c r="T198" s="14"/>
      <c r="U198" s="14" t="str">
        <f>IF(T185=150,"...cond.2","…cond.4")</f>
        <v>...cond.2</v>
      </c>
      <c r="V198" s="97"/>
    </row>
    <row r="199" spans="1:22" ht="18" hidden="1" customHeight="1">
      <c r="A199" s="557" t="s">
        <v>430</v>
      </c>
      <c r="B199" s="233" t="str">
        <f>B198</f>
        <v>1000</v>
      </c>
      <c r="C199" s="28" t="s">
        <v>326</v>
      </c>
      <c r="D199" s="28">
        <f>T183</f>
        <v>1</v>
      </c>
      <c r="E199" s="47" t="s">
        <v>361</v>
      </c>
      <c r="F199" s="28" t="s">
        <v>886</v>
      </c>
      <c r="G199" s="120" t="s">
        <v>430</v>
      </c>
      <c r="H199" s="641" t="e">
        <f>T180</f>
        <v>#VALUE!</v>
      </c>
      <c r="I199" s="985"/>
      <c r="J199" s="28" t="s">
        <v>326</v>
      </c>
      <c r="K199" s="28">
        <f>T184</f>
        <v>50</v>
      </c>
      <c r="L199" s="47" t="s">
        <v>361</v>
      </c>
      <c r="M199" s="166" t="s">
        <v>710</v>
      </c>
      <c r="N199" s="120" t="s">
        <v>430</v>
      </c>
      <c r="O199" s="233" t="str">
        <f>O198</f>
        <v>2600</v>
      </c>
      <c r="P199" s="28" t="s">
        <v>326</v>
      </c>
      <c r="Q199" s="28">
        <f>T183</f>
        <v>1</v>
      </c>
      <c r="R199" s="47" t="s">
        <v>361</v>
      </c>
      <c r="S199" s="14"/>
      <c r="T199" s="14"/>
      <c r="U199" s="14"/>
      <c r="V199" s="97"/>
    </row>
    <row r="200" spans="1:22" ht="18" hidden="1" customHeight="1">
      <c r="A200" s="557"/>
      <c r="B200" s="261"/>
      <c r="C200" s="1172">
        <f>B199*D199</f>
        <v>1000</v>
      </c>
      <c r="D200" s="1172"/>
      <c r="E200" s="261"/>
      <c r="F200" s="28" t="s">
        <v>886</v>
      </c>
      <c r="G200" s="14"/>
      <c r="H200" s="14"/>
      <c r="I200" s="959" t="e">
        <f>H199*K199</f>
        <v>#VALUE!</v>
      </c>
      <c r="J200" s="959"/>
      <c r="K200" s="14"/>
      <c r="L200" s="14"/>
      <c r="M200" s="166" t="s">
        <v>710</v>
      </c>
      <c r="N200" s="102"/>
      <c r="O200" s="987">
        <f>O199*Q199</f>
        <v>2600</v>
      </c>
      <c r="P200" s="985"/>
      <c r="Q200" s="14"/>
      <c r="R200" s="14"/>
      <c r="S200" s="120" t="s">
        <v>895</v>
      </c>
      <c r="T200" s="1173" t="e">
        <f>IF(AND(C200&lt;I200,I200&lt;=O200)=TRUE,TRUE,FALSE)</f>
        <v>#VALUE!</v>
      </c>
      <c r="U200" s="1173"/>
      <c r="V200" s="97"/>
    </row>
    <row r="201" spans="1:22" ht="18" hidden="1" customHeight="1">
      <c r="A201" s="96"/>
      <c r="B201" s="14"/>
      <c r="E201" s="256"/>
      <c r="G201" s="18"/>
      <c r="L201" s="14"/>
      <c r="M201" s="14"/>
      <c r="N201" s="14"/>
      <c r="O201" s="14"/>
      <c r="P201" s="14"/>
      <c r="Q201" s="14"/>
      <c r="R201" s="14"/>
      <c r="S201" s="14"/>
      <c r="T201" s="14"/>
      <c r="U201" s="14"/>
      <c r="V201" s="97"/>
    </row>
    <row r="202" spans="1:22" ht="18" hidden="1" customHeight="1">
      <c r="A202" s="96"/>
      <c r="B202" s="14"/>
      <c r="E202" s="256"/>
      <c r="G202" s="18"/>
      <c r="L202" s="14"/>
      <c r="M202" s="14"/>
      <c r="N202" s="14"/>
      <c r="O202" s="14"/>
      <c r="P202" s="14"/>
      <c r="Q202" s="14"/>
      <c r="R202" s="14"/>
      <c r="S202" s="14"/>
      <c r="T202" s="14"/>
      <c r="U202" s="14"/>
      <c r="V202" s="97"/>
    </row>
    <row r="203" spans="1:22" ht="18" hidden="1" customHeight="1">
      <c r="A203" s="96"/>
      <c r="B203" s="14"/>
      <c r="E203" s="256"/>
      <c r="G203" s="18"/>
      <c r="L203" s="14"/>
      <c r="M203" s="14"/>
      <c r="N203" s="14"/>
      <c r="O203" s="14"/>
      <c r="P203" s="14"/>
      <c r="Q203" s="14"/>
      <c r="R203" s="14"/>
      <c r="S203" s="14"/>
      <c r="T203" s="14"/>
      <c r="U203" s="14"/>
      <c r="V203" s="97"/>
    </row>
    <row r="204" spans="1:22" ht="18" hidden="1" customHeight="1">
      <c r="A204" s="96"/>
      <c r="B204" s="14"/>
      <c r="E204" s="256"/>
      <c r="G204" s="18"/>
      <c r="L204" s="14"/>
      <c r="M204" s="14"/>
      <c r="N204" s="14"/>
      <c r="O204" s="14"/>
      <c r="P204" s="14"/>
      <c r="Q204" s="14"/>
      <c r="R204" s="14"/>
      <c r="S204" s="14"/>
      <c r="T204" s="14"/>
      <c r="U204" s="14"/>
      <c r="V204" s="97"/>
    </row>
    <row r="205" spans="1:22" ht="18" hidden="1" customHeight="1">
      <c r="A205" s="96"/>
      <c r="B205" s="14"/>
      <c r="E205" s="256"/>
      <c r="G205" s="18"/>
      <c r="L205" s="14"/>
      <c r="M205" s="14"/>
      <c r="N205" s="14"/>
      <c r="O205" s="14"/>
      <c r="P205" s="14"/>
      <c r="Q205" s="14"/>
      <c r="R205" s="14"/>
      <c r="S205" s="14"/>
      <c r="T205" s="14"/>
      <c r="U205" s="14"/>
      <c r="V205" s="97"/>
    </row>
    <row r="206" spans="1:22" ht="18" hidden="1" customHeight="1">
      <c r="A206" s="96"/>
      <c r="B206" s="14"/>
      <c r="E206" s="256"/>
      <c r="G206" s="18"/>
      <c r="L206" s="14"/>
      <c r="M206" s="14"/>
      <c r="N206" s="14"/>
      <c r="O206" s="14"/>
      <c r="P206" s="14"/>
      <c r="Q206" s="14"/>
      <c r="R206" s="14"/>
      <c r="S206" s="14"/>
      <c r="T206" s="14"/>
      <c r="U206" s="14"/>
      <c r="V206" s="97"/>
    </row>
    <row r="207" spans="1:22" s="14" customFormat="1" ht="18" hidden="1" customHeight="1">
      <c r="A207" s="206"/>
      <c r="B207" s="207"/>
      <c r="C207" s="207"/>
      <c r="D207" s="207"/>
      <c r="E207" s="207"/>
      <c r="F207" s="207"/>
      <c r="G207" s="207"/>
      <c r="H207" s="207"/>
      <c r="I207" s="207"/>
      <c r="J207" s="207"/>
      <c r="K207" s="207"/>
      <c r="L207" s="207"/>
      <c r="M207" s="207"/>
      <c r="N207" s="207"/>
      <c r="O207" s="207"/>
      <c r="P207" s="207"/>
      <c r="Q207" s="236"/>
      <c r="R207" s="194"/>
      <c r="S207" s="237"/>
      <c r="T207" s="207"/>
      <c r="U207" s="207"/>
      <c r="V207" s="140"/>
    </row>
    <row r="208" spans="1:22" ht="18" hidden="1" customHeight="1">
      <c r="A208" s="332"/>
      <c r="B208" s="145"/>
      <c r="C208" s="145"/>
      <c r="D208" s="145"/>
      <c r="E208" s="285"/>
      <c r="F208" s="285"/>
      <c r="G208" s="286"/>
      <c r="H208" s="145"/>
      <c r="I208" s="145"/>
      <c r="J208" s="145"/>
      <c r="K208" s="145"/>
      <c r="L208" s="145"/>
      <c r="M208" s="145"/>
      <c r="N208" s="145"/>
      <c r="O208" s="145"/>
      <c r="P208" s="145"/>
      <c r="Q208" s="145"/>
      <c r="R208" s="145"/>
      <c r="S208" s="145"/>
      <c r="T208" s="285"/>
      <c r="U208" s="145"/>
      <c r="V208" s="554"/>
    </row>
    <row r="209" spans="1:22" ht="18" hidden="1" customHeight="1">
      <c r="A209" s="311"/>
      <c r="B209" s="28" t="s">
        <v>628</v>
      </c>
      <c r="C209" s="30" t="str">
        <f>IF(T185=150,"…cond.2","…cond.4")</f>
        <v>…cond.2</v>
      </c>
      <c r="E209" s="14" t="s">
        <v>898</v>
      </c>
      <c r="J209" s="28" t="s">
        <v>138</v>
      </c>
      <c r="K209" s="30" t="str">
        <f>IF(T185=150,"107","256")</f>
        <v>107</v>
      </c>
      <c r="N209" s="1" t="s">
        <v>899</v>
      </c>
      <c r="O209" s="208"/>
      <c r="P209" s="208"/>
      <c r="Q209" s="208"/>
      <c r="R209" s="208"/>
      <c r="S209" s="194" t="s">
        <v>138</v>
      </c>
      <c r="T209" s="258" t="e">
        <f>IF(T190=TRUE,R193,IF(T200=TRUE,K209,))</f>
        <v>#VALUE!</v>
      </c>
      <c r="U209" s="14"/>
      <c r="V209" s="97"/>
    </row>
    <row r="210" spans="1:22" ht="18" hidden="1" customHeight="1">
      <c r="A210" s="205" t="s">
        <v>900</v>
      </c>
      <c r="B210" s="28"/>
      <c r="C210" s="28"/>
      <c r="D210" s="28"/>
      <c r="E210" s="14"/>
      <c r="F210" s="14"/>
      <c r="G210" s="120"/>
      <c r="H210" s="28"/>
      <c r="I210" s="28"/>
      <c r="J210" s="28"/>
      <c r="K210" s="28"/>
      <c r="L210" s="28"/>
      <c r="M210" s="28"/>
      <c r="N210" s="28"/>
      <c r="O210" s="28"/>
      <c r="P210" s="28"/>
      <c r="Q210" s="28"/>
      <c r="R210" s="28"/>
      <c r="S210" s="28"/>
      <c r="T210" s="14"/>
      <c r="U210" s="28"/>
      <c r="V210" s="97"/>
    </row>
    <row r="211" spans="1:22" ht="18" hidden="1" customHeight="1">
      <c r="A211" s="196"/>
      <c r="D211" s="30" t="s">
        <v>484</v>
      </c>
      <c r="E211" s="27" t="s">
        <v>540</v>
      </c>
      <c r="F211" s="27" t="s">
        <v>876</v>
      </c>
      <c r="G211" s="27" t="s">
        <v>326</v>
      </c>
      <c r="H211" s="27" t="s">
        <v>522</v>
      </c>
      <c r="I211" s="27" t="s">
        <v>383</v>
      </c>
      <c r="J211" s="27" t="s">
        <v>431</v>
      </c>
      <c r="K211" s="27" t="s">
        <v>358</v>
      </c>
      <c r="L211" s="27" t="s">
        <v>877</v>
      </c>
      <c r="M211" s="30" t="s">
        <v>361</v>
      </c>
      <c r="V211" s="197"/>
    </row>
    <row r="212" spans="1:22" ht="18" hidden="1" customHeight="1">
      <c r="A212" s="196"/>
      <c r="B212" s="14"/>
      <c r="D212" s="14"/>
      <c r="E212" s="27" t="s">
        <v>540</v>
      </c>
      <c r="F212" s="27" t="e">
        <f>T209</f>
        <v>#VALUE!</v>
      </c>
      <c r="G212" s="27" t="s">
        <v>326</v>
      </c>
      <c r="H212" s="27">
        <f>T183</f>
        <v>1</v>
      </c>
      <c r="I212" s="27" t="s">
        <v>383</v>
      </c>
      <c r="J212" s="27">
        <f>T181</f>
        <v>10</v>
      </c>
      <c r="K212" s="27" t="s">
        <v>358</v>
      </c>
      <c r="L212" s="223">
        <f>T182</f>
        <v>1.46186744</v>
      </c>
      <c r="M212" s="30" t="s">
        <v>361</v>
      </c>
      <c r="V212" s="197"/>
    </row>
    <row r="213" spans="1:22" ht="18" hidden="1" customHeight="1">
      <c r="A213" s="196"/>
      <c r="B213" s="14"/>
      <c r="D213" s="14"/>
      <c r="E213" s="27" t="s">
        <v>540</v>
      </c>
      <c r="F213" s="912" t="e">
        <f>F212*H212*(J212+L212)</f>
        <v>#VALUE!</v>
      </c>
      <c r="G213" s="913"/>
      <c r="H213" s="14" t="s">
        <v>316</v>
      </c>
      <c r="I213" s="14"/>
      <c r="J213" s="14"/>
      <c r="K213" s="14"/>
      <c r="L213" s="120"/>
      <c r="M213" s="120"/>
      <c r="V213" s="197"/>
    </row>
    <row r="214" spans="1:22" ht="18" hidden="1" customHeight="1">
      <c r="A214" s="196"/>
      <c r="V214" s="197"/>
    </row>
    <row r="215" spans="1:22" ht="18" hidden="1" customHeight="1">
      <c r="A215" s="116" t="s">
        <v>457</v>
      </c>
      <c r="B215" s="14"/>
      <c r="C215" s="27"/>
      <c r="D215" s="230"/>
      <c r="E215" s="216"/>
      <c r="F215" s="14"/>
      <c r="G215" s="14"/>
      <c r="H215" s="14"/>
      <c r="I215" s="14"/>
      <c r="J215" s="120"/>
      <c r="K215" s="120"/>
      <c r="L215" s="14"/>
      <c r="M215" s="14"/>
      <c r="N215" s="28"/>
      <c r="O215" s="269"/>
      <c r="P215" s="14"/>
      <c r="Q215" s="14"/>
      <c r="R215" s="120"/>
      <c r="S215" s="28"/>
      <c r="T215" s="47"/>
      <c r="U215" s="14"/>
      <c r="V215" s="197"/>
    </row>
    <row r="216" spans="1:22" ht="18" hidden="1" customHeight="1">
      <c r="A216" s="205" t="s">
        <v>427</v>
      </c>
      <c r="B216" s="14"/>
      <c r="C216" s="27"/>
      <c r="D216" s="230"/>
      <c r="E216" s="216"/>
      <c r="F216" s="14"/>
      <c r="G216" s="14"/>
      <c r="H216" s="14"/>
      <c r="I216" s="14"/>
      <c r="J216" s="120"/>
      <c r="K216" s="120"/>
      <c r="L216" s="14"/>
      <c r="M216" s="14"/>
      <c r="N216" s="28"/>
      <c r="O216" s="269"/>
      <c r="P216" s="14"/>
      <c r="Q216" s="14"/>
      <c r="R216" s="120"/>
      <c r="S216" s="28"/>
      <c r="T216" s="47"/>
      <c r="U216" s="14"/>
      <c r="V216" s="197"/>
    </row>
    <row r="217" spans="1:22" ht="18" hidden="1" customHeight="1">
      <c r="A217" s="196"/>
      <c r="B217" s="14"/>
      <c r="C217" s="27"/>
      <c r="D217" s="230"/>
      <c r="E217" s="216"/>
      <c r="F217" s="30" t="s">
        <v>484</v>
      </c>
      <c r="G217" s="27" t="s">
        <v>540</v>
      </c>
      <c r="H217" s="969" t="s">
        <v>903</v>
      </c>
      <c r="I217" s="969"/>
      <c r="J217" s="27" t="s">
        <v>326</v>
      </c>
      <c r="K217" s="969" t="s">
        <v>855</v>
      </c>
      <c r="L217" s="969"/>
      <c r="M217" s="27" t="s">
        <v>326</v>
      </c>
      <c r="N217" s="256" t="s">
        <v>430</v>
      </c>
      <c r="O217" s="27" t="s">
        <v>431</v>
      </c>
      <c r="P217" s="27" t="s">
        <v>358</v>
      </c>
      <c r="Q217" s="27" t="s">
        <v>419</v>
      </c>
      <c r="R217" s="30" t="s">
        <v>361</v>
      </c>
      <c r="S217" s="28"/>
      <c r="T217" s="47"/>
      <c r="U217" s="14"/>
      <c r="V217" s="197"/>
    </row>
    <row r="218" spans="1:22" ht="18" hidden="1" customHeight="1">
      <c r="A218" s="205"/>
      <c r="F218" s="14" t="s">
        <v>904</v>
      </c>
      <c r="H218" s="27"/>
      <c r="I218" s="230"/>
      <c r="J218" s="216"/>
      <c r="K218" s="14"/>
      <c r="L218" s="14"/>
      <c r="M218" s="14"/>
      <c r="N218" s="14"/>
      <c r="O218" s="120"/>
      <c r="P218" s="120"/>
      <c r="Q218" s="14"/>
      <c r="R218" s="14"/>
      <c r="U218" s="14"/>
      <c r="V218" s="197"/>
    </row>
    <row r="219" spans="1:22" ht="18" hidden="1" customHeight="1">
      <c r="A219" s="205"/>
      <c r="G219" s="969" t="s">
        <v>903</v>
      </c>
      <c r="H219" s="969"/>
      <c r="I219" s="230" t="s">
        <v>138</v>
      </c>
      <c r="J219" s="216" t="s">
        <v>905</v>
      </c>
      <c r="K219" s="14"/>
      <c r="L219" s="14"/>
      <c r="M219" s="14"/>
      <c r="N219" s="14"/>
      <c r="O219" s="120"/>
      <c r="P219" s="120"/>
      <c r="Q219" s="14"/>
      <c r="R219" s="14"/>
      <c r="S219" s="28" t="s">
        <v>138</v>
      </c>
      <c r="T219" s="28">
        <v>1.4</v>
      </c>
      <c r="U219" s="14"/>
      <c r="V219" s="97"/>
    </row>
    <row r="220" spans="1:22" ht="18" hidden="1" customHeight="1">
      <c r="A220" s="205"/>
      <c r="G220" s="969" t="s">
        <v>855</v>
      </c>
      <c r="H220" s="969"/>
      <c r="I220" s="230" t="s">
        <v>138</v>
      </c>
      <c r="J220" s="216" t="s">
        <v>906</v>
      </c>
      <c r="K220" s="14"/>
      <c r="L220" s="14"/>
      <c r="M220" s="14"/>
      <c r="N220" s="14"/>
      <c r="O220" s="120"/>
      <c r="P220" s="120"/>
      <c r="Q220" s="14"/>
      <c r="R220" s="14"/>
      <c r="S220" s="28" t="s">
        <v>138</v>
      </c>
      <c r="T220" s="641" t="e">
        <f>T180</f>
        <v>#VALUE!</v>
      </c>
      <c r="U220" s="638"/>
      <c r="V220" s="97" t="s">
        <v>9</v>
      </c>
    </row>
    <row r="221" spans="1:22" ht="18" hidden="1" customHeight="1">
      <c r="A221" s="205"/>
      <c r="U221" s="14"/>
      <c r="V221" s="97"/>
    </row>
    <row r="222" spans="1:22" ht="18" hidden="1" customHeight="1">
      <c r="A222" s="205"/>
      <c r="F222" s="30" t="s">
        <v>484</v>
      </c>
      <c r="G222" s="27" t="s">
        <v>540</v>
      </c>
      <c r="H222" s="969" t="s">
        <v>903</v>
      </c>
      <c r="I222" s="969"/>
      <c r="J222" s="27" t="s">
        <v>326</v>
      </c>
      <c r="K222" s="969" t="s">
        <v>855</v>
      </c>
      <c r="L222" s="969"/>
      <c r="M222" s="27" t="s">
        <v>326</v>
      </c>
      <c r="N222" s="256" t="s">
        <v>430</v>
      </c>
      <c r="O222" s="27" t="s">
        <v>431</v>
      </c>
      <c r="P222" s="27" t="s">
        <v>358</v>
      </c>
      <c r="Q222" s="27" t="s">
        <v>419</v>
      </c>
      <c r="R222" s="30" t="s">
        <v>361</v>
      </c>
      <c r="T222" s="47"/>
      <c r="U222" s="14"/>
      <c r="V222" s="97"/>
    </row>
    <row r="223" spans="1:22" ht="18" hidden="1" customHeight="1">
      <c r="A223" s="205"/>
      <c r="F223" s="30" t="s">
        <v>484</v>
      </c>
      <c r="G223" s="27" t="s">
        <v>540</v>
      </c>
      <c r="H223" s="969">
        <f>T219</f>
        <v>1.4</v>
      </c>
      <c r="I223" s="969"/>
      <c r="J223" s="27" t="s">
        <v>326</v>
      </c>
      <c r="K223" s="640" t="e">
        <f>T220</f>
        <v>#VALUE!</v>
      </c>
      <c r="L223" s="969"/>
      <c r="M223" s="27" t="s">
        <v>326</v>
      </c>
      <c r="N223" s="256" t="s">
        <v>430</v>
      </c>
      <c r="O223" s="27">
        <f>T181</f>
        <v>10</v>
      </c>
      <c r="P223" s="27" t="s">
        <v>358</v>
      </c>
      <c r="Q223" s="223">
        <f>T182</f>
        <v>1.46186744</v>
      </c>
      <c r="R223" s="30" t="s">
        <v>361</v>
      </c>
      <c r="V223" s="97"/>
    </row>
    <row r="224" spans="1:22" ht="18" hidden="1" customHeight="1">
      <c r="A224" s="196"/>
      <c r="F224" s="30" t="s">
        <v>484</v>
      </c>
      <c r="G224" s="27" t="s">
        <v>540</v>
      </c>
      <c r="H224" s="1170" t="e">
        <f>H223*K223*(O223+Q223)</f>
        <v>#VALUE!</v>
      </c>
      <c r="I224" s="1171"/>
      <c r="J224" s="14" t="s">
        <v>907</v>
      </c>
      <c r="V224" s="97"/>
    </row>
    <row r="225" spans="1:22" ht="18" hidden="1" customHeight="1">
      <c r="A225" s="96"/>
      <c r="U225" s="18"/>
      <c r="V225" s="97"/>
    </row>
    <row r="226" spans="1:22" ht="18" hidden="1" customHeight="1">
      <c r="A226" s="205" t="s">
        <v>908</v>
      </c>
      <c r="O226" s="47"/>
      <c r="P226" s="14"/>
      <c r="Q226" s="14"/>
      <c r="R226" s="14"/>
      <c r="S226" s="120"/>
      <c r="T226" s="18"/>
      <c r="U226" s="18"/>
      <c r="V226" s="97"/>
    </row>
    <row r="227" spans="1:22" ht="18" hidden="1" customHeight="1">
      <c r="A227" s="196"/>
      <c r="V227" s="97"/>
    </row>
    <row r="228" spans="1:22" ht="18" hidden="1" customHeight="1">
      <c r="A228" s="196"/>
      <c r="C228" s="30" t="s">
        <v>484</v>
      </c>
      <c r="D228" s="27" t="s">
        <v>540</v>
      </c>
      <c r="E228" s="861" t="s">
        <v>909</v>
      </c>
      <c r="F228" s="861"/>
      <c r="G228" s="27" t="s">
        <v>326</v>
      </c>
      <c r="H228" s="861" t="s">
        <v>910</v>
      </c>
      <c r="I228" s="861"/>
      <c r="J228" s="28" t="s">
        <v>683</v>
      </c>
      <c r="K228" s="27">
        <v>1</v>
      </c>
      <c r="L228" s="14" t="s">
        <v>358</v>
      </c>
      <c r="M228" s="14" t="s">
        <v>352</v>
      </c>
      <c r="N228" s="14" t="s">
        <v>911</v>
      </c>
      <c r="O228" s="27" t="s">
        <v>431</v>
      </c>
      <c r="P228" s="27" t="s">
        <v>358</v>
      </c>
      <c r="Q228" s="27" t="s">
        <v>419</v>
      </c>
      <c r="R228" s="30" t="s">
        <v>361</v>
      </c>
      <c r="V228" s="197"/>
    </row>
    <row r="229" spans="1:22" ht="18" hidden="1" customHeight="1">
      <c r="A229" s="196"/>
      <c r="C229" s="14" t="s">
        <v>904</v>
      </c>
      <c r="E229" s="27"/>
      <c r="F229" s="230"/>
      <c r="G229" s="216"/>
      <c r="H229" s="14"/>
      <c r="I229" s="14"/>
      <c r="J229" s="14"/>
      <c r="K229" s="14"/>
      <c r="L229" s="120"/>
      <c r="M229" s="120"/>
      <c r="N229" s="14"/>
      <c r="O229" s="14"/>
      <c r="U229" s="14"/>
      <c r="V229" s="197"/>
    </row>
    <row r="230" spans="1:22" ht="18" hidden="1" customHeight="1">
      <c r="A230" s="96"/>
      <c r="B230" s="14"/>
      <c r="D230" s="861" t="s">
        <v>909</v>
      </c>
      <c r="E230" s="969"/>
      <c r="F230" s="230" t="s">
        <v>138</v>
      </c>
      <c r="G230" s="269" t="s">
        <v>912</v>
      </c>
      <c r="H230" s="14"/>
      <c r="I230" s="14"/>
      <c r="J230" s="14"/>
      <c r="K230" s="14"/>
      <c r="L230" s="120"/>
      <c r="M230" s="120"/>
      <c r="N230" s="14"/>
      <c r="O230" s="14"/>
      <c r="S230" s="28" t="s">
        <v>138</v>
      </c>
      <c r="T230" s="28">
        <v>0.6</v>
      </c>
      <c r="U230" s="14"/>
      <c r="V230" s="97"/>
    </row>
    <row r="231" spans="1:22" ht="18" hidden="1" customHeight="1">
      <c r="A231" s="284"/>
      <c r="B231" s="47"/>
      <c r="D231" s="861" t="s">
        <v>910</v>
      </c>
      <c r="E231" s="969"/>
      <c r="F231" s="230" t="s">
        <v>138</v>
      </c>
      <c r="G231" s="269" t="s">
        <v>913</v>
      </c>
      <c r="H231" s="14"/>
      <c r="I231" s="14"/>
      <c r="J231" s="14"/>
      <c r="K231" s="14"/>
      <c r="L231" s="120"/>
      <c r="M231" s="120"/>
      <c r="N231" s="14"/>
      <c r="O231" s="14"/>
      <c r="S231" s="28" t="s">
        <v>138</v>
      </c>
      <c r="T231" s="641" t="e">
        <f>'[6]Fault Calc (3)'!M107/T179</f>
        <v>#VALUE!</v>
      </c>
      <c r="U231" s="638"/>
      <c r="V231" s="97" t="s">
        <v>9</v>
      </c>
    </row>
    <row r="232" spans="1:22" ht="18" hidden="1" customHeight="1">
      <c r="A232" s="96"/>
      <c r="B232" s="47"/>
      <c r="C232" s="120"/>
      <c r="S232" s="14"/>
      <c r="T232" s="14"/>
      <c r="U232" s="14"/>
      <c r="V232" s="97"/>
    </row>
    <row r="233" spans="1:22" ht="18" hidden="1" customHeight="1">
      <c r="A233" s="196"/>
      <c r="C233" s="27" t="s">
        <v>484</v>
      </c>
      <c r="D233" s="27" t="s">
        <v>540</v>
      </c>
      <c r="E233" s="861" t="s">
        <v>909</v>
      </c>
      <c r="F233" s="861"/>
      <c r="G233" s="27" t="s">
        <v>326</v>
      </c>
      <c r="H233" s="861" t="s">
        <v>910</v>
      </c>
      <c r="I233" s="861"/>
      <c r="J233" s="28" t="s">
        <v>683</v>
      </c>
      <c r="K233" s="27">
        <v>1</v>
      </c>
      <c r="L233" s="14" t="s">
        <v>358</v>
      </c>
      <c r="M233" s="14" t="s">
        <v>352</v>
      </c>
      <c r="N233" s="14" t="s">
        <v>911</v>
      </c>
      <c r="O233" s="27" t="s">
        <v>431</v>
      </c>
      <c r="P233" s="27" t="s">
        <v>358</v>
      </c>
      <c r="Q233" s="27" t="s">
        <v>419</v>
      </c>
      <c r="R233" s="30" t="s">
        <v>361</v>
      </c>
      <c r="V233" s="97"/>
    </row>
    <row r="234" spans="1:22" ht="18" hidden="1" customHeight="1">
      <c r="A234" s="196"/>
      <c r="C234" s="27" t="s">
        <v>484</v>
      </c>
      <c r="D234" s="27" t="s">
        <v>540</v>
      </c>
      <c r="E234" s="861">
        <f>T230</f>
        <v>0.6</v>
      </c>
      <c r="F234" s="861"/>
      <c r="G234" s="27" t="s">
        <v>326</v>
      </c>
      <c r="H234" s="1113" t="e">
        <f>T231</f>
        <v>#VALUE!</v>
      </c>
      <c r="I234" s="861"/>
      <c r="J234" s="28" t="s">
        <v>683</v>
      </c>
      <c r="K234" s="27">
        <v>1</v>
      </c>
      <c r="L234" s="14" t="s">
        <v>358</v>
      </c>
      <c r="M234" s="28">
        <f>T184</f>
        <v>50</v>
      </c>
      <c r="N234" s="14" t="s">
        <v>911</v>
      </c>
      <c r="O234" s="27">
        <f>T181</f>
        <v>10</v>
      </c>
      <c r="P234" s="27" t="s">
        <v>358</v>
      </c>
      <c r="Q234" s="230">
        <f xml:space="preserve"> T182</f>
        <v>1.46186744</v>
      </c>
      <c r="R234" s="30" t="s">
        <v>361</v>
      </c>
      <c r="V234" s="97"/>
    </row>
    <row r="235" spans="1:22" s="291" customFormat="1" ht="18" hidden="1" customHeight="1">
      <c r="A235" s="196"/>
      <c r="B235" s="30"/>
      <c r="C235" s="27" t="s">
        <v>484</v>
      </c>
      <c r="D235" s="27" t="s">
        <v>540</v>
      </c>
      <c r="E235" s="1168" t="e">
        <f>E234*H234*((K234+M234)*(O234+Q234))</f>
        <v>#VALUE!</v>
      </c>
      <c r="F235" s="1169"/>
      <c r="G235" s="14" t="s">
        <v>907</v>
      </c>
      <c r="H235" s="30"/>
      <c r="I235" s="30"/>
      <c r="J235" s="30"/>
      <c r="K235" s="30"/>
      <c r="L235" s="30"/>
      <c r="M235" s="30"/>
      <c r="N235" s="30"/>
      <c r="O235" s="30"/>
      <c r="P235" s="30"/>
      <c r="Q235" s="30"/>
      <c r="R235" s="30"/>
      <c r="S235" s="30"/>
      <c r="T235" s="30"/>
      <c r="U235" s="30"/>
      <c r="V235" s="97"/>
    </row>
    <row r="236" spans="1:22" s="291" customFormat="1" ht="18" hidden="1" customHeight="1">
      <c r="A236" s="557"/>
      <c r="B236" s="261"/>
      <c r="C236" s="261"/>
      <c r="D236" s="261"/>
      <c r="E236" s="261"/>
      <c r="F236" s="261"/>
      <c r="G236" s="14"/>
      <c r="H236" s="14"/>
      <c r="I236" s="14"/>
      <c r="J236" s="14"/>
      <c r="K236" s="14"/>
      <c r="L236" s="14"/>
      <c r="M236" s="120"/>
      <c r="N236" s="102"/>
      <c r="O236" s="47"/>
      <c r="P236" s="14"/>
      <c r="Q236" s="14"/>
      <c r="R236" s="14"/>
      <c r="S236" s="14"/>
      <c r="T236" s="14"/>
      <c r="U236" s="14"/>
      <c r="V236" s="97"/>
    </row>
    <row r="237" spans="1:22" s="291" customFormat="1" ht="18" hidden="1" customHeight="1">
      <c r="A237" s="96"/>
      <c r="B237" s="472" t="s">
        <v>914</v>
      </c>
      <c r="C237" s="28"/>
      <c r="D237" s="28"/>
      <c r="E237" s="14"/>
      <c r="F237" s="14"/>
      <c r="G237" s="120"/>
      <c r="H237" s="120"/>
      <c r="I237" s="47"/>
      <c r="J237" s="568"/>
      <c r="K237" s="14"/>
      <c r="L237" s="14"/>
      <c r="M237" s="912" t="e">
        <f>MAX(F213,H224,E235)</f>
        <v>#VALUE!</v>
      </c>
      <c r="N237" s="913"/>
      <c r="O237" s="14" t="s">
        <v>907</v>
      </c>
      <c r="P237" s="14"/>
      <c r="Q237" s="14"/>
      <c r="R237" s="14"/>
      <c r="S237" s="14"/>
      <c r="T237" s="14"/>
      <c r="U237" s="14"/>
      <c r="V237" s="97"/>
    </row>
    <row r="238" spans="1:22" s="291" customFormat="1" ht="18" hidden="1" customHeight="1">
      <c r="A238" s="205"/>
      <c r="B238" s="30"/>
      <c r="C238" s="30"/>
      <c r="D238" s="30"/>
      <c r="E238" s="30"/>
      <c r="F238" s="30"/>
      <c r="G238" s="30"/>
      <c r="H238" s="30"/>
      <c r="I238" s="14"/>
      <c r="J238" s="14"/>
      <c r="K238" s="14"/>
      <c r="L238" s="47"/>
      <c r="M238" s="47"/>
      <c r="N238" s="47"/>
      <c r="O238" s="47"/>
      <c r="P238" s="28"/>
      <c r="Q238" s="569"/>
      <c r="R238" s="47"/>
      <c r="S238" s="14"/>
      <c r="T238" s="14"/>
      <c r="U238" s="14"/>
      <c r="V238" s="97"/>
    </row>
    <row r="239" spans="1:22" s="291" customFormat="1" ht="18" hidden="1" customHeight="1">
      <c r="A239" s="196"/>
      <c r="B239" s="30"/>
      <c r="C239" s="30" t="s">
        <v>486</v>
      </c>
      <c r="D239" s="30"/>
      <c r="E239" s="30"/>
      <c r="F239" s="27" t="e">
        <f>IF(D240&gt;G240,"&gt;","&lt;")</f>
        <v>#VALUE!</v>
      </c>
      <c r="G239" s="30" t="s">
        <v>488</v>
      </c>
      <c r="H239" s="30"/>
      <c r="I239" s="30"/>
      <c r="J239" s="30"/>
      <c r="K239" s="30"/>
      <c r="L239" s="14"/>
      <c r="M239" s="14"/>
      <c r="N239" s="14"/>
      <c r="O239" s="14"/>
      <c r="P239" s="14"/>
      <c r="Q239" s="14"/>
      <c r="R239" s="14"/>
      <c r="S239" s="14"/>
      <c r="T239" s="14"/>
      <c r="U239" s="14"/>
      <c r="V239" s="97"/>
    </row>
    <row r="240" spans="1:22" s="291" customFormat="1" ht="18" hidden="1" customHeight="1">
      <c r="A240" s="196"/>
      <c r="B240" s="30"/>
      <c r="C240" s="30"/>
      <c r="D240" s="639">
        <f>J133</f>
        <v>3000</v>
      </c>
      <c r="E240" s="639"/>
      <c r="F240" s="27" t="e">
        <f>F239</f>
        <v>#VALUE!</v>
      </c>
      <c r="G240" s="873" t="e">
        <f>M237</f>
        <v>#VALUE!</v>
      </c>
      <c r="H240" s="873"/>
      <c r="I240" s="30"/>
      <c r="J240" s="30"/>
      <c r="K240" s="30"/>
      <c r="L240" s="14"/>
      <c r="M240" s="14"/>
      <c r="N240" s="28"/>
      <c r="O240" s="28"/>
      <c r="P240" s="28"/>
      <c r="Q240" s="120"/>
      <c r="R240" s="262"/>
      <c r="S240" s="198"/>
      <c r="T240" s="14"/>
      <c r="U240" s="14"/>
      <c r="V240" s="97"/>
    </row>
    <row r="241" spans="1:29" s="291" customFormat="1" ht="18" hidden="1" customHeight="1">
      <c r="A241" s="196"/>
      <c r="B241" s="30"/>
      <c r="C241" s="30"/>
      <c r="D241" s="30"/>
      <c r="E241" s="256" t="s">
        <v>489</v>
      </c>
      <c r="F241" s="30"/>
      <c r="G241" s="18" t="e">
        <f>IF(F239="&gt;","Suitably Dimensioned","Under Dimensioned")</f>
        <v>#VALUE!</v>
      </c>
      <c r="H241" s="30"/>
      <c r="I241" s="30"/>
      <c r="J241" s="30"/>
      <c r="K241" s="30"/>
      <c r="L241" s="14"/>
      <c r="M241" s="14"/>
      <c r="N241" s="28"/>
      <c r="O241" s="269"/>
      <c r="P241" s="14"/>
      <c r="Q241" s="14"/>
      <c r="R241" s="120"/>
      <c r="S241" s="28"/>
      <c r="T241" s="47"/>
      <c r="U241" s="14"/>
      <c r="V241" s="97"/>
    </row>
    <row r="242" spans="1:29" s="291" customFormat="1" ht="18" hidden="1" customHeight="1">
      <c r="A242" s="196"/>
      <c r="B242" s="30"/>
      <c r="C242" s="30"/>
      <c r="D242" s="30"/>
      <c r="E242" s="256"/>
      <c r="F242" s="30"/>
      <c r="G242" s="18"/>
      <c r="H242" s="30"/>
      <c r="I242" s="30"/>
      <c r="J242" s="30"/>
      <c r="K242" s="30"/>
      <c r="L242" s="14"/>
      <c r="M242" s="14"/>
      <c r="N242" s="28"/>
      <c r="O242" s="269"/>
      <c r="P242" s="14"/>
      <c r="Q242" s="14"/>
      <c r="R242" s="120"/>
      <c r="S242" s="28"/>
      <c r="T242" s="47"/>
      <c r="U242" s="14"/>
      <c r="V242" s="97"/>
    </row>
    <row r="243" spans="1:29" s="291" customFormat="1" ht="18" hidden="1" customHeight="1">
      <c r="A243" s="196"/>
      <c r="B243" s="30"/>
      <c r="C243" s="30"/>
      <c r="D243" s="30"/>
      <c r="E243" s="30"/>
      <c r="F243" s="30"/>
      <c r="G243" s="30"/>
      <c r="H243" s="30"/>
      <c r="I243" s="30"/>
      <c r="J243" s="30"/>
      <c r="K243" s="30"/>
      <c r="L243" s="28"/>
      <c r="M243" s="28"/>
      <c r="N243" s="28"/>
      <c r="O243" s="28"/>
      <c r="P243" s="28"/>
      <c r="Q243" s="230"/>
      <c r="R243" s="28"/>
      <c r="S243" s="28"/>
      <c r="T243" s="14"/>
      <c r="U243" s="28"/>
      <c r="V243" s="97"/>
    </row>
    <row r="244" spans="1:29" s="291" customFormat="1" ht="18" hidden="1" customHeight="1">
      <c r="A244" s="196"/>
      <c r="B244" s="30"/>
      <c r="C244" s="30"/>
      <c r="D244" s="30"/>
      <c r="E244" s="256"/>
      <c r="F244" s="30"/>
      <c r="G244" s="18"/>
      <c r="H244" s="30"/>
      <c r="I244" s="30"/>
      <c r="J244" s="30"/>
      <c r="K244" s="30"/>
      <c r="L244" s="14"/>
      <c r="M244" s="14"/>
      <c r="N244" s="28"/>
      <c r="O244" s="269"/>
      <c r="P244" s="14"/>
      <c r="Q244" s="14"/>
      <c r="R244" s="120"/>
      <c r="S244" s="28"/>
      <c r="T244" s="47"/>
      <c r="U244" s="14"/>
      <c r="V244" s="97"/>
    </row>
    <row r="245" spans="1:29" s="291" customFormat="1" ht="18" hidden="1" customHeight="1">
      <c r="A245" s="205"/>
      <c r="B245" s="14"/>
      <c r="C245" s="27"/>
      <c r="D245" s="230"/>
      <c r="E245" s="216"/>
      <c r="F245" s="14"/>
      <c r="G245" s="14"/>
      <c r="H245" s="14"/>
      <c r="I245" s="14"/>
      <c r="J245" s="120"/>
      <c r="K245" s="120"/>
      <c r="L245" s="14"/>
      <c r="M245" s="14"/>
      <c r="N245" s="28"/>
      <c r="O245" s="269"/>
      <c r="P245" s="14"/>
      <c r="Q245" s="14"/>
      <c r="R245" s="120"/>
      <c r="S245" s="28"/>
      <c r="T245" s="47"/>
      <c r="U245" s="14"/>
      <c r="V245" s="97"/>
    </row>
    <row r="246" spans="1:29" s="291" customFormat="1" ht="18" hidden="1" customHeight="1">
      <c r="A246" s="205"/>
      <c r="B246" s="14"/>
      <c r="C246" s="27"/>
      <c r="D246" s="230"/>
      <c r="E246" s="216"/>
      <c r="F246" s="14"/>
      <c r="G246" s="14"/>
      <c r="H246" s="14"/>
      <c r="I246" s="14"/>
      <c r="J246" s="120"/>
      <c r="K246" s="120"/>
      <c r="L246" s="14"/>
      <c r="M246" s="14"/>
      <c r="N246" s="28"/>
      <c r="O246" s="269"/>
      <c r="P246" s="14"/>
      <c r="Q246" s="14"/>
      <c r="R246" s="120"/>
      <c r="S246" s="28"/>
      <c r="T246" s="47"/>
      <c r="U246" s="14"/>
      <c r="V246" s="97"/>
    </row>
    <row r="247" spans="1:29" s="291" customFormat="1" ht="18" hidden="1" customHeight="1">
      <c r="A247" s="205"/>
      <c r="B247" s="14"/>
      <c r="C247" s="27"/>
      <c r="D247" s="230"/>
      <c r="E247" s="216"/>
      <c r="F247" s="14"/>
      <c r="G247" s="14"/>
      <c r="H247" s="14"/>
      <c r="I247" s="14"/>
      <c r="J247" s="120"/>
      <c r="K247" s="120"/>
      <c r="L247" s="14"/>
      <c r="M247" s="14"/>
      <c r="N247" s="28"/>
      <c r="O247" s="269"/>
      <c r="P247" s="14"/>
      <c r="Q247" s="14"/>
      <c r="R247" s="120"/>
      <c r="S247" s="28"/>
      <c r="T247" s="47"/>
      <c r="U247" s="14"/>
      <c r="V247" s="97"/>
    </row>
    <row r="248" spans="1:29" s="14" customFormat="1" ht="18" hidden="1" customHeight="1">
      <c r="A248" s="206"/>
      <c r="B248" s="207"/>
      <c r="C248" s="207"/>
      <c r="D248" s="207"/>
      <c r="E248" s="207"/>
      <c r="F248" s="207"/>
      <c r="G248" s="207"/>
      <c r="H248" s="207"/>
      <c r="I248" s="207"/>
      <c r="J248" s="207"/>
      <c r="K248" s="207"/>
      <c r="L248" s="207"/>
      <c r="M248" s="207"/>
      <c r="N248" s="207"/>
      <c r="O248" s="207"/>
      <c r="P248" s="207"/>
      <c r="Q248" s="236"/>
      <c r="R248" s="194"/>
      <c r="S248" s="237"/>
      <c r="T248" s="207"/>
      <c r="U248" s="207"/>
      <c r="V248" s="140"/>
    </row>
    <row r="249" spans="1:29" ht="18" hidden="1" customHeight="1">
      <c r="A249" s="238"/>
      <c r="B249" s="239"/>
      <c r="C249" s="239"/>
      <c r="D249" s="239"/>
      <c r="E249" s="239"/>
      <c r="F249" s="239"/>
      <c r="G249" s="239"/>
      <c r="H249" s="239"/>
      <c r="I249" s="239"/>
      <c r="J249" s="239"/>
      <c r="K249" s="239"/>
      <c r="L249" s="239"/>
      <c r="M249" s="239"/>
      <c r="N249" s="239"/>
      <c r="O249" s="239"/>
      <c r="P249" s="239"/>
      <c r="Q249" s="239"/>
      <c r="R249" s="239"/>
      <c r="S249" s="239"/>
      <c r="T249" s="239"/>
      <c r="U249" s="239"/>
      <c r="V249" s="240"/>
    </row>
    <row r="250" spans="1:29" ht="18" hidden="1" customHeight="1">
      <c r="A250" s="196"/>
      <c r="B250" s="650" t="str">
        <f>B127</f>
        <v>T1</v>
      </c>
      <c r="C250" s="651"/>
      <c r="D250" s="663" t="str">
        <f>D127</f>
        <v>Core2</v>
      </c>
      <c r="E250" s="664"/>
      <c r="F250" s="1182">
        <f>F127</f>
        <v>0</v>
      </c>
      <c r="G250" s="1182"/>
      <c r="H250" s="638">
        <f>H127</f>
        <v>0</v>
      </c>
      <c r="I250" s="638"/>
      <c r="J250" s="638"/>
      <c r="K250" s="638"/>
      <c r="L250" s="638"/>
      <c r="M250" s="638"/>
      <c r="P250" s="198"/>
      <c r="S250" s="199" t="s">
        <v>398</v>
      </c>
      <c r="T250" s="650" t="str">
        <f>T127</f>
        <v>P545</v>
      </c>
      <c r="U250" s="651"/>
      <c r="V250" s="197"/>
    </row>
    <row r="251" spans="1:29" ht="18" hidden="1" customHeight="1">
      <c r="A251" s="196"/>
      <c r="B251" s="660">
        <f>B128</f>
        <v>0</v>
      </c>
      <c r="C251" s="660"/>
      <c r="D251" s="665"/>
      <c r="E251" s="666"/>
      <c r="F251" s="468"/>
      <c r="T251" s="650">
        <f>T128</f>
        <v>0</v>
      </c>
      <c r="U251" s="651"/>
      <c r="V251" s="197"/>
    </row>
    <row r="252" spans="1:29" ht="18" hidden="1" customHeight="1">
      <c r="A252" s="196"/>
      <c r="H252" s="661" t="s">
        <v>401</v>
      </c>
      <c r="I252" s="661"/>
      <c r="J252" s="661" t="s">
        <v>402</v>
      </c>
      <c r="K252" s="661"/>
      <c r="L252" s="662" t="s">
        <v>403</v>
      </c>
      <c r="M252" s="662"/>
      <c r="T252" s="650">
        <f>T129</f>
        <v>0</v>
      </c>
      <c r="U252" s="651"/>
      <c r="V252" s="197"/>
    </row>
    <row r="253" spans="1:29" ht="18" hidden="1" customHeight="1">
      <c r="A253" s="196"/>
      <c r="B253" s="47" t="s">
        <v>404</v>
      </c>
      <c r="H253" s="650">
        <f>H130</f>
        <v>2500</v>
      </c>
      <c r="I253" s="651"/>
      <c r="J253" s="650" t="str">
        <f>J130</f>
        <v>-</v>
      </c>
      <c r="K253" s="651"/>
      <c r="L253" s="652" t="str">
        <f>L130</f>
        <v>-</v>
      </c>
      <c r="M253" s="653"/>
      <c r="N253" s="203" t="s">
        <v>353</v>
      </c>
      <c r="O253" s="268">
        <f>O130</f>
        <v>1</v>
      </c>
      <c r="P253" s="27" t="s">
        <v>9</v>
      </c>
      <c r="V253" s="197"/>
    </row>
    <row r="254" spans="1:29" ht="18" hidden="1" customHeight="1">
      <c r="A254" s="196"/>
      <c r="B254" s="47" t="s">
        <v>405</v>
      </c>
      <c r="L254" s="650" t="str">
        <f>J131</f>
        <v>PX-A</v>
      </c>
      <c r="M254" s="651"/>
      <c r="V254" s="197"/>
    </row>
    <row r="255" spans="1:29" ht="18" hidden="1" customHeight="1">
      <c r="A255" s="196"/>
      <c r="B255" s="47" t="s">
        <v>407</v>
      </c>
      <c r="K255" s="120" t="s">
        <v>508</v>
      </c>
      <c r="L255" s="940" t="s">
        <v>7</v>
      </c>
      <c r="M255" s="941"/>
      <c r="N255" s="204" t="s">
        <v>344</v>
      </c>
      <c r="V255" s="197"/>
    </row>
    <row r="256" spans="1:29" ht="18" hidden="1" customHeight="1">
      <c r="A256" s="196"/>
      <c r="B256" s="47" t="s">
        <v>409</v>
      </c>
      <c r="K256" s="120" t="s">
        <v>509</v>
      </c>
      <c r="L256" s="940" t="s">
        <v>7</v>
      </c>
      <c r="M256" s="941"/>
      <c r="N256" s="14" t="s">
        <v>316</v>
      </c>
      <c r="V256" s="197"/>
      <c r="W256" s="30" t="s">
        <v>411</v>
      </c>
      <c r="AB256" s="996" t="e">
        <f>M366</f>
        <v>#VALUE!</v>
      </c>
      <c r="AC256" s="997"/>
    </row>
    <row r="257" spans="1:22" ht="18" hidden="1" customHeight="1">
      <c r="A257" s="196"/>
      <c r="B257" s="14" t="s">
        <v>412</v>
      </c>
      <c r="K257" s="120" t="s">
        <v>413</v>
      </c>
      <c r="L257" s="940" t="s">
        <v>7</v>
      </c>
      <c r="M257" s="941"/>
      <c r="N257" s="14" t="s">
        <v>414</v>
      </c>
      <c r="V257" s="197"/>
    </row>
    <row r="258" spans="1:22" ht="18" hidden="1" customHeight="1">
      <c r="A258" s="196"/>
      <c r="V258" s="197"/>
    </row>
    <row r="259" spans="1:22" ht="18" hidden="1" customHeight="1">
      <c r="A259" s="205" t="s">
        <v>415</v>
      </c>
      <c r="V259" s="197"/>
    </row>
    <row r="260" spans="1:22" ht="18" hidden="1" customHeight="1">
      <c r="A260" s="196"/>
      <c r="V260" s="197"/>
    </row>
    <row r="261" spans="1:22" ht="18" hidden="1" customHeight="1">
      <c r="A261" s="196"/>
      <c r="B261" s="206" t="s">
        <v>416</v>
      </c>
      <c r="C261" s="207"/>
      <c r="D261" s="207" t="str">
        <f>T250</f>
        <v>P545</v>
      </c>
      <c r="E261" s="208"/>
      <c r="F261" s="208"/>
      <c r="G261" s="208"/>
      <c r="H261" s="194" t="s">
        <v>417</v>
      </c>
      <c r="I261" s="195" t="s">
        <v>138</v>
      </c>
      <c r="J261" s="897">
        <f>J138</f>
        <v>0.02</v>
      </c>
      <c r="K261" s="649"/>
      <c r="L261" s="214" t="s">
        <v>168</v>
      </c>
      <c r="V261" s="197"/>
    </row>
    <row r="262" spans="1:22" ht="18" hidden="1" customHeight="1">
      <c r="A262" s="196"/>
      <c r="B262" s="196" t="s">
        <v>416</v>
      </c>
      <c r="D262" s="308">
        <f>T251</f>
        <v>0</v>
      </c>
      <c r="I262" s="28" t="s">
        <v>138</v>
      </c>
      <c r="J262" s="897">
        <f>J139</f>
        <v>0</v>
      </c>
      <c r="K262" s="797"/>
      <c r="L262" s="309" t="s">
        <v>168</v>
      </c>
      <c r="V262" s="197"/>
    </row>
    <row r="263" spans="1:22" ht="18" hidden="1" customHeight="1">
      <c r="A263" s="196"/>
      <c r="B263" s="196" t="s">
        <v>416</v>
      </c>
      <c r="D263" s="308">
        <f>T252</f>
        <v>0</v>
      </c>
      <c r="E263" s="14"/>
      <c r="G263" s="211"/>
      <c r="H263" s="27"/>
      <c r="I263" s="101" t="s">
        <v>138</v>
      </c>
      <c r="J263" s="644">
        <f>J140</f>
        <v>0</v>
      </c>
      <c r="K263" s="800"/>
      <c r="L263" s="439" t="s">
        <v>168</v>
      </c>
      <c r="V263" s="197"/>
    </row>
    <row r="264" spans="1:22" ht="18" hidden="1" customHeight="1">
      <c r="A264" s="196"/>
      <c r="B264" s="196" t="s">
        <v>423</v>
      </c>
      <c r="H264" s="27"/>
      <c r="I264" s="189" t="s">
        <v>138</v>
      </c>
      <c r="J264" s="1042">
        <f>J141</f>
        <v>1.44186744</v>
      </c>
      <c r="K264" s="1186"/>
      <c r="L264" s="439" t="s">
        <v>168</v>
      </c>
      <c r="V264" s="197"/>
    </row>
    <row r="265" spans="1:22" ht="18" hidden="1" customHeight="1">
      <c r="A265" s="196"/>
      <c r="B265" s="217" t="s">
        <v>424</v>
      </c>
      <c r="C265" s="218"/>
      <c r="D265" s="218"/>
      <c r="E265" s="218"/>
      <c r="F265" s="219"/>
      <c r="G265" s="219"/>
      <c r="H265" s="202" t="s">
        <v>420</v>
      </c>
      <c r="I265" s="220" t="s">
        <v>138</v>
      </c>
      <c r="J265" s="897">
        <f>SUM(J262:K264)</f>
        <v>1.44186744</v>
      </c>
      <c r="K265" s="797"/>
      <c r="L265" s="441" t="s">
        <v>168</v>
      </c>
      <c r="V265" s="197"/>
    </row>
    <row r="266" spans="1:22" ht="18" hidden="1" customHeight="1">
      <c r="A266" s="196"/>
      <c r="B266" s="47"/>
      <c r="C266" s="47"/>
      <c r="D266" s="47"/>
      <c r="E266" s="47"/>
      <c r="H266" s="27"/>
      <c r="I266" s="28"/>
      <c r="J266" s="211"/>
      <c r="L266" s="47"/>
      <c r="O266" s="27"/>
      <c r="P266" s="223"/>
      <c r="Q266" s="223"/>
      <c r="R266" s="204"/>
      <c r="V266" s="197"/>
    </row>
    <row r="267" spans="1:22" ht="18" hidden="1" customHeight="1">
      <c r="A267" s="196"/>
      <c r="B267" s="209" t="s">
        <v>659</v>
      </c>
      <c r="L267" s="47"/>
      <c r="M267" s="209" t="s">
        <v>418</v>
      </c>
      <c r="V267" s="197"/>
    </row>
    <row r="268" spans="1:22" ht="18" hidden="1" customHeight="1">
      <c r="A268" s="196"/>
      <c r="B268" s="257" t="s">
        <v>660</v>
      </c>
      <c r="C268" s="257" t="s">
        <v>138</v>
      </c>
      <c r="D268" s="254" t="s">
        <v>417</v>
      </c>
      <c r="E268" s="559" t="s">
        <v>421</v>
      </c>
      <c r="F268" s="257" t="s">
        <v>157</v>
      </c>
      <c r="G268" s="233" t="s">
        <v>326</v>
      </c>
      <c r="H268" s="234" t="s">
        <v>157</v>
      </c>
      <c r="I268" s="254" t="s">
        <v>361</v>
      </c>
      <c r="J268" s="516"/>
      <c r="K268" s="254"/>
      <c r="L268" s="560"/>
      <c r="M268" s="254" t="s">
        <v>419</v>
      </c>
      <c r="N268" s="257" t="s">
        <v>138</v>
      </c>
      <c r="O268" s="254" t="s">
        <v>420</v>
      </c>
      <c r="P268" s="561" t="s">
        <v>421</v>
      </c>
      <c r="Q268" s="556" t="s">
        <v>422</v>
      </c>
      <c r="R268" s="257" t="s">
        <v>326</v>
      </c>
      <c r="S268" s="254" t="s">
        <v>422</v>
      </c>
      <c r="T268" s="254" t="s">
        <v>361</v>
      </c>
      <c r="V268" s="197"/>
    </row>
    <row r="269" spans="1:22" ht="18" hidden="1" customHeight="1">
      <c r="A269" s="196"/>
      <c r="B269" s="560"/>
      <c r="C269" s="257" t="s">
        <v>138</v>
      </c>
      <c r="D269" s="313">
        <f>J261</f>
        <v>0.02</v>
      </c>
      <c r="E269" s="561" t="s">
        <v>421</v>
      </c>
      <c r="F269" s="257">
        <f>F146</f>
        <v>1</v>
      </c>
      <c r="G269" s="257" t="s">
        <v>326</v>
      </c>
      <c r="H269" s="257">
        <f>H146</f>
        <v>1</v>
      </c>
      <c r="I269" s="254" t="s">
        <v>361</v>
      </c>
      <c r="J269" s="516"/>
      <c r="K269" s="254"/>
      <c r="L269" s="560"/>
      <c r="M269" s="254"/>
      <c r="N269" s="257" t="s">
        <v>138</v>
      </c>
      <c r="O269" s="313">
        <f>J265</f>
        <v>1.44186744</v>
      </c>
      <c r="P269" s="561" t="s">
        <v>421</v>
      </c>
      <c r="Q269" s="257">
        <f>O253</f>
        <v>1</v>
      </c>
      <c r="R269" s="257" t="s">
        <v>326</v>
      </c>
      <c r="S269" s="257">
        <f>O253</f>
        <v>1</v>
      </c>
      <c r="T269" s="254" t="s">
        <v>361</v>
      </c>
      <c r="V269" s="197"/>
    </row>
    <row r="270" spans="1:22" ht="18" hidden="1" customHeight="1">
      <c r="A270" s="196"/>
      <c r="B270" s="560"/>
      <c r="C270" s="257" t="s">
        <v>138</v>
      </c>
      <c r="D270" s="640">
        <f>D269/(F269*H269)</f>
        <v>0.02</v>
      </c>
      <c r="E270" s="640"/>
      <c r="F270" s="562" t="s">
        <v>344</v>
      </c>
      <c r="G270" s="254"/>
      <c r="H270" s="254"/>
      <c r="I270" s="254"/>
      <c r="J270" s="516"/>
      <c r="K270" s="254"/>
      <c r="L270" s="560"/>
      <c r="M270" s="254"/>
      <c r="N270" s="257" t="s">
        <v>138</v>
      </c>
      <c r="O270" s="640">
        <f>O269/(Q269*S269)</f>
        <v>1.44186744</v>
      </c>
      <c r="P270" s="640"/>
      <c r="Q270" s="562" t="s">
        <v>344</v>
      </c>
      <c r="R270" s="254"/>
      <c r="S270" s="254"/>
      <c r="T270" s="254"/>
      <c r="V270" s="197"/>
    </row>
    <row r="271" spans="1:22" ht="18" hidden="1" customHeight="1">
      <c r="A271" s="196"/>
      <c r="B271" s="47"/>
      <c r="C271" s="47"/>
      <c r="D271" s="47"/>
      <c r="E271" s="47"/>
      <c r="H271" s="27"/>
      <c r="I271" s="28"/>
      <c r="J271" s="211"/>
      <c r="L271" s="47"/>
      <c r="O271" s="27"/>
      <c r="P271" s="223"/>
      <c r="Q271" s="223"/>
      <c r="R271" s="204"/>
      <c r="V271" s="197"/>
    </row>
    <row r="272" spans="1:22" ht="18" hidden="1" customHeight="1">
      <c r="A272" s="196"/>
      <c r="B272" s="47" t="s">
        <v>874</v>
      </c>
      <c r="C272" s="47"/>
      <c r="D272" s="47"/>
      <c r="E272" s="47"/>
      <c r="H272" s="27"/>
      <c r="I272" s="28"/>
      <c r="J272" s="211"/>
      <c r="L272" s="28" t="s">
        <v>138</v>
      </c>
      <c r="M272" s="313">
        <f>D270</f>
        <v>0.02</v>
      </c>
      <c r="N272" s="257" t="s">
        <v>358</v>
      </c>
      <c r="O272" s="555">
        <f>O270</f>
        <v>1.44186744</v>
      </c>
      <c r="P272" s="555" t="s">
        <v>138</v>
      </c>
      <c r="Q272" s="555">
        <f>M272+O272</f>
        <v>1.46186744</v>
      </c>
      <c r="R272" s="204" t="s">
        <v>344</v>
      </c>
      <c r="V272" s="197"/>
    </row>
    <row r="273" spans="1:22" ht="18" hidden="1" customHeight="1">
      <c r="A273" s="284"/>
      <c r="V273" s="197"/>
    </row>
    <row r="274" spans="1:22" ht="18" hidden="1" customHeight="1">
      <c r="A274" s="116" t="s">
        <v>425</v>
      </c>
      <c r="B274" s="47"/>
      <c r="D274" s="47"/>
      <c r="E274" s="47"/>
      <c r="H274" s="27"/>
      <c r="I274" s="28"/>
      <c r="J274" s="211"/>
      <c r="L274" s="47"/>
      <c r="M274" s="313"/>
      <c r="N274" s="257"/>
      <c r="O274" s="555"/>
      <c r="P274" s="555"/>
      <c r="Q274" s="555"/>
      <c r="R274" s="204"/>
      <c r="V274" s="197"/>
    </row>
    <row r="275" spans="1:22" ht="18" hidden="1" customHeight="1">
      <c r="A275" s="284" t="s">
        <v>875</v>
      </c>
      <c r="V275" s="197"/>
    </row>
    <row r="276" spans="1:22" ht="18" hidden="1" customHeight="1">
      <c r="A276" s="196"/>
      <c r="B276" s="30" t="s">
        <v>484</v>
      </c>
      <c r="C276" s="27" t="s">
        <v>540</v>
      </c>
      <c r="D276" s="27" t="s">
        <v>876</v>
      </c>
      <c r="E276" s="27" t="s">
        <v>326</v>
      </c>
      <c r="F276" s="27" t="s">
        <v>522</v>
      </c>
      <c r="G276" s="27" t="s">
        <v>383</v>
      </c>
      <c r="H276" s="27" t="s">
        <v>431</v>
      </c>
      <c r="I276" s="27" t="s">
        <v>358</v>
      </c>
      <c r="J276" s="27" t="s">
        <v>877</v>
      </c>
      <c r="K276" s="30" t="s">
        <v>361</v>
      </c>
      <c r="U276" s="30" t="s">
        <v>878</v>
      </c>
      <c r="V276" s="197"/>
    </row>
    <row r="277" spans="1:22" ht="18" hidden="1" customHeight="1">
      <c r="A277" s="196"/>
      <c r="V277" s="197"/>
    </row>
    <row r="278" spans="1:22" ht="18" hidden="1" customHeight="1">
      <c r="A278" s="1002" t="s">
        <v>879</v>
      </c>
      <c r="B278" s="965"/>
      <c r="C278" s="965"/>
      <c r="D278" s="965"/>
      <c r="E278" s="965"/>
      <c r="F278" s="965"/>
      <c r="G278" s="965"/>
      <c r="H278" s="965"/>
      <c r="I278" s="965"/>
      <c r="J278" s="965"/>
      <c r="K278" s="965"/>
      <c r="L278" s="965"/>
      <c r="M278" s="965"/>
      <c r="N278" s="965"/>
      <c r="O278" s="965"/>
      <c r="P278" s="965"/>
      <c r="Q278" s="965"/>
      <c r="R278" s="965"/>
      <c r="S278" s="965"/>
      <c r="T278" s="965"/>
      <c r="U278" s="965"/>
      <c r="V278" s="966"/>
    </row>
    <row r="279" spans="1:22" ht="18" hidden="1" customHeight="1">
      <c r="A279" s="967"/>
      <c r="B279" s="965"/>
      <c r="C279" s="965"/>
      <c r="D279" s="965"/>
      <c r="E279" s="965"/>
      <c r="F279" s="965"/>
      <c r="G279" s="965"/>
      <c r="H279" s="965"/>
      <c r="I279" s="965"/>
      <c r="J279" s="965"/>
      <c r="K279" s="965"/>
      <c r="L279" s="965"/>
      <c r="M279" s="965"/>
      <c r="N279" s="965"/>
      <c r="O279" s="965"/>
      <c r="P279" s="965"/>
      <c r="Q279" s="965"/>
      <c r="R279" s="965"/>
      <c r="S279" s="965"/>
      <c r="T279" s="965"/>
      <c r="U279" s="965"/>
      <c r="V279" s="966"/>
    </row>
    <row r="280" spans="1:22" ht="18" hidden="1" customHeight="1">
      <c r="A280" s="925">
        <v>1</v>
      </c>
      <c r="B280" s="1176" t="s">
        <v>880</v>
      </c>
      <c r="C280" s="1176"/>
      <c r="D280" s="1176"/>
      <c r="E280" s="1176"/>
      <c r="F280" s="1176"/>
      <c r="G280" s="1176"/>
      <c r="H280" s="1176"/>
      <c r="I280" s="1176"/>
      <c r="J280" s="1176"/>
      <c r="K280" s="1176"/>
      <c r="L280" s="1176"/>
      <c r="M280" s="1176"/>
      <c r="N280" s="1176"/>
      <c r="O280" s="1176"/>
      <c r="P280" s="1176"/>
      <c r="Q280" s="1176"/>
      <c r="R280" s="1176"/>
      <c r="S280" s="1176"/>
      <c r="T280" s="1176"/>
      <c r="U280" s="1176"/>
      <c r="V280" s="1177"/>
    </row>
    <row r="281" spans="1:22" ht="18" hidden="1" customHeight="1">
      <c r="A281" s="925"/>
      <c r="B281" s="1176"/>
      <c r="C281" s="1176"/>
      <c r="D281" s="1176"/>
      <c r="E281" s="1176"/>
      <c r="F281" s="1176"/>
      <c r="G281" s="1176"/>
      <c r="H281" s="1176"/>
      <c r="I281" s="1176"/>
      <c r="J281" s="1176"/>
      <c r="K281" s="1176"/>
      <c r="L281" s="1176"/>
      <c r="M281" s="1176"/>
      <c r="N281" s="1176"/>
      <c r="O281" s="1176"/>
      <c r="P281" s="1176"/>
      <c r="Q281" s="1176"/>
      <c r="R281" s="1176"/>
      <c r="S281" s="1176"/>
      <c r="T281" s="1176"/>
      <c r="U281" s="1176"/>
      <c r="V281" s="1177"/>
    </row>
    <row r="282" spans="1:22" ht="18" hidden="1" customHeight="1">
      <c r="A282" s="96"/>
      <c r="B282" s="120" t="s">
        <v>881</v>
      </c>
      <c r="C282" s="120" t="s">
        <v>430</v>
      </c>
      <c r="D282" s="638" t="s">
        <v>882</v>
      </c>
      <c r="E282" s="985"/>
      <c r="F282" s="28" t="s">
        <v>326</v>
      </c>
      <c r="G282" s="28" t="s">
        <v>352</v>
      </c>
      <c r="H282" s="47" t="s">
        <v>361</v>
      </c>
      <c r="I282" s="166" t="s">
        <v>710</v>
      </c>
      <c r="J282" s="120" t="s">
        <v>430</v>
      </c>
      <c r="K282" s="233">
        <v>1000</v>
      </c>
      <c r="L282" s="28" t="s">
        <v>326</v>
      </c>
      <c r="M282" s="28" t="s">
        <v>522</v>
      </c>
      <c r="N282" s="47" t="s">
        <v>361</v>
      </c>
      <c r="O282" s="28"/>
      <c r="P282" s="28"/>
      <c r="Q282" s="28"/>
      <c r="R282" s="28"/>
      <c r="S282" s="28"/>
      <c r="T282" s="291"/>
      <c r="U282" s="14" t="s">
        <v>883</v>
      </c>
      <c r="V282" s="97"/>
    </row>
    <row r="283" spans="1:22" ht="18" hidden="1" customHeight="1">
      <c r="A283" s="311"/>
      <c r="B283" s="291"/>
      <c r="C283" s="14" t="s">
        <v>884</v>
      </c>
      <c r="D283" s="291"/>
      <c r="E283" s="291"/>
      <c r="F283" s="291"/>
      <c r="G283" s="291"/>
      <c r="H283" s="291"/>
      <c r="I283" s="291"/>
      <c r="J283" s="291"/>
      <c r="K283" s="291"/>
      <c r="L283" s="291"/>
      <c r="M283" s="28"/>
      <c r="N283" s="28"/>
      <c r="O283" s="28"/>
      <c r="P283" s="28"/>
      <c r="Q283" s="28"/>
      <c r="R283" s="28"/>
      <c r="S283" s="28"/>
      <c r="T283" s="14"/>
      <c r="U283" s="28"/>
      <c r="V283" s="97"/>
    </row>
    <row r="284" spans="1:22" ht="18" hidden="1" customHeight="1">
      <c r="A284" s="311"/>
      <c r="B284" s="291"/>
      <c r="C284" s="14"/>
      <c r="D284" s="28" t="s">
        <v>876</v>
      </c>
      <c r="E284" s="28" t="s">
        <v>540</v>
      </c>
      <c r="F284" s="28">
        <v>40</v>
      </c>
      <c r="G284" s="28" t="s">
        <v>358</v>
      </c>
      <c r="H284" s="233">
        <v>7.0000000000000007E-2</v>
      </c>
      <c r="I284" s="28" t="s">
        <v>683</v>
      </c>
      <c r="J284" s="638" t="s">
        <v>882</v>
      </c>
      <c r="K284" s="985"/>
      <c r="L284" s="28" t="s">
        <v>326</v>
      </c>
      <c r="M284" s="28" t="s">
        <v>352</v>
      </c>
      <c r="N284" s="47" t="s">
        <v>361</v>
      </c>
      <c r="O284" s="28"/>
      <c r="P284" s="28"/>
      <c r="Q284" s="28"/>
      <c r="R284" s="28"/>
      <c r="S284" s="28"/>
      <c r="T284" s="14"/>
      <c r="U284" s="28"/>
      <c r="V284" s="97"/>
    </row>
    <row r="285" spans="1:22" ht="18" hidden="1" customHeight="1">
      <c r="A285" s="337"/>
      <c r="B285" s="28"/>
      <c r="C285" s="28" t="s">
        <v>885</v>
      </c>
      <c r="D285" s="28" t="s">
        <v>876</v>
      </c>
      <c r="E285" s="28" t="s">
        <v>540</v>
      </c>
      <c r="F285" s="28">
        <v>65</v>
      </c>
      <c r="G285" s="14"/>
      <c r="H285" s="14"/>
      <c r="I285" s="120"/>
      <c r="J285" s="28"/>
      <c r="K285" s="28"/>
      <c r="L285" s="28"/>
      <c r="M285" s="28"/>
      <c r="N285" s="28"/>
      <c r="O285" s="28"/>
      <c r="P285" s="28"/>
      <c r="Q285" s="28"/>
      <c r="R285" s="28"/>
      <c r="S285" s="28"/>
      <c r="T285" s="14"/>
      <c r="U285" s="28"/>
      <c r="V285" s="97"/>
    </row>
    <row r="286" spans="1:22" ht="18" hidden="1" customHeight="1">
      <c r="A286" s="96"/>
      <c r="B286" s="28"/>
      <c r="C286" s="28"/>
      <c r="D286" s="14"/>
      <c r="E286" s="14"/>
      <c r="F286" s="14"/>
      <c r="G286" s="120"/>
      <c r="H286" s="28"/>
      <c r="I286" s="28"/>
      <c r="J286" s="28"/>
      <c r="K286" s="28"/>
      <c r="L286" s="28"/>
      <c r="M286" s="28"/>
      <c r="N286" s="28"/>
      <c r="O286" s="28"/>
      <c r="P286" s="28"/>
      <c r="Q286" s="28"/>
      <c r="R286" s="28"/>
      <c r="S286" s="28"/>
      <c r="T286" s="14"/>
      <c r="U286" s="28"/>
      <c r="V286" s="97"/>
    </row>
    <row r="287" spans="1:22" ht="18" hidden="1" customHeight="1">
      <c r="A287" s="96"/>
      <c r="B287" s="28"/>
      <c r="C287" s="28"/>
      <c r="D287" s="14"/>
      <c r="E287" s="14"/>
      <c r="F287" s="14"/>
      <c r="G287" s="120"/>
      <c r="H287" s="28"/>
      <c r="I287" s="28"/>
      <c r="J287" s="28"/>
      <c r="K287" s="28"/>
      <c r="L287" s="28"/>
      <c r="M287" s="28"/>
      <c r="N287" s="28"/>
      <c r="O287" s="28"/>
      <c r="P287" s="28"/>
      <c r="Q287" s="28"/>
      <c r="R287" s="28"/>
      <c r="S287" s="28"/>
      <c r="T287" s="14"/>
      <c r="U287" s="28"/>
      <c r="V287" s="97"/>
    </row>
    <row r="288" spans="1:22" ht="18" hidden="1" customHeight="1">
      <c r="A288" s="96"/>
      <c r="B288" s="28"/>
      <c r="C288" s="28"/>
      <c r="D288" s="14"/>
      <c r="E288" s="14"/>
      <c r="F288" s="14"/>
      <c r="G288" s="120"/>
      <c r="H288" s="28"/>
      <c r="I288" s="28"/>
      <c r="J288" s="28"/>
      <c r="K288" s="28"/>
      <c r="L288" s="28"/>
      <c r="M288" s="28"/>
      <c r="N288" s="28"/>
      <c r="O288" s="28"/>
      <c r="P288" s="28"/>
      <c r="Q288" s="28"/>
      <c r="R288" s="28"/>
      <c r="S288" s="28"/>
      <c r="T288" s="14"/>
      <c r="U288" s="28"/>
      <c r="V288" s="97"/>
    </row>
    <row r="289" spans="1:22" ht="18" hidden="1" customHeight="1">
      <c r="A289" s="96"/>
      <c r="B289" s="28"/>
      <c r="C289" s="28"/>
      <c r="D289" s="14"/>
      <c r="E289" s="14"/>
      <c r="F289" s="14"/>
      <c r="G289" s="120"/>
      <c r="H289" s="28"/>
      <c r="I289" s="28"/>
      <c r="J289" s="28"/>
      <c r="K289" s="28"/>
      <c r="L289" s="28"/>
      <c r="M289" s="28"/>
      <c r="N289" s="28"/>
      <c r="O289" s="28"/>
      <c r="P289" s="28"/>
      <c r="Q289" s="28"/>
      <c r="R289" s="28"/>
      <c r="S289" s="28"/>
      <c r="T289" s="14"/>
      <c r="U289" s="28"/>
      <c r="V289" s="97"/>
    </row>
    <row r="290" spans="1:22" ht="18" hidden="1" customHeight="1">
      <c r="A290" s="96"/>
      <c r="B290" s="28"/>
      <c r="C290" s="28"/>
      <c r="D290" s="14"/>
      <c r="E290" s="14"/>
      <c r="F290" s="14"/>
      <c r="G290" s="120"/>
      <c r="H290" s="28"/>
      <c r="I290" s="28"/>
      <c r="J290" s="28"/>
      <c r="K290" s="28"/>
      <c r="L290" s="28"/>
      <c r="M290" s="28"/>
      <c r="N290" s="28"/>
      <c r="O290" s="28"/>
      <c r="P290" s="28"/>
      <c r="Q290" s="28"/>
      <c r="R290" s="28"/>
      <c r="S290" s="28"/>
      <c r="T290" s="14"/>
      <c r="U290" s="28"/>
      <c r="V290" s="97"/>
    </row>
    <row r="291" spans="1:22" ht="18" hidden="1" customHeight="1">
      <c r="A291" s="96"/>
      <c r="B291" s="28"/>
      <c r="C291" s="28"/>
      <c r="D291" s="14"/>
      <c r="E291" s="14"/>
      <c r="F291" s="14"/>
      <c r="G291" s="120"/>
      <c r="H291" s="28"/>
      <c r="I291" s="28"/>
      <c r="J291" s="28"/>
      <c r="K291" s="28"/>
      <c r="L291" s="28"/>
      <c r="M291" s="28"/>
      <c r="N291" s="28"/>
      <c r="O291" s="28"/>
      <c r="P291" s="28"/>
      <c r="Q291" s="28"/>
      <c r="R291" s="28"/>
      <c r="S291" s="28"/>
      <c r="T291" s="14"/>
      <c r="U291" s="28"/>
      <c r="V291" s="97"/>
    </row>
    <row r="292" spans="1:22" s="14" customFormat="1" ht="18" hidden="1" customHeight="1">
      <c r="A292" s="206"/>
      <c r="B292" s="207"/>
      <c r="C292" s="207"/>
      <c r="D292" s="207"/>
      <c r="E292" s="207"/>
      <c r="F292" s="207"/>
      <c r="G292" s="207"/>
      <c r="H292" s="207"/>
      <c r="I292" s="207"/>
      <c r="J292" s="207"/>
      <c r="K292" s="207"/>
      <c r="L292" s="207"/>
      <c r="M292" s="207"/>
      <c r="N292" s="207"/>
      <c r="O292" s="207"/>
      <c r="P292" s="207"/>
      <c r="Q292" s="236"/>
      <c r="R292" s="194"/>
      <c r="S292" s="237"/>
      <c r="T292" s="207"/>
      <c r="U292" s="207"/>
      <c r="V292" s="140"/>
    </row>
    <row r="293" spans="1:22" ht="18" hidden="1" customHeight="1">
      <c r="A293" s="238"/>
      <c r="B293" s="239"/>
      <c r="C293" s="239"/>
      <c r="D293" s="239"/>
      <c r="E293" s="239"/>
      <c r="F293" s="239"/>
      <c r="G293" s="239"/>
      <c r="H293" s="239"/>
      <c r="I293" s="239"/>
      <c r="J293" s="239"/>
      <c r="K293" s="239"/>
      <c r="L293" s="239"/>
      <c r="M293" s="239"/>
      <c r="N293" s="239"/>
      <c r="O293" s="239"/>
      <c r="P293" s="239"/>
      <c r="Q293" s="239"/>
      <c r="R293" s="239"/>
      <c r="S293" s="239"/>
      <c r="T293" s="239"/>
      <c r="U293" s="239"/>
      <c r="V293" s="240"/>
    </row>
    <row r="294" spans="1:22" ht="18" hidden="1" customHeight="1">
      <c r="A294" s="337"/>
      <c r="B294" s="120" t="s">
        <v>881</v>
      </c>
      <c r="C294" s="120" t="s">
        <v>430</v>
      </c>
      <c r="D294" s="233">
        <v>1000</v>
      </c>
      <c r="E294" s="28" t="s">
        <v>326</v>
      </c>
      <c r="F294" s="28" t="s">
        <v>522</v>
      </c>
      <c r="G294" s="47" t="s">
        <v>361</v>
      </c>
      <c r="H294" s="28" t="s">
        <v>886</v>
      </c>
      <c r="I294" s="120" t="s">
        <v>430</v>
      </c>
      <c r="J294" s="638" t="s">
        <v>882</v>
      </c>
      <c r="K294" s="985"/>
      <c r="L294" s="28" t="s">
        <v>326</v>
      </c>
      <c r="M294" s="28" t="s">
        <v>352</v>
      </c>
      <c r="N294" s="47" t="s">
        <v>361</v>
      </c>
      <c r="O294" s="166" t="s">
        <v>710</v>
      </c>
      <c r="P294" s="120" t="s">
        <v>430</v>
      </c>
      <c r="Q294" s="233">
        <v>2600</v>
      </c>
      <c r="R294" s="28" t="s">
        <v>326</v>
      </c>
      <c r="S294" s="28" t="s">
        <v>522</v>
      </c>
      <c r="T294" s="47" t="s">
        <v>361</v>
      </c>
      <c r="U294" s="14" t="s">
        <v>598</v>
      </c>
      <c r="V294" s="97"/>
    </row>
    <row r="295" spans="1:22" ht="18" hidden="1" customHeight="1">
      <c r="A295" s="337"/>
      <c r="B295" s="28" t="s">
        <v>876</v>
      </c>
      <c r="C295" s="28" t="s">
        <v>138</v>
      </c>
      <c r="D295" s="28">
        <v>107</v>
      </c>
      <c r="E295" s="14"/>
      <c r="F295" s="14"/>
      <c r="G295" s="120"/>
      <c r="H295" s="28"/>
      <c r="I295" s="28"/>
      <c r="J295" s="28"/>
      <c r="K295" s="28"/>
      <c r="L295" s="28"/>
      <c r="M295" s="28"/>
      <c r="N295" s="28"/>
      <c r="O295" s="28"/>
      <c r="P295" s="28"/>
      <c r="Q295" s="28"/>
      <c r="R295" s="28"/>
      <c r="S295" s="28"/>
      <c r="T295" s="14"/>
      <c r="U295" s="28"/>
      <c r="V295" s="97"/>
    </row>
    <row r="296" spans="1:22" ht="18" hidden="1" customHeight="1">
      <c r="A296" s="196"/>
      <c r="V296" s="197"/>
    </row>
    <row r="297" spans="1:22" ht="18" hidden="1" customHeight="1">
      <c r="A297" s="925">
        <v>2</v>
      </c>
      <c r="B297" s="1176" t="s">
        <v>887</v>
      </c>
      <c r="C297" s="1176"/>
      <c r="D297" s="1176"/>
      <c r="E297" s="1176"/>
      <c r="F297" s="1176"/>
      <c r="G297" s="1176"/>
      <c r="H297" s="1176"/>
      <c r="I297" s="1176"/>
      <c r="J297" s="1176"/>
      <c r="K297" s="1176"/>
      <c r="L297" s="1176"/>
      <c r="M297" s="1176"/>
      <c r="N297" s="1176"/>
      <c r="O297" s="1176"/>
      <c r="P297" s="1176"/>
      <c r="Q297" s="1176"/>
      <c r="R297" s="1176"/>
      <c r="S297" s="1176"/>
      <c r="T297" s="1176"/>
      <c r="U297" s="1176"/>
      <c r="V297" s="1177"/>
    </row>
    <row r="298" spans="1:22" ht="18" hidden="1" customHeight="1">
      <c r="A298" s="925"/>
      <c r="B298" s="1176"/>
      <c r="C298" s="1176"/>
      <c r="D298" s="1176"/>
      <c r="E298" s="1176"/>
      <c r="F298" s="1176"/>
      <c r="G298" s="1176"/>
      <c r="H298" s="1176"/>
      <c r="I298" s="1176"/>
      <c r="J298" s="1176"/>
      <c r="K298" s="1176"/>
      <c r="L298" s="1176"/>
      <c r="M298" s="1176"/>
      <c r="N298" s="1176"/>
      <c r="O298" s="1176"/>
      <c r="P298" s="1176"/>
      <c r="Q298" s="1176"/>
      <c r="R298" s="1176"/>
      <c r="S298" s="1176"/>
      <c r="T298" s="1176"/>
      <c r="U298" s="1176"/>
      <c r="V298" s="1177"/>
    </row>
    <row r="299" spans="1:22" ht="18" hidden="1" customHeight="1">
      <c r="A299" s="284"/>
      <c r="B299" s="120" t="s">
        <v>881</v>
      </c>
      <c r="C299" s="120" t="s">
        <v>430</v>
      </c>
      <c r="D299" s="638" t="s">
        <v>882</v>
      </c>
      <c r="E299" s="985"/>
      <c r="F299" s="28" t="s">
        <v>326</v>
      </c>
      <c r="G299" s="28" t="s">
        <v>352</v>
      </c>
      <c r="H299" s="47" t="s">
        <v>361</v>
      </c>
      <c r="I299" s="166" t="s">
        <v>710</v>
      </c>
      <c r="J299" s="120" t="s">
        <v>430</v>
      </c>
      <c r="K299" s="233">
        <v>600</v>
      </c>
      <c r="L299" s="28" t="s">
        <v>326</v>
      </c>
      <c r="M299" s="28" t="s">
        <v>522</v>
      </c>
      <c r="N299" s="47" t="s">
        <v>361</v>
      </c>
      <c r="O299" s="28"/>
      <c r="P299" s="28"/>
      <c r="Q299" s="28"/>
      <c r="R299" s="28"/>
      <c r="S299" s="28"/>
      <c r="T299" s="291"/>
      <c r="U299" s="14" t="s">
        <v>888</v>
      </c>
      <c r="V299" s="97"/>
    </row>
    <row r="300" spans="1:22" ht="18" hidden="1" customHeight="1">
      <c r="A300" s="284"/>
      <c r="B300" s="291"/>
      <c r="C300" s="14" t="s">
        <v>884</v>
      </c>
      <c r="D300" s="291"/>
      <c r="E300" s="291"/>
      <c r="F300" s="291"/>
      <c r="G300" s="291"/>
      <c r="H300" s="291"/>
      <c r="I300" s="291"/>
      <c r="J300" s="291"/>
      <c r="K300" s="291"/>
      <c r="L300" s="291"/>
      <c r="M300" s="28"/>
      <c r="N300" s="28"/>
      <c r="O300" s="28"/>
      <c r="P300" s="28"/>
      <c r="Q300" s="28"/>
      <c r="R300" s="28"/>
      <c r="S300" s="28"/>
      <c r="T300" s="14"/>
      <c r="U300" s="28"/>
      <c r="V300" s="97"/>
    </row>
    <row r="301" spans="1:22" ht="18" hidden="1" customHeight="1">
      <c r="A301" s="284"/>
      <c r="B301" s="291"/>
      <c r="C301" s="14"/>
      <c r="D301" s="28" t="s">
        <v>876</v>
      </c>
      <c r="E301" s="28" t="s">
        <v>540</v>
      </c>
      <c r="F301" s="28">
        <v>40</v>
      </c>
      <c r="G301" s="28" t="s">
        <v>358</v>
      </c>
      <c r="H301" s="233">
        <v>0.35</v>
      </c>
      <c r="I301" s="28" t="s">
        <v>683</v>
      </c>
      <c r="J301" s="638" t="s">
        <v>882</v>
      </c>
      <c r="K301" s="985"/>
      <c r="L301" s="28" t="s">
        <v>326</v>
      </c>
      <c r="M301" s="28" t="s">
        <v>352</v>
      </c>
      <c r="N301" s="47" t="s">
        <v>361</v>
      </c>
      <c r="O301" s="28"/>
      <c r="P301" s="28"/>
      <c r="Q301" s="28"/>
      <c r="R301" s="28"/>
      <c r="S301" s="28"/>
      <c r="T301" s="14"/>
      <c r="U301" s="28"/>
      <c r="V301" s="97"/>
    </row>
    <row r="302" spans="1:22" ht="18" hidden="1" customHeight="1">
      <c r="A302" s="284"/>
      <c r="B302" s="28"/>
      <c r="C302" s="28" t="s">
        <v>885</v>
      </c>
      <c r="D302" s="28" t="s">
        <v>876</v>
      </c>
      <c r="E302" s="28" t="s">
        <v>540</v>
      </c>
      <c r="F302" s="28">
        <v>65</v>
      </c>
      <c r="G302" s="14"/>
      <c r="H302" s="14"/>
      <c r="I302" s="120"/>
      <c r="J302" s="28"/>
      <c r="K302" s="28"/>
      <c r="L302" s="28"/>
      <c r="M302" s="28"/>
      <c r="N302" s="28"/>
      <c r="O302" s="28"/>
      <c r="P302" s="28"/>
      <c r="Q302" s="28"/>
      <c r="R302" s="28"/>
      <c r="S302" s="28"/>
      <c r="T302" s="14"/>
      <c r="U302" s="28"/>
      <c r="V302" s="97"/>
    </row>
    <row r="303" spans="1:22" ht="18" hidden="1" customHeight="1">
      <c r="A303" s="96"/>
      <c r="B303" s="14"/>
      <c r="C303" s="14"/>
      <c r="D303" s="247"/>
      <c r="E303" s="14"/>
      <c r="F303" s="28"/>
      <c r="G303" s="261"/>
      <c r="H303" s="28"/>
      <c r="I303" s="263"/>
      <c r="J303" s="14"/>
      <c r="K303" s="292"/>
      <c r="M303" s="47"/>
      <c r="N303" s="280"/>
      <c r="P303" s="293"/>
      <c r="R303" s="246"/>
      <c r="S303" s="564"/>
      <c r="T303" s="564"/>
      <c r="V303" s="197"/>
    </row>
    <row r="304" spans="1:22" ht="18" hidden="1" customHeight="1">
      <c r="A304" s="96"/>
      <c r="B304" s="120" t="s">
        <v>881</v>
      </c>
      <c r="C304" s="120" t="s">
        <v>430</v>
      </c>
      <c r="D304" s="233">
        <v>600</v>
      </c>
      <c r="E304" s="28" t="s">
        <v>326</v>
      </c>
      <c r="F304" s="28" t="s">
        <v>522</v>
      </c>
      <c r="G304" s="47" t="s">
        <v>361</v>
      </c>
      <c r="H304" s="28" t="s">
        <v>886</v>
      </c>
      <c r="I304" s="120" t="s">
        <v>430</v>
      </c>
      <c r="J304" s="638" t="s">
        <v>882</v>
      </c>
      <c r="K304" s="985"/>
      <c r="L304" s="28" t="s">
        <v>326</v>
      </c>
      <c r="M304" s="28" t="s">
        <v>352</v>
      </c>
      <c r="N304" s="47" t="s">
        <v>361</v>
      </c>
      <c r="O304" s="166" t="s">
        <v>710</v>
      </c>
      <c r="P304" s="120" t="s">
        <v>430</v>
      </c>
      <c r="Q304" s="233">
        <v>1600</v>
      </c>
      <c r="R304" s="28" t="s">
        <v>326</v>
      </c>
      <c r="S304" s="28" t="s">
        <v>522</v>
      </c>
      <c r="T304" s="47" t="s">
        <v>361</v>
      </c>
      <c r="U304" s="14" t="s">
        <v>889</v>
      </c>
      <c r="V304" s="97"/>
    </row>
    <row r="305" spans="1:22" ht="18" hidden="1" customHeight="1">
      <c r="A305" s="284"/>
      <c r="B305" s="28" t="s">
        <v>876</v>
      </c>
      <c r="C305" s="28" t="s">
        <v>138</v>
      </c>
      <c r="D305" s="28">
        <v>256</v>
      </c>
      <c r="E305" s="14"/>
      <c r="F305" s="14"/>
      <c r="G305" s="120"/>
      <c r="H305" s="28"/>
      <c r="I305" s="28"/>
      <c r="J305" s="28"/>
      <c r="K305" s="28"/>
      <c r="L305" s="28"/>
      <c r="M305" s="28"/>
      <c r="N305" s="28"/>
      <c r="O305" s="28"/>
      <c r="P305" s="28"/>
      <c r="Q305" s="28"/>
      <c r="R305" s="28"/>
      <c r="S305" s="28"/>
      <c r="T305" s="14"/>
      <c r="U305" s="28"/>
      <c r="V305" s="97"/>
    </row>
    <row r="306" spans="1:22" ht="18" hidden="1" customHeight="1">
      <c r="A306" s="284"/>
      <c r="U306" s="14"/>
      <c r="V306" s="97"/>
    </row>
    <row r="307" spans="1:22" ht="18" hidden="1" customHeight="1">
      <c r="A307" s="557"/>
      <c r="B307" s="30" t="s">
        <v>890</v>
      </c>
      <c r="Q307" s="14" t="s">
        <v>628</v>
      </c>
      <c r="S307" s="246" t="s">
        <v>138</v>
      </c>
      <c r="T307" s="639">
        <f>T178</f>
        <v>40000</v>
      </c>
      <c r="U307" s="639"/>
      <c r="V307" s="197" t="s">
        <v>9</v>
      </c>
    </row>
    <row r="308" spans="1:22" ht="18" hidden="1" customHeight="1">
      <c r="A308" s="557"/>
      <c r="B308" s="47" t="s">
        <v>665</v>
      </c>
      <c r="C308" s="14"/>
      <c r="D308" s="14"/>
      <c r="E308" s="14"/>
      <c r="F308" s="14"/>
      <c r="G308" s="18"/>
      <c r="H308" s="18"/>
      <c r="I308" s="14"/>
      <c r="J308" s="120"/>
      <c r="K308" s="14"/>
      <c r="L308" s="14"/>
      <c r="N308" s="14"/>
      <c r="O308" s="14"/>
      <c r="Q308" s="14" t="s">
        <v>434</v>
      </c>
      <c r="S308" s="246" t="s">
        <v>138</v>
      </c>
      <c r="T308" s="639" t="str">
        <f>L253</f>
        <v>-</v>
      </c>
      <c r="U308" s="639"/>
      <c r="V308" s="197" t="s">
        <v>9</v>
      </c>
    </row>
    <row r="309" spans="1:22" ht="18" hidden="1" customHeight="1">
      <c r="A309" s="96"/>
      <c r="B309" s="47" t="s">
        <v>891</v>
      </c>
      <c r="C309" s="14"/>
      <c r="D309" s="14"/>
      <c r="E309" s="14"/>
      <c r="F309" s="14"/>
      <c r="G309" s="18"/>
      <c r="H309" s="18"/>
      <c r="I309" s="14"/>
      <c r="J309" s="120"/>
      <c r="K309" s="14"/>
      <c r="L309" s="14"/>
      <c r="N309" s="14"/>
      <c r="O309" s="14"/>
      <c r="Q309" s="14" t="s">
        <v>882</v>
      </c>
      <c r="S309" s="246" t="s">
        <v>138</v>
      </c>
      <c r="T309" s="637" t="e">
        <f>T307/T308</f>
        <v>#VALUE!</v>
      </c>
      <c r="U309" s="637"/>
      <c r="V309" s="197" t="s">
        <v>9</v>
      </c>
    </row>
    <row r="310" spans="1:22" ht="18" hidden="1" customHeight="1">
      <c r="A310" s="96"/>
      <c r="B310" s="47" t="s">
        <v>666</v>
      </c>
      <c r="C310" s="14"/>
      <c r="D310" s="14"/>
      <c r="E310" s="14"/>
      <c r="F310" s="14"/>
      <c r="G310" s="18"/>
      <c r="H310" s="18"/>
      <c r="I310" s="14"/>
      <c r="J310" s="120"/>
      <c r="K310" s="14"/>
      <c r="L310" s="14"/>
      <c r="N310" s="14"/>
      <c r="O310" s="14"/>
      <c r="Q310" s="14" t="s">
        <v>431</v>
      </c>
      <c r="S310" s="246" t="s">
        <v>138</v>
      </c>
      <c r="T310" s="639" t="str">
        <f>L255</f>
        <v>-</v>
      </c>
      <c r="U310" s="639"/>
      <c r="V310" s="565" t="s">
        <v>344</v>
      </c>
    </row>
    <row r="311" spans="1:22" ht="18" hidden="1" customHeight="1">
      <c r="A311" s="96"/>
      <c r="B311" s="47" t="s">
        <v>687</v>
      </c>
      <c r="C311" s="14"/>
      <c r="D311" s="14"/>
      <c r="E311" s="14"/>
      <c r="F311" s="14"/>
      <c r="G311" s="18"/>
      <c r="H311" s="18"/>
      <c r="I311" s="14"/>
      <c r="J311" s="120"/>
      <c r="K311" s="14"/>
      <c r="L311" s="14"/>
      <c r="N311" s="14"/>
      <c r="O311" s="14"/>
      <c r="Q311" s="14" t="s">
        <v>877</v>
      </c>
      <c r="S311" s="246" t="s">
        <v>138</v>
      </c>
      <c r="T311" s="637">
        <f>Q272</f>
        <v>1.46186744</v>
      </c>
      <c r="U311" s="637"/>
      <c r="V311" s="565" t="s">
        <v>344</v>
      </c>
    </row>
    <row r="312" spans="1:22" ht="18" hidden="1" customHeight="1">
      <c r="A312" s="96"/>
      <c r="B312" s="47" t="s">
        <v>702</v>
      </c>
      <c r="C312" s="14"/>
      <c r="D312" s="14"/>
      <c r="E312" s="14"/>
      <c r="F312" s="14"/>
      <c r="G312" s="14"/>
      <c r="H312" s="14"/>
      <c r="I312" s="14"/>
      <c r="J312" s="120"/>
      <c r="K312" s="14"/>
      <c r="L312" s="14"/>
      <c r="N312" s="14"/>
      <c r="O312" s="14"/>
      <c r="Q312" s="14" t="s">
        <v>522</v>
      </c>
      <c r="S312" s="246" t="s">
        <v>138</v>
      </c>
      <c r="T312" s="639">
        <f>O253</f>
        <v>1</v>
      </c>
      <c r="U312" s="639"/>
      <c r="V312" s="197" t="s">
        <v>9</v>
      </c>
    </row>
    <row r="313" spans="1:22" ht="18" hidden="1" customHeight="1">
      <c r="A313" s="96"/>
      <c r="B313" s="14" t="s">
        <v>892</v>
      </c>
      <c r="C313" s="14"/>
      <c r="D313" s="14"/>
      <c r="E313" s="247"/>
      <c r="F313" s="14"/>
      <c r="G313" s="28"/>
      <c r="H313" s="261"/>
      <c r="I313" s="28"/>
      <c r="J313" s="263"/>
      <c r="K313" s="14"/>
      <c r="L313" s="292"/>
      <c r="N313" s="47"/>
      <c r="O313" s="280"/>
      <c r="Q313" s="293" t="s">
        <v>352</v>
      </c>
      <c r="S313" s="246" t="s">
        <v>138</v>
      </c>
      <c r="T313" s="705">
        <f>T184</f>
        <v>50</v>
      </c>
      <c r="U313" s="707"/>
      <c r="V313" s="197"/>
    </row>
    <row r="314" spans="1:22" ht="18" hidden="1" customHeight="1">
      <c r="A314" s="337"/>
      <c r="B314" s="14" t="s">
        <v>893</v>
      </c>
      <c r="F314" s="14"/>
      <c r="G314" s="166"/>
      <c r="H314" s="102"/>
      <c r="I314" s="28"/>
      <c r="J314" s="27"/>
      <c r="K314" s="14"/>
      <c r="O314" s="47"/>
      <c r="P314" s="14"/>
      <c r="Q314" s="14"/>
      <c r="R314" s="14"/>
      <c r="S314" s="120"/>
      <c r="T314" s="705">
        <f>T185</f>
        <v>150</v>
      </c>
      <c r="U314" s="707"/>
      <c r="V314" s="97" t="s">
        <v>615</v>
      </c>
    </row>
    <row r="315" spans="1:22" ht="18" hidden="1" customHeight="1">
      <c r="A315" s="96"/>
      <c r="B315" s="14"/>
      <c r="Q315" s="14"/>
      <c r="R315" s="14"/>
      <c r="S315" s="120"/>
      <c r="T315" s="18"/>
      <c r="U315" s="18"/>
      <c r="V315" s="97"/>
    </row>
    <row r="316" spans="1:22" ht="18" hidden="1" customHeight="1">
      <c r="A316" s="196"/>
      <c r="B316" s="566" t="s">
        <v>894</v>
      </c>
      <c r="C316" s="566"/>
      <c r="D316" s="259"/>
      <c r="E316" s="259"/>
      <c r="F316" s="472" t="str">
        <f>IF(T314=150,"1 &amp; 2","3 &amp; 4")</f>
        <v>1 &amp; 2</v>
      </c>
      <c r="G316" s="567"/>
      <c r="V316" s="197"/>
    </row>
    <row r="317" spans="1:22" ht="18" hidden="1" customHeight="1">
      <c r="A317" s="557" t="s">
        <v>430</v>
      </c>
      <c r="B317" s="638" t="s">
        <v>882</v>
      </c>
      <c r="C317" s="638"/>
      <c r="D317" s="28" t="s">
        <v>326</v>
      </c>
      <c r="E317" s="28" t="s">
        <v>352</v>
      </c>
      <c r="F317" s="47" t="s">
        <v>361</v>
      </c>
      <c r="G317" s="166" t="s">
        <v>710</v>
      </c>
      <c r="H317" s="120" t="s">
        <v>430</v>
      </c>
      <c r="I317" s="233" t="str">
        <f>IF(T314=150,"1000","600")</f>
        <v>1000</v>
      </c>
      <c r="J317" s="28" t="s">
        <v>326</v>
      </c>
      <c r="K317" s="28" t="s">
        <v>522</v>
      </c>
      <c r="L317" s="47" t="s">
        <v>361</v>
      </c>
      <c r="M317" s="14"/>
      <c r="N317" s="14"/>
      <c r="U317" s="14" t="str">
        <f>IF(T314=150,"...cond.1","…cond.3")</f>
        <v>...cond.1</v>
      </c>
      <c r="V317" s="197"/>
    </row>
    <row r="318" spans="1:22" ht="18" hidden="1" customHeight="1">
      <c r="A318" s="557" t="s">
        <v>430</v>
      </c>
      <c r="B318" s="641" t="e">
        <f>T309</f>
        <v>#VALUE!</v>
      </c>
      <c r="C318" s="641"/>
      <c r="D318" s="28" t="s">
        <v>326</v>
      </c>
      <c r="E318" s="28">
        <f>T313</f>
        <v>50</v>
      </c>
      <c r="F318" s="47" t="s">
        <v>361</v>
      </c>
      <c r="G318" s="166" t="s">
        <v>710</v>
      </c>
      <c r="H318" s="120" t="s">
        <v>430</v>
      </c>
      <c r="I318" s="233" t="str">
        <f>I317</f>
        <v>1000</v>
      </c>
      <c r="J318" s="28" t="s">
        <v>326</v>
      </c>
      <c r="K318" s="28">
        <f>T312</f>
        <v>1</v>
      </c>
      <c r="L318" s="47" t="s">
        <v>361</v>
      </c>
      <c r="M318" s="14"/>
      <c r="N318" s="14"/>
      <c r="U318" s="14"/>
      <c r="V318" s="97"/>
    </row>
    <row r="319" spans="1:22" ht="18" hidden="1" customHeight="1">
      <c r="A319" s="96"/>
      <c r="B319" s="14"/>
      <c r="C319" s="14"/>
      <c r="D319" s="638" t="e">
        <f>B318*E318</f>
        <v>#VALUE!</v>
      </c>
      <c r="E319" s="985"/>
      <c r="F319" s="14"/>
      <c r="G319" s="166" t="s">
        <v>710</v>
      </c>
      <c r="H319" s="102"/>
      <c r="I319" s="638">
        <f>I318*K318</f>
        <v>1000</v>
      </c>
      <c r="J319" s="639"/>
      <c r="K319" s="14"/>
      <c r="O319" s="47"/>
      <c r="P319" s="14"/>
      <c r="Q319" s="14"/>
      <c r="R319" s="14"/>
      <c r="S319" s="120" t="s">
        <v>895</v>
      </c>
      <c r="T319" s="1173" t="e">
        <f>IF(D319&lt;=I319,TRUE,FALSE)</f>
        <v>#VALUE!</v>
      </c>
      <c r="U319" s="1173"/>
      <c r="V319" s="97"/>
    </row>
    <row r="320" spans="1:22" ht="18" hidden="1" customHeight="1">
      <c r="A320" s="196"/>
      <c r="B320" s="28" t="s">
        <v>628</v>
      </c>
      <c r="C320" s="30" t="str">
        <f>IF(T314=150,"…cond.1","…cond.3")</f>
        <v>…cond.1</v>
      </c>
      <c r="E320" s="14" t="s">
        <v>896</v>
      </c>
      <c r="V320" s="197"/>
    </row>
    <row r="321" spans="1:22" ht="18" hidden="1" customHeight="1">
      <c r="A321" s="196"/>
      <c r="V321" s="97"/>
    </row>
    <row r="322" spans="1:22" ht="18" hidden="1" customHeight="1">
      <c r="A322" s="196"/>
      <c r="B322" s="14"/>
      <c r="C322" s="28" t="s">
        <v>876</v>
      </c>
      <c r="D322" s="28" t="s">
        <v>540</v>
      </c>
      <c r="E322" s="28">
        <v>40</v>
      </c>
      <c r="F322" s="28" t="s">
        <v>358</v>
      </c>
      <c r="G322" s="233" t="str">
        <f>IF(T314=150,"0.07","0.35")</f>
        <v>0.07</v>
      </c>
      <c r="H322" s="28" t="s">
        <v>683</v>
      </c>
      <c r="I322" s="638" t="s">
        <v>882</v>
      </c>
      <c r="J322" s="985"/>
      <c r="K322" s="28" t="s">
        <v>326</v>
      </c>
      <c r="L322" s="28" t="s">
        <v>352</v>
      </c>
      <c r="M322" s="47" t="s">
        <v>361</v>
      </c>
      <c r="N322" s="196"/>
      <c r="O322" s="47" t="s">
        <v>897</v>
      </c>
      <c r="P322" s="27"/>
      <c r="Q322" s="28" t="s">
        <v>138</v>
      </c>
      <c r="R322" s="637" t="e">
        <f>MAX(E324,E325)</f>
        <v>#VALUE!</v>
      </c>
      <c r="S322" s="639"/>
      <c r="V322" s="197"/>
    </row>
    <row r="323" spans="1:22" ht="18" hidden="1" customHeight="1">
      <c r="A323" s="196"/>
      <c r="B323" s="14"/>
      <c r="C323" s="28"/>
      <c r="D323" s="28" t="s">
        <v>540</v>
      </c>
      <c r="E323" s="28">
        <v>40</v>
      </c>
      <c r="F323" s="28" t="s">
        <v>358</v>
      </c>
      <c r="G323" s="233" t="str">
        <f>IF(T314=150,"0.07","0.35")</f>
        <v>0.07</v>
      </c>
      <c r="H323" s="28" t="s">
        <v>683</v>
      </c>
      <c r="I323" s="641" t="e">
        <f>T309</f>
        <v>#VALUE!</v>
      </c>
      <c r="J323" s="985"/>
      <c r="K323" s="28" t="s">
        <v>326</v>
      </c>
      <c r="L323" s="28">
        <f>T313</f>
        <v>50</v>
      </c>
      <c r="M323" s="47" t="s">
        <v>361</v>
      </c>
      <c r="N323" s="196"/>
      <c r="V323" s="197"/>
    </row>
    <row r="324" spans="1:22" ht="18" hidden="1" customHeight="1">
      <c r="A324" s="196"/>
      <c r="B324" s="14"/>
      <c r="C324" s="28"/>
      <c r="D324" s="28" t="s">
        <v>540</v>
      </c>
      <c r="E324" s="641" t="e">
        <f>E323+(G323*(I323*L323))</f>
        <v>#VALUE!</v>
      </c>
      <c r="F324" s="641"/>
      <c r="G324" s="233"/>
      <c r="H324" s="28"/>
      <c r="I324" s="230"/>
      <c r="K324" s="28"/>
      <c r="L324" s="28"/>
      <c r="M324" s="47"/>
      <c r="N324" s="196"/>
      <c r="V324" s="197"/>
    </row>
    <row r="325" spans="1:22" ht="18" hidden="1" customHeight="1">
      <c r="A325" s="96"/>
      <c r="B325" s="28" t="s">
        <v>885</v>
      </c>
      <c r="C325" s="28" t="s">
        <v>876</v>
      </c>
      <c r="D325" s="28" t="s">
        <v>138</v>
      </c>
      <c r="E325" s="28">
        <v>65</v>
      </c>
      <c r="G325" s="14"/>
      <c r="H325" s="166"/>
      <c r="I325" s="102"/>
      <c r="J325" s="28"/>
      <c r="K325" s="27"/>
      <c r="L325" s="14"/>
      <c r="N325" s="96"/>
      <c r="O325" s="14"/>
      <c r="Q325" s="14"/>
      <c r="R325" s="14"/>
      <c r="S325" s="14"/>
      <c r="T325" s="14"/>
      <c r="U325" s="14"/>
      <c r="V325" s="97"/>
    </row>
    <row r="326" spans="1:22" ht="18" hidden="1" customHeight="1">
      <c r="A326" s="96"/>
      <c r="B326" s="14"/>
      <c r="F326" s="28"/>
      <c r="I326" s="120"/>
      <c r="J326" s="233"/>
      <c r="K326" s="28"/>
      <c r="L326" s="28"/>
      <c r="M326" s="47"/>
      <c r="N326" s="14"/>
      <c r="O326" s="14"/>
      <c r="Q326" s="14"/>
      <c r="R326" s="14"/>
      <c r="S326" s="14"/>
      <c r="T326" s="14"/>
      <c r="U326" s="14"/>
      <c r="V326" s="97"/>
    </row>
    <row r="327" spans="1:22" ht="18" hidden="1" customHeight="1">
      <c r="A327" s="557" t="s">
        <v>430</v>
      </c>
      <c r="B327" s="233" t="str">
        <f>IF(T314=150,"1000","600")</f>
        <v>1000</v>
      </c>
      <c r="C327" s="28" t="s">
        <v>326</v>
      </c>
      <c r="D327" s="28" t="s">
        <v>522</v>
      </c>
      <c r="E327" s="47" t="s">
        <v>361</v>
      </c>
      <c r="F327" s="28" t="s">
        <v>886</v>
      </c>
      <c r="G327" s="120" t="s">
        <v>430</v>
      </c>
      <c r="H327" s="638" t="s">
        <v>882</v>
      </c>
      <c r="I327" s="985"/>
      <c r="J327" s="28" t="s">
        <v>326</v>
      </c>
      <c r="K327" s="28" t="s">
        <v>352</v>
      </c>
      <c r="L327" s="47" t="s">
        <v>361</v>
      </c>
      <c r="M327" s="166" t="s">
        <v>710</v>
      </c>
      <c r="N327" s="120" t="s">
        <v>430</v>
      </c>
      <c r="O327" s="233" t="str">
        <f>IF(T314=150,"2600","1600")</f>
        <v>2600</v>
      </c>
      <c r="P327" s="28" t="s">
        <v>326</v>
      </c>
      <c r="Q327" s="28" t="s">
        <v>522</v>
      </c>
      <c r="R327" s="47" t="s">
        <v>361</v>
      </c>
      <c r="S327" s="14"/>
      <c r="T327" s="14"/>
      <c r="U327" s="14" t="str">
        <f>IF(T314=150,"...cond.2","…cond.4")</f>
        <v>...cond.2</v>
      </c>
      <c r="V327" s="97"/>
    </row>
    <row r="328" spans="1:22" ht="18" hidden="1" customHeight="1">
      <c r="A328" s="557" t="s">
        <v>430</v>
      </c>
      <c r="B328" s="233" t="str">
        <f>B327</f>
        <v>1000</v>
      </c>
      <c r="C328" s="28" t="s">
        <v>326</v>
      </c>
      <c r="D328" s="28">
        <f>T312</f>
        <v>1</v>
      </c>
      <c r="E328" s="47" t="s">
        <v>361</v>
      </c>
      <c r="F328" s="28" t="s">
        <v>886</v>
      </c>
      <c r="G328" s="120" t="s">
        <v>430</v>
      </c>
      <c r="H328" s="641" t="e">
        <f>T309</f>
        <v>#VALUE!</v>
      </c>
      <c r="I328" s="985"/>
      <c r="J328" s="28" t="s">
        <v>326</v>
      </c>
      <c r="K328" s="28">
        <f>T313</f>
        <v>50</v>
      </c>
      <c r="L328" s="47" t="s">
        <v>361</v>
      </c>
      <c r="M328" s="166" t="s">
        <v>710</v>
      </c>
      <c r="N328" s="120" t="s">
        <v>430</v>
      </c>
      <c r="O328" s="233" t="str">
        <f>O327</f>
        <v>2600</v>
      </c>
      <c r="P328" s="28" t="s">
        <v>326</v>
      </c>
      <c r="Q328" s="28">
        <f>T312</f>
        <v>1</v>
      </c>
      <c r="R328" s="47" t="s">
        <v>361</v>
      </c>
      <c r="S328" s="14"/>
      <c r="T328" s="14"/>
      <c r="U328" s="14"/>
      <c r="V328" s="97"/>
    </row>
    <row r="329" spans="1:22" ht="18" hidden="1" customHeight="1">
      <c r="A329" s="557"/>
      <c r="B329" s="261"/>
      <c r="C329" s="1172">
        <f>B328*D328</f>
        <v>1000</v>
      </c>
      <c r="D329" s="1172"/>
      <c r="E329" s="261"/>
      <c r="F329" s="28" t="s">
        <v>886</v>
      </c>
      <c r="G329" s="14"/>
      <c r="H329" s="14"/>
      <c r="I329" s="920" t="e">
        <f>H328*K328</f>
        <v>#VALUE!</v>
      </c>
      <c r="J329" s="920"/>
      <c r="K329" s="14"/>
      <c r="L329" s="14"/>
      <c r="M329" s="166" t="s">
        <v>710</v>
      </c>
      <c r="N329" s="102"/>
      <c r="O329" s="987">
        <f>O328*Q328</f>
        <v>2600</v>
      </c>
      <c r="P329" s="985"/>
      <c r="Q329" s="14"/>
      <c r="R329" s="14"/>
      <c r="S329" s="120" t="s">
        <v>895</v>
      </c>
      <c r="T329" s="1173" t="e">
        <f>IF(AND(C329&lt;I329,I329&lt;=O329)=TRUE,TRUE,FALSE)</f>
        <v>#VALUE!</v>
      </c>
      <c r="U329" s="1173"/>
      <c r="V329" s="97"/>
    </row>
    <row r="330" spans="1:22" ht="18" hidden="1" customHeight="1">
      <c r="A330" s="96"/>
      <c r="B330" s="14"/>
      <c r="E330" s="256"/>
      <c r="G330" s="18"/>
      <c r="L330" s="14"/>
      <c r="M330" s="14"/>
      <c r="N330" s="14"/>
      <c r="O330" s="14"/>
      <c r="P330" s="14"/>
      <c r="Q330" s="14"/>
      <c r="R330" s="14"/>
      <c r="S330" s="14"/>
      <c r="T330" s="14"/>
      <c r="U330" s="14"/>
      <c r="V330" s="97"/>
    </row>
    <row r="331" spans="1:22" ht="18" hidden="1" customHeight="1">
      <c r="A331" s="96"/>
      <c r="B331" s="14"/>
      <c r="E331" s="256"/>
      <c r="G331" s="18"/>
      <c r="L331" s="14"/>
      <c r="M331" s="14"/>
      <c r="N331" s="14"/>
      <c r="O331" s="14"/>
      <c r="P331" s="14"/>
      <c r="Q331" s="14"/>
      <c r="R331" s="14"/>
      <c r="S331" s="14"/>
      <c r="T331" s="14"/>
      <c r="U331" s="14"/>
      <c r="V331" s="97"/>
    </row>
    <row r="332" spans="1:22" ht="18" hidden="1" customHeight="1">
      <c r="A332" s="96"/>
      <c r="B332" s="14"/>
      <c r="E332" s="256"/>
      <c r="G332" s="18"/>
      <c r="L332" s="14"/>
      <c r="M332" s="14"/>
      <c r="N332" s="14"/>
      <c r="O332" s="14"/>
      <c r="P332" s="14"/>
      <c r="Q332" s="14"/>
      <c r="R332" s="14"/>
      <c r="S332" s="14"/>
      <c r="T332" s="14"/>
      <c r="U332" s="14"/>
      <c r="V332" s="97"/>
    </row>
    <row r="333" spans="1:22" ht="18" hidden="1" customHeight="1">
      <c r="A333" s="96"/>
      <c r="B333" s="14"/>
      <c r="E333" s="256"/>
      <c r="G333" s="18"/>
      <c r="L333" s="14"/>
      <c r="M333" s="14"/>
      <c r="N333" s="14"/>
      <c r="O333" s="14"/>
      <c r="P333" s="14"/>
      <c r="Q333" s="14"/>
      <c r="R333" s="14"/>
      <c r="S333" s="14"/>
      <c r="T333" s="14"/>
      <c r="U333" s="14"/>
      <c r="V333" s="97"/>
    </row>
    <row r="334" spans="1:22" ht="18" hidden="1" customHeight="1">
      <c r="A334" s="96"/>
      <c r="B334" s="14"/>
      <c r="E334" s="256"/>
      <c r="G334" s="18"/>
      <c r="L334" s="14"/>
      <c r="M334" s="14"/>
      <c r="N334" s="14"/>
      <c r="O334" s="14"/>
      <c r="P334" s="14"/>
      <c r="Q334" s="14"/>
      <c r="R334" s="14"/>
      <c r="S334" s="14"/>
      <c r="T334" s="14"/>
      <c r="U334" s="14"/>
      <c r="V334" s="97"/>
    </row>
    <row r="335" spans="1:22" ht="18" hidden="1" customHeight="1">
      <c r="A335" s="96"/>
      <c r="B335" s="14"/>
      <c r="E335" s="256"/>
      <c r="G335" s="18"/>
      <c r="L335" s="14"/>
      <c r="M335" s="14"/>
      <c r="N335" s="14"/>
      <c r="O335" s="14"/>
      <c r="P335" s="14"/>
      <c r="Q335" s="14"/>
      <c r="R335" s="14"/>
      <c r="S335" s="14"/>
      <c r="T335" s="14"/>
      <c r="U335" s="14"/>
      <c r="V335" s="97"/>
    </row>
    <row r="336" spans="1:22" s="14" customFormat="1" ht="18" hidden="1" customHeight="1">
      <c r="A336" s="206"/>
      <c r="B336" s="207"/>
      <c r="C336" s="207"/>
      <c r="D336" s="207"/>
      <c r="E336" s="207"/>
      <c r="F336" s="207"/>
      <c r="G336" s="207"/>
      <c r="H336" s="207"/>
      <c r="I336" s="207"/>
      <c r="J336" s="207"/>
      <c r="K336" s="207"/>
      <c r="L336" s="207"/>
      <c r="M336" s="207"/>
      <c r="N336" s="207"/>
      <c r="O336" s="207"/>
      <c r="P336" s="207"/>
      <c r="Q336" s="236"/>
      <c r="R336" s="194"/>
      <c r="S336" s="237"/>
      <c r="T336" s="207"/>
      <c r="U336" s="207"/>
      <c r="V336" s="140"/>
    </row>
    <row r="337" spans="1:22" ht="18" hidden="1" customHeight="1">
      <c r="A337" s="332"/>
      <c r="B337" s="145"/>
      <c r="C337" s="145"/>
      <c r="D337" s="145"/>
      <c r="E337" s="285"/>
      <c r="F337" s="285"/>
      <c r="G337" s="286"/>
      <c r="H337" s="145"/>
      <c r="I337" s="145"/>
      <c r="J337" s="145"/>
      <c r="K337" s="145"/>
      <c r="L337" s="145"/>
      <c r="M337" s="145"/>
      <c r="N337" s="145"/>
      <c r="O337" s="145"/>
      <c r="P337" s="145"/>
      <c r="Q337" s="145"/>
      <c r="R337" s="145"/>
      <c r="S337" s="145"/>
      <c r="T337" s="285"/>
      <c r="U337" s="145"/>
      <c r="V337" s="554"/>
    </row>
    <row r="338" spans="1:22" ht="18" hidden="1" customHeight="1">
      <c r="A338" s="311"/>
      <c r="B338" s="28" t="s">
        <v>628</v>
      </c>
      <c r="C338" s="30" t="str">
        <f>IF(T314=150,"…cond.2","…cond.4")</f>
        <v>…cond.2</v>
      </c>
      <c r="E338" s="14" t="s">
        <v>898</v>
      </c>
      <c r="J338" s="28" t="s">
        <v>138</v>
      </c>
      <c r="K338" s="30" t="str">
        <f>IF(T314=150,"107","256")</f>
        <v>107</v>
      </c>
      <c r="N338" s="1" t="s">
        <v>899</v>
      </c>
      <c r="O338" s="208"/>
      <c r="P338" s="208"/>
      <c r="Q338" s="208"/>
      <c r="R338" s="208"/>
      <c r="S338" s="194" t="s">
        <v>138</v>
      </c>
      <c r="T338" s="258" t="e">
        <f>IF(T319=TRUE,R322,IF(T329=TRUE,K338,))</f>
        <v>#VALUE!</v>
      </c>
      <c r="U338" s="14"/>
      <c r="V338" s="97"/>
    </row>
    <row r="339" spans="1:22" ht="18" hidden="1" customHeight="1">
      <c r="A339" s="205" t="s">
        <v>900</v>
      </c>
      <c r="B339" s="28"/>
      <c r="C339" s="28"/>
      <c r="D339" s="28"/>
      <c r="E339" s="14"/>
      <c r="F339" s="14"/>
      <c r="G339" s="120"/>
      <c r="H339" s="28"/>
      <c r="I339" s="28"/>
      <c r="J339" s="28"/>
      <c r="K339" s="28"/>
      <c r="L339" s="28"/>
      <c r="M339" s="28"/>
      <c r="N339" s="28"/>
      <c r="O339" s="28"/>
      <c r="P339" s="28"/>
      <c r="Q339" s="28"/>
      <c r="R339" s="28"/>
      <c r="S339" s="28"/>
      <c r="T339" s="14"/>
      <c r="U339" s="28"/>
      <c r="V339" s="97"/>
    </row>
    <row r="340" spans="1:22" ht="18" hidden="1" customHeight="1">
      <c r="A340" s="196"/>
      <c r="D340" s="30" t="s">
        <v>484</v>
      </c>
      <c r="E340" s="27" t="s">
        <v>540</v>
      </c>
      <c r="F340" s="27" t="s">
        <v>876</v>
      </c>
      <c r="G340" s="27" t="s">
        <v>326</v>
      </c>
      <c r="H340" s="27" t="s">
        <v>522</v>
      </c>
      <c r="I340" s="27" t="s">
        <v>383</v>
      </c>
      <c r="J340" s="27" t="s">
        <v>431</v>
      </c>
      <c r="K340" s="27" t="s">
        <v>358</v>
      </c>
      <c r="L340" s="27" t="s">
        <v>877</v>
      </c>
      <c r="M340" s="30" t="s">
        <v>361</v>
      </c>
      <c r="V340" s="197"/>
    </row>
    <row r="341" spans="1:22" ht="18" hidden="1" customHeight="1">
      <c r="A341" s="196"/>
      <c r="B341" s="14"/>
      <c r="D341" s="14"/>
      <c r="E341" s="27" t="s">
        <v>540</v>
      </c>
      <c r="F341" s="27" t="e">
        <f>T338</f>
        <v>#VALUE!</v>
      </c>
      <c r="G341" s="27" t="s">
        <v>326</v>
      </c>
      <c r="H341" s="27">
        <f>T312</f>
        <v>1</v>
      </c>
      <c r="I341" s="27" t="s">
        <v>383</v>
      </c>
      <c r="J341" s="27" t="str">
        <f>T310</f>
        <v>-</v>
      </c>
      <c r="K341" s="27" t="s">
        <v>358</v>
      </c>
      <c r="L341" s="223">
        <f>T311</f>
        <v>1.46186744</v>
      </c>
      <c r="M341" s="30" t="s">
        <v>361</v>
      </c>
      <c r="V341" s="197"/>
    </row>
    <row r="342" spans="1:22" ht="18" hidden="1" customHeight="1">
      <c r="A342" s="196"/>
      <c r="B342" s="14"/>
      <c r="D342" s="14"/>
      <c r="E342" s="27" t="s">
        <v>540</v>
      </c>
      <c r="F342" s="644" t="e">
        <f>F341*H341*(J341+L341)</f>
        <v>#VALUE!</v>
      </c>
      <c r="G342" s="648"/>
      <c r="H342" s="14" t="s">
        <v>316</v>
      </c>
      <c r="I342" s="14"/>
      <c r="J342" s="14"/>
      <c r="K342" s="14"/>
      <c r="L342" s="120"/>
      <c r="M342" s="120"/>
      <c r="V342" s="197"/>
    </row>
    <row r="343" spans="1:22" ht="18" hidden="1" customHeight="1">
      <c r="A343" s="196"/>
      <c r="V343" s="197"/>
    </row>
    <row r="344" spans="1:22" ht="18" hidden="1" customHeight="1">
      <c r="A344" s="116" t="s">
        <v>457</v>
      </c>
      <c r="B344" s="14"/>
      <c r="C344" s="27"/>
      <c r="D344" s="230"/>
      <c r="E344" s="216"/>
      <c r="F344" s="14"/>
      <c r="G344" s="14"/>
      <c r="H344" s="14"/>
      <c r="I344" s="14"/>
      <c r="J344" s="120"/>
      <c r="K344" s="120"/>
      <c r="L344" s="14"/>
      <c r="M344" s="14"/>
      <c r="N344" s="28"/>
      <c r="O344" s="269"/>
      <c r="P344" s="14"/>
      <c r="Q344" s="14"/>
      <c r="R344" s="120"/>
      <c r="S344" s="28"/>
      <c r="T344" s="47"/>
      <c r="U344" s="14"/>
      <c r="V344" s="197"/>
    </row>
    <row r="345" spans="1:22" ht="18" hidden="1" customHeight="1">
      <c r="A345" s="205" t="s">
        <v>427</v>
      </c>
      <c r="B345" s="14"/>
      <c r="C345" s="27"/>
      <c r="D345" s="230"/>
      <c r="E345" s="216"/>
      <c r="F345" s="14"/>
      <c r="G345" s="14"/>
      <c r="H345" s="14"/>
      <c r="I345" s="14"/>
      <c r="J345" s="120"/>
      <c r="K345" s="120"/>
      <c r="L345" s="14"/>
      <c r="M345" s="14"/>
      <c r="N345" s="28"/>
      <c r="O345" s="269"/>
      <c r="P345" s="14"/>
      <c r="Q345" s="14"/>
      <c r="R345" s="120"/>
      <c r="S345" s="28"/>
      <c r="T345" s="47"/>
      <c r="U345" s="14"/>
      <c r="V345" s="197"/>
    </row>
    <row r="346" spans="1:22" ht="18" hidden="1" customHeight="1">
      <c r="A346" s="196"/>
      <c r="B346" s="14"/>
      <c r="C346" s="27"/>
      <c r="D346" s="230"/>
      <c r="E346" s="216"/>
      <c r="F346" s="30" t="s">
        <v>484</v>
      </c>
      <c r="G346" s="27" t="s">
        <v>540</v>
      </c>
      <c r="H346" s="969" t="s">
        <v>903</v>
      </c>
      <c r="I346" s="969"/>
      <c r="J346" s="27" t="s">
        <v>326</v>
      </c>
      <c r="K346" s="969" t="s">
        <v>855</v>
      </c>
      <c r="L346" s="969"/>
      <c r="M346" s="27" t="s">
        <v>326</v>
      </c>
      <c r="N346" s="256" t="s">
        <v>430</v>
      </c>
      <c r="O346" s="27" t="s">
        <v>431</v>
      </c>
      <c r="P346" s="27" t="s">
        <v>358</v>
      </c>
      <c r="Q346" s="27" t="s">
        <v>419</v>
      </c>
      <c r="R346" s="30" t="s">
        <v>361</v>
      </c>
      <c r="S346" s="28"/>
      <c r="T346" s="47"/>
      <c r="U346" s="14"/>
      <c r="V346" s="197"/>
    </row>
    <row r="347" spans="1:22" ht="18" hidden="1" customHeight="1">
      <c r="A347" s="205"/>
      <c r="F347" s="14" t="s">
        <v>904</v>
      </c>
      <c r="H347" s="27"/>
      <c r="I347" s="230"/>
      <c r="J347" s="216"/>
      <c r="K347" s="14"/>
      <c r="L347" s="14"/>
      <c r="M347" s="14"/>
      <c r="N347" s="14"/>
      <c r="O347" s="120"/>
      <c r="P347" s="120"/>
      <c r="Q347" s="14"/>
      <c r="R347" s="14"/>
      <c r="U347" s="14"/>
      <c r="V347" s="197"/>
    </row>
    <row r="348" spans="1:22" ht="18" hidden="1" customHeight="1">
      <c r="A348" s="205"/>
      <c r="G348" s="969" t="s">
        <v>903</v>
      </c>
      <c r="H348" s="969"/>
      <c r="I348" s="230" t="s">
        <v>138</v>
      </c>
      <c r="J348" s="216" t="s">
        <v>905</v>
      </c>
      <c r="K348" s="14"/>
      <c r="L348" s="14"/>
      <c r="M348" s="14"/>
      <c r="N348" s="14"/>
      <c r="O348" s="120"/>
      <c r="P348" s="120"/>
      <c r="Q348" s="14"/>
      <c r="R348" s="14"/>
      <c r="S348" s="28" t="s">
        <v>138</v>
      </c>
      <c r="T348" s="28">
        <v>1.4</v>
      </c>
      <c r="U348" s="14"/>
      <c r="V348" s="97"/>
    </row>
    <row r="349" spans="1:22" ht="18" hidden="1" customHeight="1">
      <c r="A349" s="205"/>
      <c r="G349" s="969" t="s">
        <v>855</v>
      </c>
      <c r="H349" s="969"/>
      <c r="I349" s="230" t="s">
        <v>138</v>
      </c>
      <c r="J349" s="216" t="s">
        <v>906</v>
      </c>
      <c r="K349" s="14"/>
      <c r="L349" s="14"/>
      <c r="M349" s="14"/>
      <c r="N349" s="14"/>
      <c r="O349" s="120"/>
      <c r="P349" s="120"/>
      <c r="Q349" s="14"/>
      <c r="R349" s="14"/>
      <c r="S349" s="28" t="s">
        <v>138</v>
      </c>
      <c r="T349" s="641" t="e">
        <f>T309</f>
        <v>#VALUE!</v>
      </c>
      <c r="U349" s="638"/>
      <c r="V349" s="97" t="s">
        <v>9</v>
      </c>
    </row>
    <row r="350" spans="1:22" ht="18" hidden="1" customHeight="1">
      <c r="A350" s="205"/>
      <c r="U350" s="14"/>
      <c r="V350" s="97"/>
    </row>
    <row r="351" spans="1:22" ht="18" hidden="1" customHeight="1">
      <c r="A351" s="205"/>
      <c r="F351" s="30" t="s">
        <v>484</v>
      </c>
      <c r="G351" s="27" t="s">
        <v>540</v>
      </c>
      <c r="H351" s="969" t="s">
        <v>903</v>
      </c>
      <c r="I351" s="969"/>
      <c r="J351" s="27" t="s">
        <v>326</v>
      </c>
      <c r="K351" s="969" t="s">
        <v>855</v>
      </c>
      <c r="L351" s="969"/>
      <c r="M351" s="27" t="s">
        <v>326</v>
      </c>
      <c r="N351" s="256" t="s">
        <v>430</v>
      </c>
      <c r="O351" s="27" t="s">
        <v>431</v>
      </c>
      <c r="P351" s="27" t="s">
        <v>358</v>
      </c>
      <c r="Q351" s="27" t="s">
        <v>419</v>
      </c>
      <c r="R351" s="30" t="s">
        <v>361</v>
      </c>
      <c r="T351" s="47"/>
      <c r="U351" s="14"/>
      <c r="V351" s="97"/>
    </row>
    <row r="352" spans="1:22" ht="18" hidden="1" customHeight="1">
      <c r="A352" s="205"/>
      <c r="F352" s="30" t="s">
        <v>484</v>
      </c>
      <c r="G352" s="27" t="s">
        <v>540</v>
      </c>
      <c r="H352" s="969">
        <f>T348</f>
        <v>1.4</v>
      </c>
      <c r="I352" s="969"/>
      <c r="J352" s="27" t="s">
        <v>326</v>
      </c>
      <c r="K352" s="640" t="e">
        <f>T349</f>
        <v>#VALUE!</v>
      </c>
      <c r="L352" s="969"/>
      <c r="M352" s="27" t="s">
        <v>326</v>
      </c>
      <c r="N352" s="256" t="s">
        <v>430</v>
      </c>
      <c r="O352" s="27" t="str">
        <f>T310</f>
        <v>-</v>
      </c>
      <c r="P352" s="27" t="s">
        <v>358</v>
      </c>
      <c r="Q352" s="223">
        <f>T311</f>
        <v>1.46186744</v>
      </c>
      <c r="R352" s="30" t="s">
        <v>361</v>
      </c>
      <c r="V352" s="97"/>
    </row>
    <row r="353" spans="1:22" ht="18" hidden="1" customHeight="1">
      <c r="A353" s="196"/>
      <c r="F353" s="30" t="s">
        <v>484</v>
      </c>
      <c r="G353" s="27" t="s">
        <v>540</v>
      </c>
      <c r="H353" s="798" t="e">
        <f>H352*K352*(O352+Q352)</f>
        <v>#VALUE!</v>
      </c>
      <c r="I353" s="799"/>
      <c r="J353" s="14" t="s">
        <v>907</v>
      </c>
      <c r="V353" s="97"/>
    </row>
    <row r="354" spans="1:22" ht="18" hidden="1" customHeight="1">
      <c r="A354" s="96"/>
      <c r="U354" s="18"/>
      <c r="V354" s="97"/>
    </row>
    <row r="355" spans="1:22" ht="18" hidden="1" customHeight="1">
      <c r="A355" s="205" t="s">
        <v>908</v>
      </c>
      <c r="O355" s="47"/>
      <c r="P355" s="14"/>
      <c r="Q355" s="14"/>
      <c r="R355" s="14"/>
      <c r="S355" s="120"/>
      <c r="T355" s="18"/>
      <c r="U355" s="18"/>
      <c r="V355" s="97"/>
    </row>
    <row r="356" spans="1:22" ht="18" hidden="1" customHeight="1">
      <c r="A356" s="196"/>
      <c r="V356" s="97"/>
    </row>
    <row r="357" spans="1:22" ht="18" hidden="1" customHeight="1">
      <c r="A357" s="196"/>
      <c r="C357" s="30" t="s">
        <v>484</v>
      </c>
      <c r="D357" s="27" t="s">
        <v>540</v>
      </c>
      <c r="E357" s="861" t="s">
        <v>909</v>
      </c>
      <c r="F357" s="861"/>
      <c r="G357" s="27" t="s">
        <v>326</v>
      </c>
      <c r="H357" s="861" t="s">
        <v>910</v>
      </c>
      <c r="I357" s="861"/>
      <c r="J357" s="28" t="s">
        <v>683</v>
      </c>
      <c r="K357" s="27">
        <v>1</v>
      </c>
      <c r="L357" s="14" t="s">
        <v>358</v>
      </c>
      <c r="M357" s="14" t="s">
        <v>352</v>
      </c>
      <c r="N357" s="14" t="s">
        <v>911</v>
      </c>
      <c r="O357" s="27" t="s">
        <v>431</v>
      </c>
      <c r="P357" s="27" t="s">
        <v>358</v>
      </c>
      <c r="Q357" s="27" t="s">
        <v>419</v>
      </c>
      <c r="R357" s="30" t="s">
        <v>361</v>
      </c>
      <c r="V357" s="197"/>
    </row>
    <row r="358" spans="1:22" ht="18" hidden="1" customHeight="1">
      <c r="A358" s="196"/>
      <c r="C358" s="14" t="s">
        <v>904</v>
      </c>
      <c r="E358" s="27"/>
      <c r="F358" s="230"/>
      <c r="G358" s="216"/>
      <c r="H358" s="14"/>
      <c r="I358" s="14"/>
      <c r="J358" s="14"/>
      <c r="K358" s="14"/>
      <c r="L358" s="120"/>
      <c r="M358" s="120"/>
      <c r="N358" s="14"/>
      <c r="O358" s="14"/>
      <c r="U358" s="14"/>
      <c r="V358" s="197"/>
    </row>
    <row r="359" spans="1:22" ht="18" hidden="1" customHeight="1">
      <c r="A359" s="96"/>
      <c r="B359" s="14"/>
      <c r="D359" s="861" t="s">
        <v>909</v>
      </c>
      <c r="E359" s="969"/>
      <c r="F359" s="230" t="s">
        <v>138</v>
      </c>
      <c r="G359" s="269" t="s">
        <v>912</v>
      </c>
      <c r="H359" s="14"/>
      <c r="I359" s="14"/>
      <c r="J359" s="14"/>
      <c r="K359" s="14"/>
      <c r="L359" s="120"/>
      <c r="M359" s="120"/>
      <c r="N359" s="14"/>
      <c r="O359" s="14"/>
      <c r="S359" s="28" t="s">
        <v>138</v>
      </c>
      <c r="T359" s="28">
        <v>0.6</v>
      </c>
      <c r="U359" s="14"/>
      <c r="V359" s="97"/>
    </row>
    <row r="360" spans="1:22" ht="18" hidden="1" customHeight="1">
      <c r="A360" s="284"/>
      <c r="B360" s="47"/>
      <c r="D360" s="861" t="s">
        <v>910</v>
      </c>
      <c r="E360" s="969"/>
      <c r="F360" s="230" t="s">
        <v>138</v>
      </c>
      <c r="G360" s="269" t="s">
        <v>913</v>
      </c>
      <c r="H360" s="14"/>
      <c r="I360" s="14"/>
      <c r="J360" s="14"/>
      <c r="K360" s="14"/>
      <c r="L360" s="120"/>
      <c r="M360" s="120"/>
      <c r="N360" s="14"/>
      <c r="O360" s="14"/>
      <c r="S360" s="28" t="s">
        <v>138</v>
      </c>
      <c r="T360" s="641" t="e">
        <f>'[6]Fault Calc (3)'!M107/T308</f>
        <v>#VALUE!</v>
      </c>
      <c r="U360" s="638"/>
      <c r="V360" s="97" t="s">
        <v>9</v>
      </c>
    </row>
    <row r="361" spans="1:22" ht="18" hidden="1" customHeight="1">
      <c r="A361" s="96"/>
      <c r="B361" s="47"/>
      <c r="C361" s="120"/>
      <c r="S361" s="14"/>
      <c r="T361" s="14"/>
      <c r="U361" s="14"/>
      <c r="V361" s="97"/>
    </row>
    <row r="362" spans="1:22" ht="18" hidden="1" customHeight="1">
      <c r="A362" s="196"/>
      <c r="C362" s="30" t="s">
        <v>484</v>
      </c>
      <c r="D362" s="27" t="s">
        <v>540</v>
      </c>
      <c r="E362" s="861" t="s">
        <v>909</v>
      </c>
      <c r="F362" s="861"/>
      <c r="G362" s="27" t="s">
        <v>326</v>
      </c>
      <c r="H362" s="861" t="s">
        <v>910</v>
      </c>
      <c r="I362" s="861"/>
      <c r="J362" s="28" t="s">
        <v>683</v>
      </c>
      <c r="K362" s="27">
        <v>1</v>
      </c>
      <c r="L362" s="14" t="s">
        <v>358</v>
      </c>
      <c r="M362" s="14" t="s">
        <v>352</v>
      </c>
      <c r="N362" s="14" t="s">
        <v>911</v>
      </c>
      <c r="O362" s="27" t="s">
        <v>431</v>
      </c>
      <c r="P362" s="27" t="s">
        <v>358</v>
      </c>
      <c r="Q362" s="27" t="s">
        <v>419</v>
      </c>
      <c r="R362" s="30" t="s">
        <v>361</v>
      </c>
      <c r="V362" s="97"/>
    </row>
    <row r="363" spans="1:22" ht="18" hidden="1" customHeight="1">
      <c r="A363" s="196"/>
      <c r="C363" s="30" t="s">
        <v>484</v>
      </c>
      <c r="D363" s="27" t="s">
        <v>540</v>
      </c>
      <c r="E363" s="861">
        <f>T359</f>
        <v>0.6</v>
      </c>
      <c r="F363" s="861"/>
      <c r="G363" s="27" t="s">
        <v>326</v>
      </c>
      <c r="H363" s="1113" t="e">
        <f>T360</f>
        <v>#VALUE!</v>
      </c>
      <c r="I363" s="861"/>
      <c r="J363" s="28" t="s">
        <v>683</v>
      </c>
      <c r="K363" s="27">
        <v>1</v>
      </c>
      <c r="L363" s="14" t="s">
        <v>358</v>
      </c>
      <c r="M363" s="28">
        <f>T313</f>
        <v>50</v>
      </c>
      <c r="N363" s="14" t="s">
        <v>911</v>
      </c>
      <c r="O363" s="27" t="str">
        <f>T310</f>
        <v>-</v>
      </c>
      <c r="P363" s="27" t="s">
        <v>358</v>
      </c>
      <c r="Q363" s="223">
        <f>T311</f>
        <v>1.46186744</v>
      </c>
      <c r="R363" s="30" t="s">
        <v>361</v>
      </c>
      <c r="V363" s="97"/>
    </row>
    <row r="364" spans="1:22" ht="18" hidden="1" customHeight="1">
      <c r="A364" s="196"/>
      <c r="C364" s="30" t="s">
        <v>484</v>
      </c>
      <c r="D364" s="27" t="s">
        <v>540</v>
      </c>
      <c r="E364" s="1188" t="e">
        <f>E363*H363*((K363+M363)*(O363+Q363))</f>
        <v>#VALUE!</v>
      </c>
      <c r="F364" s="1189"/>
      <c r="G364" s="14" t="s">
        <v>907</v>
      </c>
      <c r="V364" s="97"/>
    </row>
    <row r="365" spans="1:22" ht="18" hidden="1" customHeight="1">
      <c r="A365" s="557"/>
      <c r="B365" s="261"/>
      <c r="C365" s="261"/>
      <c r="D365" s="261"/>
      <c r="E365" s="261"/>
      <c r="F365" s="261"/>
      <c r="G365" s="14"/>
      <c r="H365" s="14"/>
      <c r="I365" s="14"/>
      <c r="J365" s="14"/>
      <c r="K365" s="14"/>
      <c r="L365" s="14"/>
      <c r="M365" s="120"/>
      <c r="N365" s="102"/>
      <c r="O365" s="47"/>
      <c r="P365" s="14"/>
      <c r="Q365" s="14"/>
      <c r="R365" s="14"/>
      <c r="S365" s="14"/>
      <c r="T365" s="14"/>
      <c r="U365" s="14"/>
      <c r="V365" s="97"/>
    </row>
    <row r="366" spans="1:22" ht="18" hidden="1" customHeight="1">
      <c r="A366" s="96"/>
      <c r="B366" s="472" t="s">
        <v>914</v>
      </c>
      <c r="C366" s="28"/>
      <c r="D366" s="28"/>
      <c r="E366" s="14"/>
      <c r="F366" s="14"/>
      <c r="G366" s="120"/>
      <c r="H366" s="120"/>
      <c r="I366" s="47"/>
      <c r="J366" s="568"/>
      <c r="K366" s="14"/>
      <c r="L366" s="14"/>
      <c r="M366" s="644" t="e">
        <f>MAX(F342,H353,E364)</f>
        <v>#VALUE!</v>
      </c>
      <c r="N366" s="707"/>
      <c r="O366" s="14" t="s">
        <v>907</v>
      </c>
      <c r="P366" s="14"/>
      <c r="Q366" s="14"/>
      <c r="R366" s="14"/>
      <c r="S366" s="14"/>
      <c r="T366" s="14"/>
      <c r="U366" s="14"/>
      <c r="V366" s="97"/>
    </row>
    <row r="367" spans="1:22" ht="18" hidden="1" customHeight="1">
      <c r="A367" s="205"/>
      <c r="I367" s="14"/>
      <c r="J367" s="14"/>
      <c r="K367" s="14"/>
      <c r="L367" s="47"/>
      <c r="M367" s="47"/>
      <c r="N367" s="47"/>
      <c r="O367" s="47"/>
      <c r="P367" s="28"/>
      <c r="Q367" s="569"/>
      <c r="R367" s="47"/>
      <c r="S367" s="14"/>
      <c r="T367" s="14"/>
      <c r="U367" s="14"/>
      <c r="V367" s="97"/>
    </row>
    <row r="368" spans="1:22" ht="18" hidden="1" customHeight="1">
      <c r="A368" s="196"/>
      <c r="L368" s="28"/>
      <c r="M368" s="28"/>
      <c r="N368" s="28"/>
      <c r="O368" s="28"/>
      <c r="P368" s="28"/>
      <c r="Q368" s="230"/>
      <c r="R368" s="28"/>
      <c r="S368" s="28"/>
      <c r="T368" s="14"/>
      <c r="U368" s="28"/>
      <c r="V368" s="97"/>
    </row>
    <row r="369" spans="1:22" ht="18" hidden="1" customHeight="1">
      <c r="A369" s="196"/>
      <c r="L369" s="14"/>
      <c r="M369" s="14"/>
      <c r="N369" s="14"/>
      <c r="O369" s="14"/>
      <c r="P369" s="14"/>
      <c r="Q369" s="14"/>
      <c r="R369" s="14"/>
      <c r="S369" s="14"/>
      <c r="T369" s="14"/>
      <c r="U369" s="14"/>
      <c r="V369" s="97"/>
    </row>
    <row r="370" spans="1:22" ht="18" hidden="1" customHeight="1">
      <c r="A370" s="196"/>
      <c r="C370" s="30" t="s">
        <v>486</v>
      </c>
      <c r="F370" s="27" t="e">
        <f>IF(D371&gt;G371,"&gt;","&lt;")</f>
        <v>#VALUE!</v>
      </c>
      <c r="G370" s="30" t="s">
        <v>488</v>
      </c>
      <c r="L370" s="14"/>
      <c r="M370" s="14"/>
      <c r="N370" s="14"/>
      <c r="O370" s="14"/>
      <c r="P370" s="14"/>
      <c r="Q370" s="14"/>
      <c r="R370" s="14"/>
      <c r="S370" s="14"/>
      <c r="T370" s="14"/>
      <c r="U370" s="14"/>
      <c r="V370" s="97"/>
    </row>
    <row r="371" spans="1:22" ht="18" hidden="1" customHeight="1">
      <c r="A371" s="196"/>
      <c r="D371" s="639" t="str">
        <f>L256</f>
        <v>-</v>
      </c>
      <c r="E371" s="639"/>
      <c r="F371" s="27" t="e">
        <f>F370</f>
        <v>#VALUE!</v>
      </c>
      <c r="G371" s="637" t="e">
        <f>M366</f>
        <v>#VALUE!</v>
      </c>
      <c r="H371" s="639"/>
      <c r="L371" s="14"/>
      <c r="M371" s="14"/>
      <c r="N371" s="28"/>
      <c r="O371" s="28"/>
      <c r="P371" s="28"/>
      <c r="Q371" s="120"/>
      <c r="R371" s="262"/>
      <c r="S371" s="198"/>
      <c r="T371" s="14"/>
      <c r="U371" s="14"/>
      <c r="V371" s="97"/>
    </row>
    <row r="372" spans="1:22" ht="18" hidden="1" customHeight="1">
      <c r="A372" s="196"/>
      <c r="E372" s="256" t="s">
        <v>489</v>
      </c>
      <c r="G372" s="18" t="e">
        <f>IF(F370="&gt;","Suitably Dimensioned","Under Dimensioned")</f>
        <v>#VALUE!</v>
      </c>
      <c r="L372" s="14"/>
      <c r="M372" s="14"/>
      <c r="N372" s="28"/>
      <c r="O372" s="269"/>
      <c r="P372" s="14"/>
      <c r="Q372" s="14"/>
      <c r="R372" s="120"/>
      <c r="S372" s="28"/>
      <c r="T372" s="47"/>
      <c r="U372" s="14"/>
      <c r="V372" s="97"/>
    </row>
    <row r="373" spans="1:22" ht="18" hidden="1" customHeight="1">
      <c r="A373" s="196"/>
      <c r="E373" s="256"/>
      <c r="G373" s="18"/>
      <c r="L373" s="14"/>
      <c r="M373" s="14"/>
      <c r="N373" s="28"/>
      <c r="O373" s="269"/>
      <c r="P373" s="14"/>
      <c r="Q373" s="14"/>
      <c r="R373" s="120"/>
      <c r="S373" s="28"/>
      <c r="T373" s="47"/>
      <c r="U373" s="14"/>
      <c r="V373" s="97"/>
    </row>
    <row r="374" spans="1:22" ht="18" hidden="1" customHeight="1">
      <c r="A374" s="196"/>
      <c r="E374" s="256"/>
      <c r="G374" s="18"/>
      <c r="L374" s="14"/>
      <c r="M374" s="14"/>
      <c r="N374" s="28"/>
      <c r="O374" s="269"/>
      <c r="P374" s="14"/>
      <c r="Q374" s="14"/>
      <c r="R374" s="120"/>
      <c r="S374" s="28"/>
      <c r="T374" s="47"/>
      <c r="U374" s="14"/>
      <c r="V374" s="97"/>
    </row>
    <row r="375" spans="1:22" ht="18" hidden="1" customHeight="1">
      <c r="A375" s="196"/>
      <c r="E375" s="256"/>
      <c r="G375" s="18"/>
      <c r="L375" s="14"/>
      <c r="M375" s="14"/>
      <c r="N375" s="28"/>
      <c r="O375" s="269"/>
      <c r="P375" s="14"/>
      <c r="Q375" s="14"/>
      <c r="R375" s="120"/>
      <c r="S375" s="28"/>
      <c r="T375" s="47"/>
      <c r="U375" s="14"/>
      <c r="V375" s="97"/>
    </row>
    <row r="376" spans="1:22" ht="18" hidden="1" customHeight="1">
      <c r="A376" s="196"/>
      <c r="E376" s="256"/>
      <c r="G376" s="18"/>
      <c r="L376" s="14"/>
      <c r="M376" s="14"/>
      <c r="N376" s="28"/>
      <c r="O376" s="269"/>
      <c r="P376" s="14"/>
      <c r="Q376" s="14"/>
      <c r="R376" s="120"/>
      <c r="S376" s="28"/>
      <c r="T376" s="47"/>
      <c r="U376" s="14"/>
      <c r="V376" s="97"/>
    </row>
    <row r="377" spans="1:22" ht="18" hidden="1" customHeight="1">
      <c r="A377" s="196"/>
      <c r="E377" s="256"/>
      <c r="G377" s="18"/>
      <c r="L377" s="14"/>
      <c r="M377" s="14"/>
      <c r="N377" s="28"/>
      <c r="O377" s="269"/>
      <c r="P377" s="14"/>
      <c r="Q377" s="14"/>
      <c r="R377" s="120"/>
      <c r="S377" s="28"/>
      <c r="T377" s="47"/>
      <c r="U377" s="14"/>
      <c r="V377" s="97"/>
    </row>
    <row r="378" spans="1:22" ht="18" hidden="1" customHeight="1">
      <c r="A378" s="205"/>
      <c r="B378" s="14"/>
      <c r="C378" s="27"/>
      <c r="D378" s="230"/>
      <c r="E378" s="216"/>
      <c r="F378" s="14"/>
      <c r="G378" s="14"/>
      <c r="H378" s="14"/>
      <c r="I378" s="14"/>
      <c r="J378" s="120"/>
      <c r="K378" s="120"/>
      <c r="L378" s="14"/>
      <c r="M378" s="14"/>
      <c r="N378" s="28"/>
      <c r="O378" s="269"/>
      <c r="P378" s="14"/>
      <c r="Q378" s="14"/>
      <c r="R378" s="120"/>
      <c r="S378" s="28"/>
      <c r="T378" s="47"/>
      <c r="U378" s="14"/>
      <c r="V378" s="97"/>
    </row>
    <row r="379" spans="1:22" ht="18" hidden="1" customHeight="1">
      <c r="A379" s="205"/>
      <c r="B379" s="14"/>
      <c r="C379" s="27"/>
      <c r="D379" s="230"/>
      <c r="E379" s="216"/>
      <c r="F379" s="14"/>
      <c r="G379" s="14"/>
      <c r="H379" s="14"/>
      <c r="I379" s="14"/>
      <c r="J379" s="120"/>
      <c r="K379" s="120"/>
      <c r="L379" s="14"/>
      <c r="M379" s="14"/>
      <c r="N379" s="28"/>
      <c r="O379" s="269"/>
      <c r="P379" s="14"/>
      <c r="Q379" s="14"/>
      <c r="R379" s="120"/>
      <c r="S379" s="28"/>
      <c r="T379" s="47"/>
      <c r="U379" s="14"/>
      <c r="V379" s="97"/>
    </row>
    <row r="380" spans="1:22" ht="18" hidden="1" customHeight="1">
      <c r="A380" s="206"/>
      <c r="B380" s="207"/>
      <c r="C380" s="207"/>
      <c r="D380" s="207"/>
      <c r="E380" s="207"/>
      <c r="F380" s="207"/>
      <c r="G380" s="207"/>
      <c r="H380" s="207"/>
      <c r="I380" s="207"/>
      <c r="J380" s="207"/>
      <c r="K380" s="207"/>
      <c r="L380" s="207"/>
      <c r="M380" s="207"/>
      <c r="N380" s="207"/>
      <c r="O380" s="207"/>
      <c r="P380" s="207"/>
      <c r="Q380" s="236"/>
      <c r="R380" s="194"/>
      <c r="S380" s="237"/>
      <c r="T380" s="207"/>
      <c r="U380" s="207"/>
      <c r="V380" s="140"/>
    </row>
    <row r="381" spans="1:22" ht="18" hidden="1" customHeight="1">
      <c r="A381" s="238"/>
      <c r="B381" s="239"/>
      <c r="C381" s="239"/>
      <c r="D381" s="239"/>
      <c r="E381" s="239"/>
      <c r="F381" s="239"/>
      <c r="G381" s="239"/>
      <c r="H381" s="570"/>
      <c r="I381" s="239"/>
      <c r="J381" s="239"/>
      <c r="K381" s="239"/>
      <c r="L381" s="239"/>
      <c r="M381" s="239"/>
      <c r="N381" s="239"/>
      <c r="O381" s="239"/>
      <c r="P381" s="239"/>
      <c r="Q381" s="239"/>
      <c r="R381" s="239"/>
      <c r="S381" s="239"/>
      <c r="T381" s="239"/>
      <c r="U381" s="239"/>
      <c r="V381" s="240"/>
    </row>
    <row r="382" spans="1:22" ht="18" customHeight="1">
      <c r="A382" s="196"/>
      <c r="H382" s="18"/>
      <c r="V382" s="197"/>
    </row>
    <row r="383" spans="1:22" ht="18" customHeight="1">
      <c r="A383" s="465" t="s">
        <v>512</v>
      </c>
      <c r="B383" s="14"/>
      <c r="C383" s="14"/>
      <c r="D383" s="120"/>
      <c r="E383" s="120"/>
      <c r="F383" s="18"/>
      <c r="G383" s="18"/>
      <c r="H383" s="14"/>
      <c r="I383" s="14"/>
      <c r="J383" s="14"/>
      <c r="K383" s="14"/>
      <c r="L383" s="14"/>
      <c r="M383" s="14"/>
      <c r="N383" s="14"/>
      <c r="O383" s="14"/>
      <c r="P383" s="28"/>
      <c r="Q383" s="120"/>
      <c r="R383" s="47"/>
      <c r="S383" s="218"/>
      <c r="T383" s="271"/>
      <c r="U383" s="14"/>
      <c r="V383" s="97"/>
    </row>
    <row r="384" spans="1:22" customFormat="1" ht="54.6" customHeight="1">
      <c r="A384" s="782" t="s">
        <v>97</v>
      </c>
      <c r="B384" s="782"/>
      <c r="C384" s="612"/>
      <c r="D384" s="782" t="s">
        <v>98</v>
      </c>
      <c r="E384" s="782"/>
      <c r="F384" s="782"/>
      <c r="G384" s="782" t="s">
        <v>99</v>
      </c>
      <c r="H384" s="782"/>
      <c r="I384" s="782" t="s">
        <v>100</v>
      </c>
      <c r="J384" s="782"/>
      <c r="K384" s="614" t="s">
        <v>101</v>
      </c>
      <c r="L384" s="615"/>
      <c r="M384" s="614" t="s">
        <v>102</v>
      </c>
      <c r="N384" s="615"/>
      <c r="O384" s="614" t="s">
        <v>103</v>
      </c>
      <c r="P384" s="615"/>
      <c r="Q384" s="614" t="s">
        <v>104</v>
      </c>
      <c r="R384" s="615"/>
      <c r="S384" s="782" t="s">
        <v>105</v>
      </c>
      <c r="T384" s="782"/>
      <c r="U384" s="782"/>
      <c r="V384" s="782"/>
    </row>
    <row r="385" spans="1:22" customFormat="1" ht="18" customHeight="1">
      <c r="A385" s="612" t="str">
        <f>B250</f>
        <v>T1</v>
      </c>
      <c r="B385" s="623" t="str">
        <f>D250</f>
        <v>Core2</v>
      </c>
      <c r="C385" s="623"/>
      <c r="D385" s="613">
        <f>H253</f>
        <v>2500</v>
      </c>
      <c r="E385" s="613"/>
      <c r="F385" s="624">
        <f>O253</f>
        <v>1</v>
      </c>
      <c r="G385" s="613">
        <f>'[6]CT-VT Burdens'!S20</f>
        <v>75</v>
      </c>
      <c r="H385" s="783">
        <f>'[6]CT-VT Burdens'!S11</f>
        <v>6</v>
      </c>
      <c r="I385" s="783" t="str">
        <f>L254</f>
        <v>PX-A</v>
      </c>
      <c r="J385" s="783"/>
      <c r="K385" s="612">
        <f>H12</f>
        <v>5</v>
      </c>
      <c r="L385" s="612"/>
      <c r="M385" s="612">
        <f>H13</f>
        <v>3750</v>
      </c>
      <c r="N385" s="612"/>
      <c r="O385" s="613">
        <f>H14</f>
        <v>60</v>
      </c>
      <c r="P385" s="613"/>
      <c r="Q385" s="629" t="str">
        <f>IF(T8="",T7,IF(T9="",T7&amp;"+"&amp;T8,T7&amp;"+"&amp;T8&amp;"+"&amp;T9))</f>
        <v>P545</v>
      </c>
      <c r="R385" s="629"/>
      <c r="S385" s="628" t="str">
        <f>G94</f>
        <v>Suitably Dimensioned</v>
      </c>
      <c r="T385" s="628"/>
      <c r="U385" s="628"/>
      <c r="V385" s="628"/>
    </row>
    <row r="386" spans="1:22" customFormat="1" ht="18" customHeight="1">
      <c r="A386" s="612"/>
      <c r="B386" s="623"/>
      <c r="C386" s="623"/>
      <c r="D386" s="613" t="str">
        <f>J253</f>
        <v>-</v>
      </c>
      <c r="E386" s="613"/>
      <c r="F386" s="625"/>
      <c r="G386" s="613"/>
      <c r="H386" s="613"/>
      <c r="I386" s="783"/>
      <c r="J386" s="783"/>
      <c r="K386" s="785" t="s">
        <v>7</v>
      </c>
      <c r="L386" s="612"/>
      <c r="M386" s="785" t="s">
        <v>7</v>
      </c>
      <c r="N386" s="612"/>
      <c r="O386" s="786" t="s">
        <v>7</v>
      </c>
      <c r="P386" s="613"/>
      <c r="Q386" s="629"/>
      <c r="R386" s="629"/>
      <c r="S386" s="628"/>
      <c r="T386" s="628"/>
      <c r="U386" s="628"/>
      <c r="V386" s="628"/>
    </row>
    <row r="387" spans="1:22" customFormat="1" ht="18" customHeight="1">
      <c r="A387" s="612"/>
      <c r="B387" s="623"/>
      <c r="C387" s="623"/>
      <c r="D387" s="613" t="str">
        <f>L253</f>
        <v>-</v>
      </c>
      <c r="E387" s="613"/>
      <c r="F387" s="626"/>
      <c r="G387" s="613"/>
      <c r="H387" s="613"/>
      <c r="I387" s="783"/>
      <c r="J387" s="783"/>
      <c r="K387" s="612" t="str">
        <f>L255</f>
        <v>-</v>
      </c>
      <c r="L387" s="612"/>
      <c r="M387" s="612" t="str">
        <f>L256</f>
        <v>-</v>
      </c>
      <c r="N387" s="612"/>
      <c r="O387" s="613" t="str">
        <f>L257</f>
        <v>-</v>
      </c>
      <c r="P387" s="613"/>
      <c r="Q387" s="629"/>
      <c r="R387" s="629"/>
      <c r="S387" s="628"/>
      <c r="T387" s="628"/>
      <c r="U387" s="628"/>
      <c r="V387" s="628"/>
    </row>
    <row r="388" spans="1:22" ht="18" customHeight="1">
      <c r="A388" s="196"/>
      <c r="H388" s="18"/>
      <c r="V388" s="197"/>
    </row>
    <row r="389" spans="1:22" ht="18" customHeight="1">
      <c r="A389" s="196"/>
      <c r="H389" s="18"/>
      <c r="V389" s="197"/>
    </row>
    <row r="390" spans="1:22" ht="18" customHeight="1">
      <c r="A390" s="196"/>
      <c r="H390" s="18"/>
      <c r="V390" s="197"/>
    </row>
    <row r="391" spans="1:22" ht="18" customHeight="1">
      <c r="A391" s="196"/>
      <c r="H391" s="18"/>
      <c r="V391" s="197"/>
    </row>
    <row r="392" spans="1:22" ht="18" customHeight="1">
      <c r="A392" s="196"/>
      <c r="H392" s="18"/>
      <c r="V392" s="197"/>
    </row>
    <row r="393" spans="1:22" ht="18" customHeight="1">
      <c r="A393" s="196"/>
      <c r="H393" s="18"/>
      <c r="V393" s="197"/>
    </row>
    <row r="394" spans="1:22" ht="18" customHeight="1">
      <c r="A394" s="196"/>
      <c r="H394" s="18"/>
      <c r="V394" s="197"/>
    </row>
    <row r="395" spans="1:22" ht="18" customHeight="1">
      <c r="A395" s="196"/>
      <c r="H395" s="18"/>
      <c r="V395" s="197"/>
    </row>
    <row r="396" spans="1:22" ht="18" customHeight="1">
      <c r="A396" s="196"/>
      <c r="H396" s="18"/>
      <c r="V396" s="197"/>
    </row>
    <row r="397" spans="1:22" ht="18" customHeight="1">
      <c r="A397" s="196"/>
      <c r="H397" s="18"/>
      <c r="V397" s="197"/>
    </row>
    <row r="398" spans="1:22" ht="18" customHeight="1">
      <c r="A398" s="196"/>
      <c r="H398" s="18"/>
      <c r="V398" s="197"/>
    </row>
    <row r="399" spans="1:22" ht="18" customHeight="1">
      <c r="A399" s="196"/>
      <c r="H399" s="18"/>
      <c r="V399" s="197"/>
    </row>
    <row r="400" spans="1:22" ht="18" customHeight="1">
      <c r="A400" s="196"/>
      <c r="H400" s="18"/>
      <c r="V400" s="197"/>
    </row>
    <row r="401" spans="1:22" ht="18" customHeight="1">
      <c r="A401" s="196"/>
      <c r="H401" s="18"/>
      <c r="V401" s="197"/>
    </row>
    <row r="402" spans="1:22" ht="18" customHeight="1">
      <c r="A402" s="196"/>
      <c r="H402" s="18"/>
      <c r="V402" s="197"/>
    </row>
    <row r="403" spans="1:22" ht="18" customHeight="1">
      <c r="A403" s="196"/>
      <c r="H403" s="18"/>
      <c r="V403" s="197"/>
    </row>
    <row r="404" spans="1:22" ht="18" customHeight="1">
      <c r="A404" s="196"/>
      <c r="H404" s="18"/>
      <c r="V404" s="197"/>
    </row>
    <row r="405" spans="1:22" ht="18" customHeight="1">
      <c r="A405" s="196"/>
      <c r="H405" s="18"/>
      <c r="V405" s="197"/>
    </row>
    <row r="406" spans="1:22" ht="18" customHeight="1">
      <c r="A406" s="196"/>
      <c r="H406" s="18"/>
      <c r="V406" s="197"/>
    </row>
    <row r="407" spans="1:22" ht="18" customHeight="1">
      <c r="A407" s="196"/>
      <c r="H407" s="18"/>
      <c r="V407" s="197"/>
    </row>
    <row r="408" spans="1:22" ht="18" customHeight="1">
      <c r="A408" s="196"/>
      <c r="H408" s="18"/>
      <c r="V408" s="197"/>
    </row>
    <row r="409" spans="1:22" ht="18" customHeight="1">
      <c r="A409" s="196"/>
      <c r="H409" s="18"/>
      <c r="V409" s="197"/>
    </row>
    <row r="410" spans="1:22" ht="18" customHeight="1">
      <c r="A410" s="196"/>
      <c r="H410" s="18"/>
      <c r="V410" s="197"/>
    </row>
    <row r="411" spans="1:22" ht="18" customHeight="1">
      <c r="A411" s="196"/>
      <c r="H411" s="18"/>
      <c r="V411" s="197"/>
    </row>
    <row r="412" spans="1:22" ht="18" customHeight="1">
      <c r="A412" s="196"/>
      <c r="H412" s="18"/>
      <c r="V412" s="197"/>
    </row>
    <row r="413" spans="1:22" ht="18" customHeight="1">
      <c r="A413" s="196"/>
      <c r="H413" s="18"/>
      <c r="V413" s="197"/>
    </row>
    <row r="414" spans="1:22" ht="18" customHeight="1">
      <c r="A414" s="196"/>
      <c r="H414" s="18"/>
      <c r="V414" s="197"/>
    </row>
    <row r="415" spans="1:22" ht="18" customHeight="1">
      <c r="A415" s="196"/>
      <c r="H415" s="18"/>
      <c r="V415" s="197"/>
    </row>
    <row r="416" spans="1:22" ht="18" customHeight="1">
      <c r="A416" s="196"/>
      <c r="H416" s="18"/>
      <c r="V416" s="197"/>
    </row>
    <row r="417" spans="1:22" ht="18" customHeight="1">
      <c r="A417" s="196"/>
      <c r="H417" s="18"/>
      <c r="V417" s="197"/>
    </row>
    <row r="418" spans="1:22" ht="18" customHeight="1">
      <c r="A418" s="196"/>
      <c r="V418" s="197"/>
    </row>
    <row r="419" spans="1:22" ht="18" customHeight="1">
      <c r="A419" s="206"/>
      <c r="B419" s="207"/>
      <c r="C419" s="207"/>
      <c r="D419" s="207"/>
      <c r="E419" s="207"/>
      <c r="F419" s="207"/>
      <c r="G419" s="207"/>
      <c r="H419" s="207"/>
      <c r="I419" s="207"/>
      <c r="J419" s="207"/>
      <c r="K419" s="207"/>
      <c r="L419" s="207"/>
      <c r="M419" s="207"/>
      <c r="N419" s="207"/>
      <c r="O419" s="207"/>
      <c r="P419" s="207"/>
      <c r="Q419" s="236"/>
      <c r="R419" s="194"/>
      <c r="S419" s="237"/>
      <c r="T419" s="207"/>
      <c r="U419" s="207"/>
      <c r="V419" s="140"/>
    </row>
  </sheetData>
  <dataConsolidate/>
  <mergeCells count="309">
    <mergeCell ref="S386:V386"/>
    <mergeCell ref="O384:P384"/>
    <mergeCell ref="Q384:R384"/>
    <mergeCell ref="S384:V384"/>
    <mergeCell ref="A385:A387"/>
    <mergeCell ref="B385:C387"/>
    <mergeCell ref="D385:E385"/>
    <mergeCell ref="F385:F387"/>
    <mergeCell ref="G385:G387"/>
    <mergeCell ref="H385:H387"/>
    <mergeCell ref="I385:J387"/>
    <mergeCell ref="D387:E387"/>
    <mergeCell ref="K387:L387"/>
    <mergeCell ref="M387:N387"/>
    <mergeCell ref="O387:P387"/>
    <mergeCell ref="S387:V387"/>
    <mergeCell ref="K385:L385"/>
    <mergeCell ref="M385:N385"/>
    <mergeCell ref="O385:P385"/>
    <mergeCell ref="Q385:R387"/>
    <mergeCell ref="S385:V385"/>
    <mergeCell ref="D386:E386"/>
    <mergeCell ref="K386:L386"/>
    <mergeCell ref="M386:N386"/>
    <mergeCell ref="O386:P386"/>
    <mergeCell ref="E364:F364"/>
    <mergeCell ref="M366:N366"/>
    <mergeCell ref="D371:E371"/>
    <mergeCell ref="G371:H371"/>
    <mergeCell ref="A384:C384"/>
    <mergeCell ref="D384:F384"/>
    <mergeCell ref="G384:H384"/>
    <mergeCell ref="I384:J384"/>
    <mergeCell ref="K384:L384"/>
    <mergeCell ref="M384:N384"/>
    <mergeCell ref="D359:E359"/>
    <mergeCell ref="D360:E360"/>
    <mergeCell ref="T360:U360"/>
    <mergeCell ref="E362:F362"/>
    <mergeCell ref="H362:I362"/>
    <mergeCell ref="E363:F363"/>
    <mergeCell ref="H363:I363"/>
    <mergeCell ref="H351:I351"/>
    <mergeCell ref="K351:L351"/>
    <mergeCell ref="H352:I352"/>
    <mergeCell ref="K352:L352"/>
    <mergeCell ref="H353:I353"/>
    <mergeCell ref="E357:F357"/>
    <mergeCell ref="H357:I357"/>
    <mergeCell ref="F342:G342"/>
    <mergeCell ref="H346:I346"/>
    <mergeCell ref="K346:L346"/>
    <mergeCell ref="G348:H348"/>
    <mergeCell ref="G349:H349"/>
    <mergeCell ref="T349:U349"/>
    <mergeCell ref="E324:F324"/>
    <mergeCell ref="H327:I327"/>
    <mergeCell ref="H328:I328"/>
    <mergeCell ref="C329:D329"/>
    <mergeCell ref="I329:J329"/>
    <mergeCell ref="O329:P329"/>
    <mergeCell ref="D319:E319"/>
    <mergeCell ref="I319:J319"/>
    <mergeCell ref="T319:U319"/>
    <mergeCell ref="I322:J322"/>
    <mergeCell ref="R322:S322"/>
    <mergeCell ref="I323:J323"/>
    <mergeCell ref="T329:U329"/>
    <mergeCell ref="T311:U311"/>
    <mergeCell ref="T312:U312"/>
    <mergeCell ref="T313:U313"/>
    <mergeCell ref="T314:U314"/>
    <mergeCell ref="B317:C317"/>
    <mergeCell ref="B318:C318"/>
    <mergeCell ref="J301:K301"/>
    <mergeCell ref="J304:K304"/>
    <mergeCell ref="T307:U307"/>
    <mergeCell ref="T308:U308"/>
    <mergeCell ref="T309:U309"/>
    <mergeCell ref="T310:U310"/>
    <mergeCell ref="D282:E282"/>
    <mergeCell ref="J284:K284"/>
    <mergeCell ref="J294:K294"/>
    <mergeCell ref="A297:A298"/>
    <mergeCell ref="B297:V298"/>
    <mergeCell ref="D299:E299"/>
    <mergeCell ref="J265:K265"/>
    <mergeCell ref="D270:E270"/>
    <mergeCell ref="O270:P270"/>
    <mergeCell ref="A278:V279"/>
    <mergeCell ref="A280:A281"/>
    <mergeCell ref="B280:V281"/>
    <mergeCell ref="AB256:AC256"/>
    <mergeCell ref="L257:M257"/>
    <mergeCell ref="J261:K261"/>
    <mergeCell ref="J262:K262"/>
    <mergeCell ref="J263:K263"/>
    <mergeCell ref="J264:K264"/>
    <mergeCell ref="H253:I253"/>
    <mergeCell ref="J253:K253"/>
    <mergeCell ref="L253:M253"/>
    <mergeCell ref="L254:M254"/>
    <mergeCell ref="L255:M255"/>
    <mergeCell ref="L256:M256"/>
    <mergeCell ref="T250:U250"/>
    <mergeCell ref="B251:C251"/>
    <mergeCell ref="T251:U251"/>
    <mergeCell ref="H252:I252"/>
    <mergeCell ref="J252:K252"/>
    <mergeCell ref="L252:M252"/>
    <mergeCell ref="T252:U252"/>
    <mergeCell ref="D240:E240"/>
    <mergeCell ref="G240:H240"/>
    <mergeCell ref="B250:C250"/>
    <mergeCell ref="D250:E251"/>
    <mergeCell ref="F250:G250"/>
    <mergeCell ref="H250:M250"/>
    <mergeCell ref="E233:F233"/>
    <mergeCell ref="H233:I233"/>
    <mergeCell ref="E234:F234"/>
    <mergeCell ref="H234:I234"/>
    <mergeCell ref="E235:F235"/>
    <mergeCell ref="M237:N237"/>
    <mergeCell ref="H224:I224"/>
    <mergeCell ref="E228:F228"/>
    <mergeCell ref="H228:I228"/>
    <mergeCell ref="D230:E230"/>
    <mergeCell ref="D231:E231"/>
    <mergeCell ref="T231:U231"/>
    <mergeCell ref="G219:H219"/>
    <mergeCell ref="G220:H220"/>
    <mergeCell ref="T220:U220"/>
    <mergeCell ref="H222:I222"/>
    <mergeCell ref="K222:L222"/>
    <mergeCell ref="H223:I223"/>
    <mergeCell ref="K223:L223"/>
    <mergeCell ref="C200:D200"/>
    <mergeCell ref="I200:J200"/>
    <mergeCell ref="O200:P200"/>
    <mergeCell ref="T200:U200"/>
    <mergeCell ref="F213:G213"/>
    <mergeCell ref="H217:I217"/>
    <mergeCell ref="K217:L217"/>
    <mergeCell ref="I193:J193"/>
    <mergeCell ref="R193:S193"/>
    <mergeCell ref="I194:J194"/>
    <mergeCell ref="E195:F195"/>
    <mergeCell ref="H198:I198"/>
    <mergeCell ref="H199:I199"/>
    <mergeCell ref="T185:U185"/>
    <mergeCell ref="B188:C188"/>
    <mergeCell ref="B189:C189"/>
    <mergeCell ref="D190:E190"/>
    <mergeCell ref="I190:J190"/>
    <mergeCell ref="T190:U190"/>
    <mergeCell ref="T179:U179"/>
    <mergeCell ref="T180:U180"/>
    <mergeCell ref="T181:U181"/>
    <mergeCell ref="T182:U182"/>
    <mergeCell ref="T183:U183"/>
    <mergeCell ref="T184:U184"/>
    <mergeCell ref="A168:A169"/>
    <mergeCell ref="B168:V169"/>
    <mergeCell ref="D170:E170"/>
    <mergeCell ref="J172:K172"/>
    <mergeCell ref="J175:K175"/>
    <mergeCell ref="T178:U178"/>
    <mergeCell ref="A154:V155"/>
    <mergeCell ref="A156:A157"/>
    <mergeCell ref="B156:V157"/>
    <mergeCell ref="D158:E158"/>
    <mergeCell ref="J160:K160"/>
    <mergeCell ref="J163:K163"/>
    <mergeCell ref="J142:K142"/>
    <mergeCell ref="D147:E147"/>
    <mergeCell ref="O147:P147"/>
    <mergeCell ref="M148:N148"/>
    <mergeCell ref="P148:Q148"/>
    <mergeCell ref="S148:T148"/>
    <mergeCell ref="AB133:AC133"/>
    <mergeCell ref="J134:K134"/>
    <mergeCell ref="J138:K138"/>
    <mergeCell ref="J139:K139"/>
    <mergeCell ref="J140:K140"/>
    <mergeCell ref="J141:K141"/>
    <mergeCell ref="H130:I130"/>
    <mergeCell ref="J130:K130"/>
    <mergeCell ref="L130:M130"/>
    <mergeCell ref="J131:K131"/>
    <mergeCell ref="J132:K132"/>
    <mergeCell ref="J133:K133"/>
    <mergeCell ref="T127:U127"/>
    <mergeCell ref="B128:C128"/>
    <mergeCell ref="D128:E128"/>
    <mergeCell ref="T128:U128"/>
    <mergeCell ref="H129:I129"/>
    <mergeCell ref="J129:K129"/>
    <mergeCell ref="L129:M129"/>
    <mergeCell ref="T129:U129"/>
    <mergeCell ref="E117:F117"/>
    <mergeCell ref="M118:N118"/>
    <mergeCell ref="D121:E121"/>
    <mergeCell ref="G121:H121"/>
    <mergeCell ref="B127:C127"/>
    <mergeCell ref="D127:E127"/>
    <mergeCell ref="F127:G127"/>
    <mergeCell ref="H127:M127"/>
    <mergeCell ref="D112:E112"/>
    <mergeCell ref="D113:E113"/>
    <mergeCell ref="T113:U113"/>
    <mergeCell ref="E115:F115"/>
    <mergeCell ref="H115:I115"/>
    <mergeCell ref="E116:F116"/>
    <mergeCell ref="H116:I116"/>
    <mergeCell ref="H106:I106"/>
    <mergeCell ref="K106:L106"/>
    <mergeCell ref="H107:I107"/>
    <mergeCell ref="K107:L107"/>
    <mergeCell ref="H108:I108"/>
    <mergeCell ref="E110:F110"/>
    <mergeCell ref="H110:I110"/>
    <mergeCell ref="H99:I99"/>
    <mergeCell ref="H101:I101"/>
    <mergeCell ref="K101:L101"/>
    <mergeCell ref="G103:H103"/>
    <mergeCell ref="G104:H104"/>
    <mergeCell ref="T104:U104"/>
    <mergeCell ref="C81:D81"/>
    <mergeCell ref="I81:J81"/>
    <mergeCell ref="O81:P81"/>
    <mergeCell ref="T81:U81"/>
    <mergeCell ref="F90:G90"/>
    <mergeCell ref="A98:V98"/>
    <mergeCell ref="D92:E92"/>
    <mergeCell ref="G92:H92"/>
    <mergeCell ref="I74:J74"/>
    <mergeCell ref="R74:S74"/>
    <mergeCell ref="I75:J75"/>
    <mergeCell ref="E76:F76"/>
    <mergeCell ref="H79:I79"/>
    <mergeCell ref="H80:I80"/>
    <mergeCell ref="T64:U64"/>
    <mergeCell ref="T65:U65"/>
    <mergeCell ref="T66:U66"/>
    <mergeCell ref="B69:C69"/>
    <mergeCell ref="B70:C70"/>
    <mergeCell ref="D71:E71"/>
    <mergeCell ref="I71:J71"/>
    <mergeCell ref="T71:U71"/>
    <mergeCell ref="J56:K56"/>
    <mergeCell ref="T59:U59"/>
    <mergeCell ref="T60:U60"/>
    <mergeCell ref="T61:U61"/>
    <mergeCell ref="T62:U62"/>
    <mergeCell ref="T63:U63"/>
    <mergeCell ref="D39:E39"/>
    <mergeCell ref="J41:K41"/>
    <mergeCell ref="J47:K47"/>
    <mergeCell ref="B50:V50"/>
    <mergeCell ref="D51:E51"/>
    <mergeCell ref="J53:K53"/>
    <mergeCell ref="M29:N29"/>
    <mergeCell ref="P29:Q29"/>
    <mergeCell ref="S29:T29"/>
    <mergeCell ref="A35:V36"/>
    <mergeCell ref="A37:A38"/>
    <mergeCell ref="B37:V38"/>
    <mergeCell ref="J19:K19"/>
    <mergeCell ref="J20:K20"/>
    <mergeCell ref="J21:K21"/>
    <mergeCell ref="J22:K22"/>
    <mergeCell ref="D27:E27"/>
    <mergeCell ref="O27:P27"/>
    <mergeCell ref="H11:I11"/>
    <mergeCell ref="H12:I12"/>
    <mergeCell ref="H13:I13"/>
    <mergeCell ref="AB13:AC13"/>
    <mergeCell ref="H14:I14"/>
    <mergeCell ref="J18:K18"/>
    <mergeCell ref="H9:I9"/>
    <mergeCell ref="J9:K9"/>
    <mergeCell ref="L9:M9"/>
    <mergeCell ref="T9:U9"/>
    <mergeCell ref="H10:I10"/>
    <mergeCell ref="J10:K10"/>
    <mergeCell ref="L10:M10"/>
    <mergeCell ref="B7:C7"/>
    <mergeCell ref="D7:E7"/>
    <mergeCell ref="F7:G7"/>
    <mergeCell ref="H7:M7"/>
    <mergeCell ref="T7:U7"/>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94">
    <cfRule type="cellIs" dxfId="24" priority="2" stopIfTrue="1" operator="equal">
      <formula>"Under Dimentioned"</formula>
    </cfRule>
  </conditionalFormatting>
  <conditionalFormatting sqref="G122 G200:G206 G241:G244 G329:G335 G372:G377">
    <cfRule type="cellIs" dxfId="23" priority="3" stopIfTrue="1" operator="equal">
      <formula>"Under Dimentioned"</formula>
    </cfRule>
  </conditionalFormatting>
  <conditionalFormatting sqref="T67:U67 T71:U71 T81:U81 T109:U109 T177:U183 T186:U186 T188:U188 T190:U190 T200:U200 U225:U226 T226 T306:U312 T315:U315 T317:U317 T319:U319 T329:U329 U354:U355 T355">
    <cfRule type="cellIs" dxfId="22" priority="4" stopIfTrue="1" operator="equal">
      <formula>FALSE</formula>
    </cfRule>
  </conditionalFormatting>
  <dataValidations count="3">
    <dataValidation type="list" allowBlank="1" showInputMessage="1" showErrorMessage="1" sqref="D7:E8 D127:E128" xr:uid="{9B288C15-8364-413A-B606-F640B5A2EEF1}">
      <formula1>"Core1,Core2,Core3,Core4,Core5,Core6"</formula1>
    </dataValidation>
    <dataValidation type="list" allowBlank="1" showInputMessage="1" showErrorMessage="1" sqref="T66" xr:uid="{31A82064-71B7-48FA-9E45-49D815D358E0}">
      <formula1>"100, 150"</formula1>
    </dataValidation>
    <dataValidation type="list" allowBlank="1" showInputMessage="1" showErrorMessage="1" sqref="D250" xr:uid="{D2AB87F8-2067-4DFE-9E1F-84028244A30D}">
      <formula1>"Core1,Core2,Core3"</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3" manualBreakCount="3">
    <brk id="45" max="21" man="1"/>
    <brk id="85" max="21" man="1"/>
    <brk id="381" max="21" man="1"/>
  </rowBreak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DBA46-2FCB-48D5-8179-5600C4D40375}">
  <sheetPr codeName="Sheet19">
    <tabColor rgb="FFFFFF00"/>
  </sheetPr>
  <dimension ref="A1:AR305"/>
  <sheetViews>
    <sheetView showZeros="0" view="pageBreakPreview" topLeftCell="A79" zoomScale="130" zoomScaleNormal="100" zoomScaleSheetLayoutView="130" workbookViewId="0">
      <selection activeCell="K13" sqref="K13"/>
    </sheetView>
  </sheetViews>
  <sheetFormatPr defaultColWidth="4.33203125" defaultRowHeight="18" customHeight="1"/>
  <cols>
    <col min="1" max="20" width="4.33203125" style="30"/>
    <col min="21" max="21" width="3.6640625" style="30" customWidth="1"/>
    <col min="22" max="22" width="3.5546875" style="30" customWidth="1"/>
    <col min="23" max="16384" width="4.33203125" style="30"/>
  </cols>
  <sheetData>
    <row r="1" spans="1:24" ht="18" customHeight="1">
      <c r="A1" s="717" t="s">
        <v>0</v>
      </c>
      <c r="B1" s="718"/>
      <c r="C1" s="718"/>
      <c r="D1" s="718"/>
      <c r="E1" s="718"/>
      <c r="F1" s="718"/>
      <c r="G1" s="719"/>
      <c r="H1" s="726" t="str">
        <f>[3]Title!H1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[3]Title!H2</f>
        <v>ADEQUACY CHECK</v>
      </c>
      <c r="I2" s="730"/>
      <c r="J2" s="730"/>
      <c r="K2" s="730"/>
      <c r="L2" s="730"/>
      <c r="M2" s="730"/>
      <c r="N2" s="731"/>
      <c r="O2" s="702" t="str">
        <f>[3]Title!O2</f>
        <v>Date</v>
      </c>
      <c r="P2" s="703"/>
      <c r="Q2" s="704"/>
      <c r="R2" s="732">
        <f>Title!R2</f>
        <v>46106</v>
      </c>
      <c r="S2" s="706"/>
      <c r="T2" s="706"/>
      <c r="U2" s="706"/>
      <c r="V2" s="707"/>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[3]Title!O3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[3]Title!O4</f>
        <v>Revision No.</v>
      </c>
      <c r="P4" s="703"/>
      <c r="Q4" s="704"/>
      <c r="R4" s="705" t="str">
        <f>Title!R4</f>
        <v>A</v>
      </c>
      <c r="S4" s="706"/>
      <c r="T4" s="706"/>
      <c r="U4" s="706"/>
      <c r="V4" s="707"/>
      <c r="W4" s="14"/>
      <c r="X4" s="14"/>
    </row>
    <row r="5" spans="1:24" ht="18" customHeight="1">
      <c r="A5" s="708" t="str">
        <f>[3]Title!A5</f>
        <v>Prep. By</v>
      </c>
      <c r="B5" s="709"/>
      <c r="C5" s="25" t="str">
        <f>[3]Title!C5</f>
        <v>AK</v>
      </c>
      <c r="D5" s="708" t="str">
        <f>[3]Title!D5</f>
        <v>Checked By</v>
      </c>
      <c r="E5" s="710"/>
      <c r="F5" s="709"/>
      <c r="G5" s="25" t="str">
        <f>[3]Title!G5</f>
        <v>LN</v>
      </c>
      <c r="H5" s="973" t="s">
        <v>935</v>
      </c>
      <c r="I5" s="974"/>
      <c r="J5" s="974"/>
      <c r="K5" s="974"/>
      <c r="L5" s="974"/>
      <c r="M5" s="974"/>
      <c r="N5" s="975"/>
      <c r="O5" s="714" t="str">
        <f>[3]Title!O5</f>
        <v>Contractor</v>
      </c>
      <c r="P5" s="715"/>
      <c r="Q5" s="716"/>
      <c r="R5" s="705" t="str">
        <f>Title!R5</f>
        <v>HITACHI</v>
      </c>
      <c r="S5" s="706"/>
      <c r="T5" s="706"/>
      <c r="U5" s="706"/>
      <c r="V5" s="707"/>
      <c r="W5" s="14"/>
      <c r="X5" s="14"/>
    </row>
    <row r="6" spans="1:24" ht="18" customHeight="1">
      <c r="A6" s="196"/>
      <c r="V6" s="197"/>
    </row>
    <row r="7" spans="1:24" ht="18" customHeight="1">
      <c r="A7" s="196"/>
      <c r="B7" s="940" t="s">
        <v>120</v>
      </c>
      <c r="C7" s="941"/>
      <c r="D7" s="940" t="s">
        <v>121</v>
      </c>
      <c r="E7" s="941"/>
      <c r="F7" s="267"/>
      <c r="H7" s="582"/>
      <c r="I7" s="582"/>
      <c r="J7" s="582"/>
      <c r="K7" s="582"/>
      <c r="L7" s="582"/>
      <c r="M7" s="582"/>
      <c r="P7" s="198"/>
      <c r="S7" s="199" t="s">
        <v>398</v>
      </c>
      <c r="T7" s="978" t="s">
        <v>928</v>
      </c>
      <c r="U7" s="979"/>
      <c r="V7" s="197"/>
    </row>
    <row r="8" spans="1:24" ht="18" customHeight="1">
      <c r="A8" s="196"/>
      <c r="B8" s="571"/>
      <c r="C8" s="571"/>
      <c r="D8" s="580"/>
      <c r="E8" s="580"/>
      <c r="F8" s="267"/>
      <c r="T8" s="978" t="s">
        <v>519</v>
      </c>
      <c r="U8" s="979"/>
      <c r="V8" s="197"/>
    </row>
    <row r="9" spans="1:24" ht="18" customHeight="1">
      <c r="A9" s="196"/>
      <c r="H9" s="662" t="s">
        <v>401</v>
      </c>
      <c r="I9" s="662"/>
      <c r="J9" s="701" t="s">
        <v>402</v>
      </c>
      <c r="K9" s="701"/>
      <c r="L9" s="701" t="s">
        <v>403</v>
      </c>
      <c r="M9" s="701"/>
      <c r="T9" s="978" t="s">
        <v>929</v>
      </c>
      <c r="U9" s="979"/>
      <c r="V9" s="197"/>
    </row>
    <row r="10" spans="1:24" ht="18" customHeight="1">
      <c r="A10" s="196"/>
      <c r="B10" s="47" t="s">
        <v>404</v>
      </c>
      <c r="H10" s="942">
        <v>2500</v>
      </c>
      <c r="I10" s="943"/>
      <c r="J10" s="940" t="s">
        <v>7</v>
      </c>
      <c r="K10" s="941"/>
      <c r="L10" s="940" t="s">
        <v>7</v>
      </c>
      <c r="M10" s="941"/>
      <c r="N10" s="203" t="s">
        <v>353</v>
      </c>
      <c r="O10" s="515">
        <v>1</v>
      </c>
      <c r="P10" s="27" t="s">
        <v>9</v>
      </c>
      <c r="R10" s="267"/>
      <c r="S10" s="267"/>
      <c r="V10" s="197"/>
    </row>
    <row r="11" spans="1:24" ht="18" customHeight="1">
      <c r="A11" s="196"/>
      <c r="B11" s="47" t="s">
        <v>405</v>
      </c>
      <c r="H11" s="940" t="s">
        <v>846</v>
      </c>
      <c r="I11" s="941"/>
      <c r="V11" s="197"/>
    </row>
    <row r="12" spans="1:24" ht="18" customHeight="1">
      <c r="A12" s="196"/>
      <c r="B12" s="47" t="s">
        <v>407</v>
      </c>
      <c r="G12" s="120" t="s">
        <v>508</v>
      </c>
      <c r="H12" s="940">
        <v>5</v>
      </c>
      <c r="I12" s="941"/>
      <c r="J12" s="204" t="s">
        <v>344</v>
      </c>
      <c r="V12" s="197"/>
    </row>
    <row r="13" spans="1:24" ht="18" customHeight="1">
      <c r="A13" s="196"/>
      <c r="B13" s="47" t="s">
        <v>409</v>
      </c>
      <c r="G13" s="120" t="s">
        <v>509</v>
      </c>
      <c r="H13" s="940"/>
      <c r="I13" s="941"/>
      <c r="J13" s="14" t="s">
        <v>316</v>
      </c>
      <c r="T13" s="307"/>
      <c r="U13" s="18"/>
      <c r="V13" s="197"/>
      <c r="W13" s="30" t="str">
        <f>G57</f>
        <v>Suitably Dimentioned</v>
      </c>
    </row>
    <row r="14" spans="1:24" ht="18" customHeight="1">
      <c r="A14" s="196"/>
      <c r="B14" s="14" t="s">
        <v>412</v>
      </c>
      <c r="G14" s="120" t="s">
        <v>413</v>
      </c>
      <c r="H14" s="940"/>
      <c r="I14" s="941"/>
      <c r="J14" s="14" t="s">
        <v>414</v>
      </c>
      <c r="V14" s="197"/>
    </row>
    <row r="15" spans="1:24" ht="18" customHeight="1">
      <c r="A15" s="196"/>
      <c r="V15" s="197"/>
    </row>
    <row r="16" spans="1:24" ht="18" customHeight="1">
      <c r="A16" s="205" t="s">
        <v>415</v>
      </c>
      <c r="V16" s="197"/>
    </row>
    <row r="17" spans="1:23" ht="18" customHeight="1">
      <c r="A17" s="196"/>
      <c r="V17" s="197"/>
    </row>
    <row r="18" spans="1:23" ht="18" customHeight="1">
      <c r="A18" s="196"/>
      <c r="B18" s="141" t="s">
        <v>416</v>
      </c>
      <c r="C18" s="285"/>
      <c r="D18" s="146" t="str">
        <f>T7</f>
        <v>REF650</v>
      </c>
      <c r="E18" s="239"/>
      <c r="F18" s="239"/>
      <c r="G18" s="239"/>
      <c r="H18" s="145"/>
      <c r="I18" s="272" t="s">
        <v>138</v>
      </c>
      <c r="J18" s="946">
        <f>'CT-VT Burdens'!Q48</f>
        <v>0.02</v>
      </c>
      <c r="K18" s="947"/>
      <c r="L18" s="3" t="s">
        <v>168</v>
      </c>
      <c r="N18" s="209" t="s">
        <v>521</v>
      </c>
      <c r="V18" s="197"/>
    </row>
    <row r="19" spans="1:23" ht="18" customHeight="1">
      <c r="A19" s="196"/>
      <c r="B19" s="96" t="s">
        <v>416</v>
      </c>
      <c r="D19" s="308" t="str">
        <f>T8</f>
        <v>REC670</v>
      </c>
      <c r="I19" s="189" t="s">
        <v>138</v>
      </c>
      <c r="J19" s="976">
        <f>'CT-VT Burdens'!Q48</f>
        <v>0.02</v>
      </c>
      <c r="K19" s="977"/>
      <c r="L19" s="210" t="s">
        <v>168</v>
      </c>
      <c r="P19" s="256"/>
      <c r="V19" s="197"/>
    </row>
    <row r="20" spans="1:23" ht="18" customHeight="1">
      <c r="A20" s="196"/>
      <c r="B20" s="96" t="s">
        <v>416</v>
      </c>
      <c r="C20" s="14"/>
      <c r="D20" s="47" t="str">
        <f>T9</f>
        <v>IDM+9</v>
      </c>
      <c r="E20" s="14"/>
      <c r="G20" s="211"/>
      <c r="H20" s="27"/>
      <c r="I20" s="101" t="s">
        <v>138</v>
      </c>
      <c r="J20" s="971">
        <f>'CT-VT Burdens'!Q92</f>
        <v>5.8000000000000003E-2</v>
      </c>
      <c r="K20" s="972"/>
      <c r="L20" s="214" t="s">
        <v>168</v>
      </c>
      <c r="N20" s="120" t="s">
        <v>502</v>
      </c>
      <c r="O20" s="27" t="s">
        <v>138</v>
      </c>
      <c r="P20" s="27" t="s">
        <v>522</v>
      </c>
      <c r="Q20" s="27" t="s">
        <v>326</v>
      </c>
      <c r="R20" s="27" t="s">
        <v>522</v>
      </c>
      <c r="S20" s="27" t="s">
        <v>326</v>
      </c>
      <c r="T20" s="27" t="s">
        <v>431</v>
      </c>
      <c r="V20" s="197"/>
    </row>
    <row r="21" spans="1:23" ht="18" customHeight="1">
      <c r="A21" s="196"/>
      <c r="B21" s="196" t="s">
        <v>423</v>
      </c>
      <c r="C21" s="14"/>
      <c r="D21" s="14"/>
      <c r="E21" s="14"/>
      <c r="H21" s="27"/>
      <c r="I21" s="101" t="s">
        <v>138</v>
      </c>
      <c r="J21" s="950">
        <f>'CT-VT Burdens'!S22</f>
        <v>1.44186744</v>
      </c>
      <c r="K21" s="951"/>
      <c r="L21" s="309" t="s">
        <v>168</v>
      </c>
      <c r="O21" s="27" t="s">
        <v>138</v>
      </c>
      <c r="P21" s="27">
        <f>O10</f>
        <v>1</v>
      </c>
      <c r="Q21" s="27" t="s">
        <v>326</v>
      </c>
      <c r="R21" s="27">
        <f>O10</f>
        <v>1</v>
      </c>
      <c r="S21" s="27" t="s">
        <v>326</v>
      </c>
      <c r="T21" s="27">
        <f>H12</f>
        <v>5</v>
      </c>
      <c r="V21" s="197"/>
    </row>
    <row r="22" spans="1:23" ht="18" customHeight="1">
      <c r="A22" s="196"/>
      <c r="B22" s="1" t="s">
        <v>424</v>
      </c>
      <c r="C22" s="2"/>
      <c r="D22" s="2"/>
      <c r="E22" s="2"/>
      <c r="F22" s="208"/>
      <c r="G22" s="208"/>
      <c r="H22" s="236" t="s">
        <v>523</v>
      </c>
      <c r="I22" s="195" t="s">
        <v>138</v>
      </c>
      <c r="J22" s="648">
        <f>SUM(J18:J21)</f>
        <v>1.5398674400000001</v>
      </c>
      <c r="K22" s="649"/>
      <c r="L22" s="3" t="s">
        <v>168</v>
      </c>
      <c r="O22" s="27" t="s">
        <v>138</v>
      </c>
      <c r="P22" s="637">
        <f>P21*R21*T21</f>
        <v>5</v>
      </c>
      <c r="Q22" s="639"/>
      <c r="R22" s="27" t="s">
        <v>168</v>
      </c>
      <c r="S22" s="27"/>
      <c r="T22" s="27"/>
      <c r="V22" s="197"/>
    </row>
    <row r="23" spans="1:23" ht="18" customHeight="1">
      <c r="A23" s="196"/>
      <c r="B23" s="47"/>
      <c r="C23" s="47"/>
      <c r="D23" s="47"/>
      <c r="E23" s="47"/>
      <c r="H23" s="27"/>
      <c r="I23" s="28"/>
      <c r="J23" s="211"/>
      <c r="L23" s="47"/>
      <c r="O23" s="27"/>
      <c r="P23" s="223"/>
      <c r="Q23" s="27"/>
      <c r="R23" s="216"/>
      <c r="S23" s="27"/>
      <c r="V23" s="197"/>
    </row>
    <row r="24" spans="1:23" ht="18" customHeight="1">
      <c r="A24" s="964" t="s">
        <v>547</v>
      </c>
      <c r="B24" s="965"/>
      <c r="C24" s="965"/>
      <c r="D24" s="965"/>
      <c r="E24" s="965"/>
      <c r="F24" s="965"/>
      <c r="G24" s="965"/>
      <c r="H24" s="965"/>
      <c r="I24" s="965"/>
      <c r="J24" s="965"/>
      <c r="K24" s="965"/>
      <c r="L24" s="965"/>
      <c r="M24" s="965"/>
      <c r="N24" s="965"/>
      <c r="O24" s="965"/>
      <c r="P24" s="965"/>
      <c r="Q24" s="965"/>
      <c r="R24" s="965"/>
      <c r="S24" s="965"/>
      <c r="T24" s="965"/>
      <c r="U24" s="965"/>
      <c r="V24" s="966"/>
      <c r="W24" s="30" t="s">
        <v>547</v>
      </c>
    </row>
    <row r="25" spans="1:23" ht="18" customHeight="1">
      <c r="A25" s="967"/>
      <c r="B25" s="965"/>
      <c r="C25" s="965"/>
      <c r="D25" s="965"/>
      <c r="E25" s="965"/>
      <c r="F25" s="965"/>
      <c r="G25" s="965"/>
      <c r="H25" s="965"/>
      <c r="I25" s="965"/>
      <c r="J25" s="965"/>
      <c r="K25" s="965"/>
      <c r="L25" s="965"/>
      <c r="M25" s="965"/>
      <c r="N25" s="965"/>
      <c r="O25" s="965"/>
      <c r="P25" s="965"/>
      <c r="Q25" s="965"/>
      <c r="R25" s="965"/>
      <c r="S25" s="965"/>
      <c r="T25" s="965"/>
      <c r="U25" s="965"/>
      <c r="V25" s="966"/>
    </row>
    <row r="26" spans="1:23" ht="18" customHeight="1">
      <c r="A26" s="196"/>
      <c r="C26" s="28" t="s">
        <v>484</v>
      </c>
      <c r="D26" s="28" t="s">
        <v>138</v>
      </c>
      <c r="E26" s="28" t="s">
        <v>548</v>
      </c>
      <c r="F26" s="120" t="s">
        <v>504</v>
      </c>
      <c r="G26" s="28" t="s">
        <v>358</v>
      </c>
      <c r="H26" s="120" t="s">
        <v>502</v>
      </c>
      <c r="I26" s="28" t="s">
        <v>549</v>
      </c>
      <c r="J26" s="28" t="s">
        <v>506</v>
      </c>
      <c r="K26" s="28" t="s">
        <v>550</v>
      </c>
      <c r="L26" s="28" t="s">
        <v>522</v>
      </c>
      <c r="M26" s="28" t="s">
        <v>326</v>
      </c>
      <c r="N26" s="28">
        <v>1.3</v>
      </c>
      <c r="O26" s="47" t="s">
        <v>361</v>
      </c>
      <c r="V26" s="197"/>
    </row>
    <row r="27" spans="1:23" ht="18" customHeight="1">
      <c r="A27" s="196" t="s">
        <v>551</v>
      </c>
      <c r="C27" s="28"/>
      <c r="D27" s="28"/>
      <c r="E27" s="14"/>
      <c r="F27" s="14"/>
      <c r="G27" s="14"/>
      <c r="H27" s="14"/>
      <c r="I27" s="14"/>
      <c r="J27" s="14"/>
      <c r="K27" s="14"/>
      <c r="L27" s="14"/>
      <c r="M27" s="14"/>
      <c r="N27" s="14"/>
      <c r="O27" s="14"/>
      <c r="V27" s="197"/>
    </row>
    <row r="28" spans="1:23" ht="18" customHeight="1">
      <c r="A28" s="196"/>
      <c r="C28" s="28" t="s">
        <v>504</v>
      </c>
      <c r="D28" s="28" t="s">
        <v>138</v>
      </c>
      <c r="E28" s="28" t="s">
        <v>548</v>
      </c>
      <c r="F28" s="28">
        <v>1.3</v>
      </c>
      <c r="G28" s="28" t="s">
        <v>326</v>
      </c>
      <c r="H28" s="638" t="s">
        <v>484</v>
      </c>
      <c r="I28" s="920"/>
      <c r="J28" s="28" t="s">
        <v>326</v>
      </c>
      <c r="K28" s="28" t="s">
        <v>522</v>
      </c>
      <c r="L28" s="28" t="s">
        <v>552</v>
      </c>
      <c r="M28" s="28" t="s">
        <v>506</v>
      </c>
      <c r="N28" s="47" t="s">
        <v>553</v>
      </c>
      <c r="O28" s="120" t="s">
        <v>502</v>
      </c>
      <c r="V28" s="197"/>
    </row>
    <row r="29" spans="1:23" ht="18" customHeight="1">
      <c r="A29" s="196"/>
      <c r="V29" s="197"/>
    </row>
    <row r="30" spans="1:23" ht="18" customHeight="1">
      <c r="A30" s="180"/>
      <c r="B30" s="5"/>
      <c r="C30" s="47" t="s">
        <v>554</v>
      </c>
      <c r="D30" s="14"/>
      <c r="E30" s="14"/>
      <c r="F30" s="14"/>
      <c r="G30" s="14"/>
      <c r="H30" s="291"/>
      <c r="I30" s="120"/>
      <c r="J30" s="291"/>
      <c r="K30" s="291"/>
      <c r="L30" s="14"/>
      <c r="M30" s="14"/>
      <c r="N30" s="14"/>
      <c r="O30" s="14"/>
      <c r="P30" s="14"/>
      <c r="Q30" s="120" t="s">
        <v>555</v>
      </c>
      <c r="R30" s="102" t="s">
        <v>138</v>
      </c>
      <c r="S30" s="638">
        <f>'Parameters &amp; Fault Cal. (4)'!Q32</f>
        <v>40000</v>
      </c>
      <c r="T30" s="638"/>
      <c r="U30" s="47" t="s">
        <v>9</v>
      </c>
      <c r="V30" s="197"/>
    </row>
    <row r="31" spans="1:23" ht="18" customHeight="1">
      <c r="A31" s="180"/>
      <c r="B31" s="5"/>
      <c r="C31" s="47" t="s">
        <v>556</v>
      </c>
      <c r="D31" s="14"/>
      <c r="E31" s="14"/>
      <c r="F31" s="18"/>
      <c r="G31" s="18"/>
      <c r="H31" s="291"/>
      <c r="I31" s="120"/>
      <c r="J31" s="291"/>
      <c r="K31" s="291"/>
      <c r="L31" s="14"/>
      <c r="M31" s="14"/>
      <c r="N31" s="14"/>
      <c r="O31" s="14"/>
      <c r="P31" s="14"/>
      <c r="Q31" s="120" t="s">
        <v>434</v>
      </c>
      <c r="R31" s="102" t="s">
        <v>138</v>
      </c>
      <c r="S31" s="638">
        <f>H10</f>
        <v>2500</v>
      </c>
      <c r="T31" s="638"/>
      <c r="U31" s="14" t="s">
        <v>9</v>
      </c>
      <c r="V31" s="197"/>
    </row>
    <row r="32" spans="1:23" ht="18" customHeight="1">
      <c r="A32" s="180"/>
      <c r="B32" s="5"/>
      <c r="C32" s="47" t="s">
        <v>557</v>
      </c>
      <c r="D32" s="14"/>
      <c r="E32" s="14"/>
      <c r="F32" s="18"/>
      <c r="G32" s="18"/>
      <c r="H32" s="291"/>
      <c r="I32" s="120"/>
      <c r="J32" s="291"/>
      <c r="K32" s="291"/>
      <c r="L32" s="14"/>
      <c r="M32" s="14"/>
      <c r="N32" s="14"/>
      <c r="O32" s="14"/>
      <c r="P32" s="14"/>
      <c r="Q32" s="120" t="s">
        <v>484</v>
      </c>
      <c r="R32" s="102" t="s">
        <v>138</v>
      </c>
      <c r="S32" s="638">
        <f>H13</f>
        <v>0</v>
      </c>
      <c r="T32" s="638"/>
      <c r="U32" s="14" t="s">
        <v>316</v>
      </c>
      <c r="V32" s="197"/>
    </row>
    <row r="33" spans="1:25" ht="18" customHeight="1">
      <c r="A33" s="180"/>
      <c r="B33" s="5"/>
      <c r="C33" s="47" t="s">
        <v>558</v>
      </c>
      <c r="D33" s="14"/>
      <c r="E33" s="14"/>
      <c r="F33" s="18"/>
      <c r="G33" s="18"/>
      <c r="H33" s="291"/>
      <c r="I33" s="120"/>
      <c r="J33" s="291"/>
      <c r="K33" s="291"/>
      <c r="L33" s="14"/>
      <c r="M33" s="14"/>
      <c r="N33" s="14"/>
      <c r="O33" s="14"/>
      <c r="P33" s="14"/>
      <c r="Q33" s="120" t="s">
        <v>502</v>
      </c>
      <c r="R33" s="102" t="s">
        <v>138</v>
      </c>
      <c r="S33" s="641">
        <f>P22</f>
        <v>5</v>
      </c>
      <c r="T33" s="638"/>
      <c r="U33" s="14" t="s">
        <v>168</v>
      </c>
      <c r="V33" s="197"/>
      <c r="W33" s="291"/>
      <c r="X33" s="291"/>
      <c r="Y33" s="291"/>
    </row>
    <row r="34" spans="1:25" ht="18" customHeight="1">
      <c r="A34" s="180"/>
      <c r="B34" s="5"/>
      <c r="C34" s="47" t="s">
        <v>559</v>
      </c>
      <c r="D34" s="14"/>
      <c r="E34" s="14"/>
      <c r="F34" s="18"/>
      <c r="G34" s="18"/>
      <c r="H34" s="291"/>
      <c r="I34" s="120"/>
      <c r="J34" s="291"/>
      <c r="K34" s="291"/>
      <c r="L34" s="14"/>
      <c r="M34" s="14"/>
      <c r="N34" s="14"/>
      <c r="O34" s="14"/>
      <c r="P34" s="14"/>
      <c r="Q34" s="120" t="s">
        <v>523</v>
      </c>
      <c r="R34" s="102" t="s">
        <v>138</v>
      </c>
      <c r="S34" s="641">
        <f>J22</f>
        <v>1.5398674400000001</v>
      </c>
      <c r="T34" s="638"/>
      <c r="U34" s="14" t="s">
        <v>168</v>
      </c>
      <c r="V34" s="197"/>
      <c r="X34" s="291"/>
      <c r="Y34" s="291"/>
    </row>
    <row r="35" spans="1:25" ht="18" customHeight="1">
      <c r="A35" s="180"/>
      <c r="B35" s="5"/>
      <c r="C35" s="47" t="s">
        <v>560</v>
      </c>
      <c r="D35" s="14"/>
      <c r="E35" s="14"/>
      <c r="F35" s="14"/>
      <c r="G35" s="14"/>
      <c r="H35" s="291"/>
      <c r="I35" s="120"/>
      <c r="J35" s="291"/>
      <c r="K35" s="291"/>
      <c r="L35" s="14"/>
      <c r="M35" s="14"/>
      <c r="N35" s="14"/>
      <c r="O35" s="14"/>
      <c r="P35" s="14"/>
      <c r="Q35" s="120" t="s">
        <v>522</v>
      </c>
      <c r="R35" s="102" t="s">
        <v>138</v>
      </c>
      <c r="S35" s="638">
        <f>O10</f>
        <v>1</v>
      </c>
      <c r="T35" s="638"/>
      <c r="U35" s="14" t="s">
        <v>9</v>
      </c>
      <c r="V35" s="197"/>
      <c r="X35" s="291"/>
      <c r="Y35" s="291"/>
    </row>
    <row r="36" spans="1:25" ht="18" customHeight="1">
      <c r="A36" s="180"/>
      <c r="B36" s="5"/>
      <c r="C36" s="47" t="s">
        <v>561</v>
      </c>
      <c r="D36" s="14"/>
      <c r="E36" s="14"/>
      <c r="F36" s="14"/>
      <c r="G36" s="14"/>
      <c r="H36" s="291"/>
      <c r="I36" s="120"/>
      <c r="J36" s="291"/>
      <c r="K36" s="291"/>
      <c r="L36" s="14"/>
      <c r="M36" s="14"/>
      <c r="N36" s="14"/>
      <c r="O36" s="14"/>
      <c r="P36" s="14"/>
      <c r="Q36" s="120" t="s">
        <v>506</v>
      </c>
      <c r="R36" s="102" t="s">
        <v>138</v>
      </c>
      <c r="S36" s="638">
        <v>20</v>
      </c>
      <c r="T36" s="638"/>
      <c r="U36" s="47"/>
      <c r="V36" s="197"/>
    </row>
    <row r="37" spans="1:25" ht="18" customHeight="1">
      <c r="A37" s="311"/>
      <c r="B37" s="291"/>
      <c r="C37" s="47" t="s">
        <v>503</v>
      </c>
      <c r="D37" s="14"/>
      <c r="E37" s="14"/>
      <c r="F37" s="14"/>
      <c r="G37" s="14"/>
      <c r="H37" s="291"/>
      <c r="I37" s="120"/>
      <c r="J37" s="291"/>
      <c r="K37" s="291"/>
      <c r="L37" s="14"/>
      <c r="M37" s="14"/>
      <c r="N37" s="291"/>
      <c r="O37" s="291"/>
      <c r="P37" s="14"/>
      <c r="Q37" s="120" t="s">
        <v>504</v>
      </c>
      <c r="R37" s="27" t="s">
        <v>138</v>
      </c>
      <c r="S37" s="639">
        <v>30</v>
      </c>
      <c r="T37" s="639"/>
      <c r="U37" s="291"/>
      <c r="V37" s="312"/>
      <c r="W37" s="291"/>
      <c r="X37" s="291"/>
      <c r="Y37" s="291"/>
    </row>
    <row r="38" spans="1:25" ht="18" customHeight="1">
      <c r="A38" s="196"/>
      <c r="V38" s="197"/>
    </row>
    <row r="39" spans="1:25" ht="18" customHeight="1">
      <c r="A39" s="196"/>
      <c r="C39" s="120" t="s">
        <v>504</v>
      </c>
      <c r="D39" s="28" t="s">
        <v>138</v>
      </c>
      <c r="E39" s="28" t="s">
        <v>548</v>
      </c>
      <c r="F39" s="233">
        <v>1.3</v>
      </c>
      <c r="G39" s="233" t="s">
        <v>326</v>
      </c>
      <c r="H39" s="861" t="s">
        <v>484</v>
      </c>
      <c r="I39" s="968"/>
      <c r="J39" s="233" t="s">
        <v>326</v>
      </c>
      <c r="K39" s="233" t="s">
        <v>522</v>
      </c>
      <c r="L39" s="233" t="s">
        <v>552</v>
      </c>
      <c r="M39" s="233" t="s">
        <v>506</v>
      </c>
      <c r="N39" s="560" t="s">
        <v>553</v>
      </c>
      <c r="O39" s="575" t="s">
        <v>502</v>
      </c>
      <c r="V39" s="197"/>
    </row>
    <row r="40" spans="1:25" ht="18" customHeight="1">
      <c r="A40" s="196"/>
      <c r="C40" s="120"/>
      <c r="D40" s="27" t="s">
        <v>138</v>
      </c>
      <c r="E40" s="27" t="s">
        <v>548</v>
      </c>
      <c r="F40" s="257">
        <v>1.3</v>
      </c>
      <c r="G40" s="257" t="s">
        <v>326</v>
      </c>
      <c r="H40" s="969">
        <f>S32</f>
        <v>0</v>
      </c>
      <c r="I40" s="970"/>
      <c r="J40" s="257" t="s">
        <v>326</v>
      </c>
      <c r="K40" s="257">
        <f>S35</f>
        <v>1</v>
      </c>
      <c r="L40" s="257" t="s">
        <v>552</v>
      </c>
      <c r="M40" s="257">
        <f>S36</f>
        <v>20</v>
      </c>
      <c r="N40" s="474" t="s">
        <v>553</v>
      </c>
      <c r="O40" s="516">
        <f>S33</f>
        <v>5</v>
      </c>
      <c r="V40" s="197"/>
    </row>
    <row r="41" spans="1:25" ht="18" customHeight="1">
      <c r="A41" s="196"/>
      <c r="D41" s="27" t="s">
        <v>138</v>
      </c>
      <c r="E41" s="639">
        <f>((F40*H40)/(K40*M40))-O40</f>
        <v>-5</v>
      </c>
      <c r="F41" s="639"/>
      <c r="G41" s="27" t="s">
        <v>168</v>
      </c>
      <c r="V41" s="197"/>
    </row>
    <row r="42" spans="1:25" ht="18" customHeight="1">
      <c r="A42" s="196"/>
      <c r="D42" s="27"/>
      <c r="E42" s="27"/>
      <c r="F42" s="27"/>
      <c r="G42" s="27"/>
      <c r="V42" s="197"/>
    </row>
    <row r="43" spans="1:25" ht="18" customHeight="1">
      <c r="A43" s="196"/>
      <c r="D43" s="27"/>
      <c r="E43" s="27"/>
      <c r="F43" s="27"/>
      <c r="G43" s="27"/>
      <c r="V43" s="197"/>
    </row>
    <row r="44" spans="1:25" ht="18" customHeight="1">
      <c r="A44" s="196"/>
      <c r="D44" s="27"/>
      <c r="E44" s="27"/>
      <c r="F44" s="27"/>
      <c r="G44" s="27"/>
      <c r="V44" s="197"/>
    </row>
    <row r="45" spans="1:25" s="14"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5" ht="18" customHeight="1">
      <c r="A46" s="238"/>
      <c r="B46" s="239"/>
      <c r="C46" s="239"/>
      <c r="D46" s="239"/>
      <c r="E46" s="239"/>
      <c r="F46" s="239"/>
      <c r="G46" s="239"/>
      <c r="H46" s="239"/>
      <c r="I46" s="239"/>
      <c r="J46" s="239"/>
      <c r="K46" s="239"/>
      <c r="L46" s="239"/>
      <c r="M46" s="239"/>
      <c r="N46" s="239"/>
      <c r="O46" s="239"/>
      <c r="P46" s="239"/>
      <c r="Q46" s="239"/>
      <c r="R46" s="239"/>
      <c r="S46" s="239"/>
      <c r="T46" s="239"/>
      <c r="U46" s="239"/>
      <c r="V46" s="240"/>
    </row>
    <row r="47" spans="1:25" ht="18" customHeight="1">
      <c r="A47" s="196"/>
      <c r="E47" s="256" t="s">
        <v>123</v>
      </c>
      <c r="F47" s="27" t="s">
        <v>138</v>
      </c>
      <c r="G47" s="638" t="s">
        <v>555</v>
      </c>
      <c r="H47" s="638"/>
      <c r="I47" s="203" t="s">
        <v>353</v>
      </c>
      <c r="J47" s="639" t="s">
        <v>434</v>
      </c>
      <c r="K47" s="639"/>
      <c r="V47" s="197"/>
    </row>
    <row r="48" spans="1:25" ht="18" customHeight="1">
      <c r="A48" s="196"/>
      <c r="F48" s="27" t="s">
        <v>138</v>
      </c>
      <c r="G48" s="639">
        <f>S30</f>
        <v>40000</v>
      </c>
      <c r="H48" s="639"/>
      <c r="I48" s="203" t="s">
        <v>353</v>
      </c>
      <c r="J48" s="639">
        <f>S31</f>
        <v>2500</v>
      </c>
      <c r="K48" s="639"/>
      <c r="V48" s="197"/>
    </row>
    <row r="49" spans="1:22" ht="18" customHeight="1">
      <c r="A49" s="196"/>
      <c r="F49" s="27" t="s">
        <v>138</v>
      </c>
      <c r="G49" s="637">
        <f>G48/J48</f>
        <v>16</v>
      </c>
      <c r="H49" s="637"/>
      <c r="I49" s="27"/>
      <c r="J49" s="27"/>
      <c r="K49" s="27"/>
      <c r="V49" s="197"/>
    </row>
    <row r="50" spans="1:22" ht="18" customHeight="1">
      <c r="A50" s="196"/>
      <c r="V50" s="197"/>
    </row>
    <row r="51" spans="1:22" ht="17.399999999999999" customHeight="1">
      <c r="A51" s="196"/>
      <c r="E51" s="256" t="s">
        <v>564</v>
      </c>
      <c r="F51" s="27" t="s">
        <v>138</v>
      </c>
      <c r="G51" s="233" t="s">
        <v>506</v>
      </c>
      <c r="H51" s="233" t="s">
        <v>565</v>
      </c>
      <c r="I51" s="575" t="s">
        <v>502</v>
      </c>
      <c r="J51" s="233" t="s">
        <v>358</v>
      </c>
      <c r="K51" s="575" t="s">
        <v>504</v>
      </c>
      <c r="L51" s="233" t="s">
        <v>550</v>
      </c>
      <c r="M51" s="575" t="s">
        <v>502</v>
      </c>
      <c r="N51" s="233" t="s">
        <v>358</v>
      </c>
      <c r="O51" s="575" t="s">
        <v>523</v>
      </c>
      <c r="P51" s="28" t="s">
        <v>361</v>
      </c>
      <c r="V51" s="197"/>
    </row>
    <row r="52" spans="1:22" ht="18" customHeight="1">
      <c r="A52" s="196"/>
      <c r="F52" s="27" t="s">
        <v>138</v>
      </c>
      <c r="G52" s="254">
        <f>S36</f>
        <v>20</v>
      </c>
      <c r="H52" s="257" t="s">
        <v>565</v>
      </c>
      <c r="I52" s="313">
        <f>S33</f>
        <v>5</v>
      </c>
      <c r="J52" s="257" t="s">
        <v>358</v>
      </c>
      <c r="K52" s="313">
        <f>S37</f>
        <v>30</v>
      </c>
      <c r="L52" s="257" t="s">
        <v>550</v>
      </c>
      <c r="M52" s="313">
        <f>S33</f>
        <v>5</v>
      </c>
      <c r="N52" s="257" t="s">
        <v>358</v>
      </c>
      <c r="O52" s="313">
        <f>S34</f>
        <v>1.5398674400000001</v>
      </c>
      <c r="P52" s="27" t="s">
        <v>361</v>
      </c>
      <c r="V52" s="197"/>
    </row>
    <row r="53" spans="1:22" ht="18" customHeight="1">
      <c r="A53" s="196"/>
      <c r="F53" s="27" t="s">
        <v>138</v>
      </c>
      <c r="G53" s="640">
        <f>G52*((I52+K52)/(M52+O52))</f>
        <v>107.03580866464779</v>
      </c>
      <c r="H53" s="640"/>
      <c r="I53" s="254"/>
      <c r="J53" s="254"/>
      <c r="K53" s="254"/>
      <c r="L53" s="254"/>
      <c r="M53" s="254"/>
      <c r="N53" s="254"/>
      <c r="O53" s="254"/>
      <c r="V53" s="197"/>
    </row>
    <row r="54" spans="1:22" ht="18" customHeight="1">
      <c r="A54" s="196"/>
      <c r="V54" s="197"/>
    </row>
    <row r="55" spans="1:22" ht="18" customHeight="1">
      <c r="A55" s="196"/>
      <c r="E55" s="256" t="s">
        <v>566</v>
      </c>
      <c r="F55" s="27" t="str">
        <f>IF(D56&gt;G56,"&gt;","&lt;")</f>
        <v>&gt;</v>
      </c>
      <c r="G55" s="308" t="s">
        <v>123</v>
      </c>
      <c r="V55" s="197"/>
    </row>
    <row r="56" spans="1:22" ht="18" customHeight="1">
      <c r="A56" s="196"/>
      <c r="D56" s="637">
        <f>G53</f>
        <v>107.03580866464779</v>
      </c>
      <c r="E56" s="637"/>
      <c r="F56" s="27" t="str">
        <f>F55</f>
        <v>&gt;</v>
      </c>
      <c r="G56" s="637">
        <f>G49</f>
        <v>16</v>
      </c>
      <c r="H56" s="637"/>
      <c r="V56" s="197"/>
    </row>
    <row r="57" spans="1:22" ht="18" customHeight="1">
      <c r="A57" s="196"/>
      <c r="E57" s="256" t="s">
        <v>489</v>
      </c>
      <c r="G57" s="18" t="str">
        <f>IF(F55="&gt;","Suitably Dimentioned","Under Dimentioned")</f>
        <v>Suitably Dimentioned</v>
      </c>
      <c r="V57" s="197"/>
    </row>
    <row r="58" spans="1:22" ht="18" customHeight="1">
      <c r="A58" s="196"/>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3" ht="18" customHeight="1">
      <c r="A81" s="196"/>
      <c r="V81" s="197"/>
    </row>
    <row r="82" spans="1:23" ht="18" customHeight="1">
      <c r="A82" s="196"/>
      <c r="V82" s="197"/>
    </row>
    <row r="83" spans="1:23" ht="18" customHeight="1">
      <c r="A83" s="196"/>
      <c r="V83" s="197"/>
    </row>
    <row r="84" spans="1:23" ht="18" customHeight="1">
      <c r="A84" s="196"/>
      <c r="V84" s="197"/>
    </row>
    <row r="85" spans="1:23" s="14" customFormat="1"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3" ht="18" hidden="1" customHeight="1">
      <c r="A86" s="238"/>
      <c r="B86" s="239"/>
      <c r="C86" s="239"/>
      <c r="D86" s="239"/>
      <c r="E86" s="239"/>
      <c r="F86" s="239"/>
      <c r="G86" s="239"/>
      <c r="H86" s="239"/>
      <c r="I86" s="239"/>
      <c r="J86" s="239"/>
      <c r="K86" s="239"/>
      <c r="L86" s="239"/>
      <c r="M86" s="239"/>
      <c r="N86" s="239"/>
      <c r="O86" s="239"/>
      <c r="P86" s="239"/>
      <c r="Q86" s="239"/>
      <c r="R86" s="239"/>
      <c r="S86" s="239"/>
      <c r="T86" s="239"/>
      <c r="U86" s="239"/>
      <c r="V86" s="240"/>
    </row>
    <row r="87" spans="1:23" ht="18" hidden="1" customHeight="1">
      <c r="A87" s="196"/>
      <c r="B87" s="650" t="str">
        <f>B7</f>
        <v>T1</v>
      </c>
      <c r="C87" s="651"/>
      <c r="D87" s="663" t="str">
        <f>D7</f>
        <v>Core3</v>
      </c>
      <c r="E87" s="664"/>
      <c r="F87" s="267"/>
      <c r="H87" s="639">
        <f>H7</f>
        <v>0</v>
      </c>
      <c r="I87" s="639"/>
      <c r="J87" s="639"/>
      <c r="K87" s="639"/>
      <c r="L87" s="639"/>
      <c r="M87" s="639"/>
      <c r="P87" s="198"/>
      <c r="S87" s="199" t="s">
        <v>398</v>
      </c>
      <c r="T87" s="658" t="str">
        <f>T7</f>
        <v>REF650</v>
      </c>
      <c r="U87" s="659"/>
      <c r="V87" s="197"/>
    </row>
    <row r="88" spans="1:23" ht="18" hidden="1" customHeight="1">
      <c r="A88" s="196"/>
      <c r="B88" s="660">
        <f>B8</f>
        <v>0</v>
      </c>
      <c r="C88" s="660"/>
      <c r="D88" s="665"/>
      <c r="E88" s="666"/>
      <c r="F88" s="267"/>
      <c r="T88" s="658" t="str">
        <f>T8</f>
        <v>REC670</v>
      </c>
      <c r="U88" s="659"/>
      <c r="V88" s="197"/>
    </row>
    <row r="89" spans="1:23" ht="18" hidden="1" customHeight="1">
      <c r="A89" s="196"/>
      <c r="H89" s="661" t="s">
        <v>401</v>
      </c>
      <c r="I89" s="661"/>
      <c r="J89" s="662" t="s">
        <v>402</v>
      </c>
      <c r="K89" s="662"/>
      <c r="L89" s="701" t="s">
        <v>403</v>
      </c>
      <c r="M89" s="701"/>
      <c r="T89" s="658" t="str">
        <f>T9</f>
        <v>IDM+9</v>
      </c>
      <c r="U89" s="659"/>
      <c r="V89" s="197"/>
    </row>
    <row r="90" spans="1:23" ht="18" hidden="1" customHeight="1">
      <c r="A90" s="196"/>
      <c r="B90" s="47" t="s">
        <v>404</v>
      </c>
      <c r="H90" s="650">
        <f>H10</f>
        <v>2500</v>
      </c>
      <c r="I90" s="651"/>
      <c r="J90" s="652" t="str">
        <f>J10</f>
        <v>-</v>
      </c>
      <c r="K90" s="653"/>
      <c r="L90" s="650" t="str">
        <f>L10</f>
        <v>-</v>
      </c>
      <c r="M90" s="651"/>
      <c r="N90" s="203" t="s">
        <v>353</v>
      </c>
      <c r="O90" s="268">
        <f>O10</f>
        <v>1</v>
      </c>
      <c r="P90" s="27" t="s">
        <v>9</v>
      </c>
      <c r="R90" s="267"/>
      <c r="S90" s="267"/>
      <c r="V90" s="197"/>
    </row>
    <row r="91" spans="1:23" ht="18" hidden="1" customHeight="1">
      <c r="A91" s="196"/>
      <c r="B91" s="47" t="s">
        <v>405</v>
      </c>
      <c r="H91" s="14"/>
      <c r="I91" s="14"/>
      <c r="J91" s="650" t="str">
        <f>H11</f>
        <v>5P20</v>
      </c>
      <c r="K91" s="651"/>
      <c r="L91" s="14"/>
      <c r="M91" s="14"/>
      <c r="V91" s="197"/>
    </row>
    <row r="92" spans="1:23" ht="18" hidden="1" customHeight="1">
      <c r="A92" s="196"/>
      <c r="B92" s="47" t="s">
        <v>407</v>
      </c>
      <c r="I92" s="120" t="s">
        <v>508</v>
      </c>
      <c r="J92" s="940" t="s">
        <v>7</v>
      </c>
      <c r="K92" s="941"/>
      <c r="L92" s="204" t="s">
        <v>344</v>
      </c>
      <c r="V92" s="197"/>
    </row>
    <row r="93" spans="1:23" ht="18" hidden="1" customHeight="1">
      <c r="A93" s="196"/>
      <c r="B93" s="47" t="s">
        <v>409</v>
      </c>
      <c r="I93" s="120" t="s">
        <v>509</v>
      </c>
      <c r="J93" s="940" t="s">
        <v>7</v>
      </c>
      <c r="K93" s="941"/>
      <c r="L93" s="14" t="s">
        <v>316</v>
      </c>
      <c r="T93" s="307"/>
      <c r="U93" s="18"/>
      <c r="V93" s="197"/>
      <c r="W93" s="30" t="e">
        <f>G141</f>
        <v>#VALUE!</v>
      </c>
    </row>
    <row r="94" spans="1:23" ht="18" hidden="1" customHeight="1">
      <c r="A94" s="196"/>
      <c r="B94" s="14" t="s">
        <v>412</v>
      </c>
      <c r="I94" s="120" t="s">
        <v>413</v>
      </c>
      <c r="J94" s="940" t="s">
        <v>7</v>
      </c>
      <c r="K94" s="941"/>
      <c r="L94" s="14" t="s">
        <v>414</v>
      </c>
      <c r="V94" s="197"/>
    </row>
    <row r="95" spans="1:23" ht="18" hidden="1" customHeight="1">
      <c r="A95" s="196"/>
      <c r="V95" s="197"/>
    </row>
    <row r="96" spans="1:23" ht="18" hidden="1" customHeight="1">
      <c r="A96" s="205" t="s">
        <v>415</v>
      </c>
      <c r="V96" s="197"/>
    </row>
    <row r="97" spans="1:22" ht="18" hidden="1" customHeight="1">
      <c r="A97" s="196"/>
      <c r="V97" s="197"/>
    </row>
    <row r="98" spans="1:22" ht="18" hidden="1" customHeight="1">
      <c r="A98" s="196"/>
      <c r="B98" s="141" t="s">
        <v>416</v>
      </c>
      <c r="C98" s="285"/>
      <c r="D98" s="146" t="str">
        <f>T87</f>
        <v>REF650</v>
      </c>
      <c r="E98" s="239"/>
      <c r="F98" s="239"/>
      <c r="G98" s="239"/>
      <c r="H98" s="145"/>
      <c r="I98" s="272" t="s">
        <v>138</v>
      </c>
      <c r="J98" s="648">
        <f>J18</f>
        <v>0.02</v>
      </c>
      <c r="K98" s="649"/>
      <c r="L98" s="3" t="s">
        <v>168</v>
      </c>
      <c r="N98" s="209" t="s">
        <v>521</v>
      </c>
      <c r="V98" s="197"/>
    </row>
    <row r="99" spans="1:22" ht="18" hidden="1" customHeight="1">
      <c r="A99" s="196"/>
      <c r="B99" s="96" t="s">
        <v>416</v>
      </c>
      <c r="D99" s="308" t="str">
        <f>T88</f>
        <v>REC670</v>
      </c>
      <c r="I99" s="189" t="s">
        <v>138</v>
      </c>
      <c r="J99" s="642">
        <f>J19</f>
        <v>0.02</v>
      </c>
      <c r="K99" s="643"/>
      <c r="L99" s="210" t="s">
        <v>168</v>
      </c>
      <c r="P99" s="256"/>
      <c r="V99" s="197"/>
    </row>
    <row r="100" spans="1:22" ht="18" hidden="1" customHeight="1">
      <c r="A100" s="196"/>
      <c r="B100" s="96" t="s">
        <v>416</v>
      </c>
      <c r="C100" s="14"/>
      <c r="D100" s="47" t="str">
        <f>T89</f>
        <v>IDM+9</v>
      </c>
      <c r="E100" s="14"/>
      <c r="G100" s="211"/>
      <c r="H100" s="27"/>
      <c r="I100" s="101" t="s">
        <v>138</v>
      </c>
      <c r="J100" s="644">
        <f>J20</f>
        <v>5.8000000000000003E-2</v>
      </c>
      <c r="K100" s="645"/>
      <c r="L100" s="214" t="s">
        <v>168</v>
      </c>
      <c r="N100" s="120" t="s">
        <v>502</v>
      </c>
      <c r="O100" s="27" t="s">
        <v>138</v>
      </c>
      <c r="P100" s="27" t="s">
        <v>522</v>
      </c>
      <c r="Q100" s="27" t="s">
        <v>326</v>
      </c>
      <c r="R100" s="27" t="s">
        <v>522</v>
      </c>
      <c r="S100" s="27" t="s">
        <v>326</v>
      </c>
      <c r="T100" s="27" t="s">
        <v>431</v>
      </c>
      <c r="V100" s="197"/>
    </row>
    <row r="101" spans="1:22" ht="18" hidden="1" customHeight="1">
      <c r="A101" s="196"/>
      <c r="B101" s="196" t="s">
        <v>423</v>
      </c>
      <c r="C101" s="14"/>
      <c r="D101" s="14"/>
      <c r="E101" s="14"/>
      <c r="H101" s="27"/>
      <c r="I101" s="101" t="s">
        <v>138</v>
      </c>
      <c r="J101" s="646">
        <f>J21</f>
        <v>1.44186744</v>
      </c>
      <c r="K101" s="647"/>
      <c r="L101" s="309" t="s">
        <v>168</v>
      </c>
      <c r="O101" s="27" t="s">
        <v>138</v>
      </c>
      <c r="P101" s="27">
        <f>O90</f>
        <v>1</v>
      </c>
      <c r="Q101" s="27" t="s">
        <v>326</v>
      </c>
      <c r="R101" s="27">
        <f>O90</f>
        <v>1</v>
      </c>
      <c r="S101" s="27" t="s">
        <v>326</v>
      </c>
      <c r="T101" s="27" t="str">
        <f>J92</f>
        <v>-</v>
      </c>
      <c r="V101" s="197"/>
    </row>
    <row r="102" spans="1:22" ht="18" hidden="1" customHeight="1">
      <c r="A102" s="196"/>
      <c r="B102" s="1" t="s">
        <v>424</v>
      </c>
      <c r="C102" s="2"/>
      <c r="D102" s="2"/>
      <c r="E102" s="2"/>
      <c r="F102" s="208"/>
      <c r="G102" s="208"/>
      <c r="H102" s="236" t="s">
        <v>523</v>
      </c>
      <c r="I102" s="195" t="s">
        <v>138</v>
      </c>
      <c r="J102" s="648">
        <f>SUM(J98:J101)</f>
        <v>1.5398674400000001</v>
      </c>
      <c r="K102" s="649"/>
      <c r="L102" s="3" t="s">
        <v>168</v>
      </c>
      <c r="O102" s="27" t="s">
        <v>138</v>
      </c>
      <c r="P102" s="637" t="e">
        <f>P101*R101*T101</f>
        <v>#VALUE!</v>
      </c>
      <c r="Q102" s="639"/>
      <c r="R102" s="27" t="s">
        <v>168</v>
      </c>
      <c r="S102" s="27"/>
      <c r="T102" s="27"/>
      <c r="V102" s="197"/>
    </row>
    <row r="103" spans="1:22" ht="18" hidden="1" customHeight="1">
      <c r="A103" s="196"/>
      <c r="B103" s="47"/>
      <c r="C103" s="47"/>
      <c r="D103" s="47"/>
      <c r="E103" s="47"/>
      <c r="H103" s="27"/>
      <c r="I103" s="28"/>
      <c r="J103" s="211"/>
      <c r="L103" s="47"/>
      <c r="O103" s="27"/>
      <c r="P103" s="223"/>
      <c r="Q103" s="27"/>
      <c r="R103" s="216"/>
      <c r="S103" s="27"/>
      <c r="V103" s="197"/>
    </row>
    <row r="104" spans="1:22" ht="18" hidden="1" customHeight="1">
      <c r="A104" s="964" t="s">
        <v>547</v>
      </c>
      <c r="B104" s="965"/>
      <c r="C104" s="965"/>
      <c r="D104" s="965"/>
      <c r="E104" s="965"/>
      <c r="F104" s="965"/>
      <c r="G104" s="965"/>
      <c r="H104" s="965"/>
      <c r="I104" s="965"/>
      <c r="J104" s="965"/>
      <c r="K104" s="965"/>
      <c r="L104" s="965"/>
      <c r="M104" s="965"/>
      <c r="N104" s="965"/>
      <c r="O104" s="965"/>
      <c r="P104" s="965"/>
      <c r="Q104" s="965"/>
      <c r="R104" s="965"/>
      <c r="S104" s="965"/>
      <c r="T104" s="965"/>
      <c r="U104" s="965"/>
      <c r="V104" s="966"/>
    </row>
    <row r="105" spans="1:22" ht="18" hidden="1" customHeight="1">
      <c r="A105" s="967"/>
      <c r="B105" s="965"/>
      <c r="C105" s="965"/>
      <c r="D105" s="965"/>
      <c r="E105" s="965"/>
      <c r="F105" s="965"/>
      <c r="G105" s="965"/>
      <c r="H105" s="965"/>
      <c r="I105" s="965"/>
      <c r="J105" s="965"/>
      <c r="K105" s="965"/>
      <c r="L105" s="965"/>
      <c r="M105" s="965"/>
      <c r="N105" s="965"/>
      <c r="O105" s="965"/>
      <c r="P105" s="965"/>
      <c r="Q105" s="965"/>
      <c r="R105" s="965"/>
      <c r="S105" s="965"/>
      <c r="T105" s="965"/>
      <c r="U105" s="965"/>
      <c r="V105" s="966"/>
    </row>
    <row r="106" spans="1:22" ht="18" hidden="1" customHeight="1">
      <c r="A106" s="196"/>
      <c r="Q106" s="223"/>
      <c r="R106" s="204"/>
      <c r="V106" s="197"/>
    </row>
    <row r="107" spans="1:22" ht="18" hidden="1" customHeight="1">
      <c r="A107" s="196"/>
      <c r="C107" s="28" t="s">
        <v>484</v>
      </c>
      <c r="D107" s="28" t="s">
        <v>138</v>
      </c>
      <c r="E107" s="28" t="s">
        <v>548</v>
      </c>
      <c r="F107" s="120" t="s">
        <v>504</v>
      </c>
      <c r="G107" s="28" t="s">
        <v>358</v>
      </c>
      <c r="H107" s="120" t="s">
        <v>502</v>
      </c>
      <c r="I107" s="28" t="s">
        <v>549</v>
      </c>
      <c r="J107" s="28" t="s">
        <v>506</v>
      </c>
      <c r="K107" s="28" t="s">
        <v>550</v>
      </c>
      <c r="L107" s="28" t="s">
        <v>522</v>
      </c>
      <c r="M107" s="28" t="s">
        <v>326</v>
      </c>
      <c r="N107" s="28">
        <v>1.3</v>
      </c>
      <c r="O107" s="47" t="s">
        <v>361</v>
      </c>
      <c r="P107" s="14"/>
      <c r="V107" s="197"/>
    </row>
    <row r="108" spans="1:22" ht="18" hidden="1" customHeight="1">
      <c r="A108" s="196" t="s">
        <v>551</v>
      </c>
      <c r="C108" s="28"/>
      <c r="D108" s="28"/>
      <c r="E108" s="14"/>
      <c r="F108" s="14"/>
      <c r="G108" s="14"/>
      <c r="H108" s="14"/>
      <c r="I108" s="14"/>
      <c r="J108" s="14"/>
      <c r="K108" s="14"/>
      <c r="L108" s="14"/>
      <c r="M108" s="14"/>
      <c r="N108" s="14"/>
      <c r="O108" s="14"/>
      <c r="P108" s="14"/>
      <c r="V108" s="197"/>
    </row>
    <row r="109" spans="1:22" ht="18" hidden="1" customHeight="1">
      <c r="A109" s="196"/>
      <c r="C109" s="28" t="s">
        <v>504</v>
      </c>
      <c r="D109" s="28" t="s">
        <v>138</v>
      </c>
      <c r="E109" s="28" t="s">
        <v>548</v>
      </c>
      <c r="F109" s="28">
        <v>1.3</v>
      </c>
      <c r="G109" s="28" t="s">
        <v>326</v>
      </c>
      <c r="H109" s="638" t="s">
        <v>484</v>
      </c>
      <c r="I109" s="920"/>
      <c r="J109" s="28" t="s">
        <v>326</v>
      </c>
      <c r="K109" s="28" t="s">
        <v>522</v>
      </c>
      <c r="L109" s="28" t="s">
        <v>552</v>
      </c>
      <c r="M109" s="28" t="s">
        <v>506</v>
      </c>
      <c r="N109" s="47" t="s">
        <v>553</v>
      </c>
      <c r="O109" s="120" t="s">
        <v>502</v>
      </c>
      <c r="P109" s="14"/>
      <c r="V109" s="197"/>
    </row>
    <row r="110" spans="1:22" ht="18" hidden="1" customHeight="1">
      <c r="A110" s="196"/>
      <c r="V110" s="197"/>
    </row>
    <row r="111" spans="1:22" ht="18" hidden="1" customHeight="1">
      <c r="A111" s="180"/>
      <c r="B111" s="5"/>
      <c r="C111" s="47" t="s">
        <v>554</v>
      </c>
      <c r="D111" s="14"/>
      <c r="E111" s="14"/>
      <c r="F111" s="14"/>
      <c r="G111" s="14"/>
      <c r="H111" s="291"/>
      <c r="I111" s="120"/>
      <c r="J111" s="291"/>
      <c r="K111" s="291"/>
      <c r="L111" s="14"/>
      <c r="M111" s="14"/>
      <c r="N111" s="14"/>
      <c r="O111" s="14"/>
      <c r="P111" s="14"/>
      <c r="Q111" s="120" t="s">
        <v>555</v>
      </c>
      <c r="R111" s="102" t="s">
        <v>138</v>
      </c>
      <c r="S111" s="638">
        <f>S30</f>
        <v>40000</v>
      </c>
      <c r="T111" s="638"/>
      <c r="U111" s="47" t="s">
        <v>9</v>
      </c>
      <c r="V111" s="197"/>
    </row>
    <row r="112" spans="1:22" ht="18" hidden="1" customHeight="1">
      <c r="A112" s="180"/>
      <c r="B112" s="5"/>
      <c r="C112" s="47" t="s">
        <v>556</v>
      </c>
      <c r="D112" s="14"/>
      <c r="E112" s="14"/>
      <c r="F112" s="18"/>
      <c r="G112" s="18"/>
      <c r="H112" s="291"/>
      <c r="I112" s="120"/>
      <c r="J112" s="291"/>
      <c r="K112" s="291"/>
      <c r="L112" s="14"/>
      <c r="M112" s="14"/>
      <c r="N112" s="14"/>
      <c r="O112" s="14"/>
      <c r="P112" s="14"/>
      <c r="Q112" s="120" t="s">
        <v>434</v>
      </c>
      <c r="R112" s="102" t="s">
        <v>138</v>
      </c>
      <c r="S112" s="638" t="str">
        <f>J90</f>
        <v>-</v>
      </c>
      <c r="T112" s="638"/>
      <c r="U112" s="14" t="s">
        <v>9</v>
      </c>
      <c r="V112" s="197"/>
    </row>
    <row r="113" spans="1:25" ht="18" hidden="1" customHeight="1">
      <c r="A113" s="180"/>
      <c r="B113" s="5"/>
      <c r="C113" s="47" t="s">
        <v>557</v>
      </c>
      <c r="D113" s="14"/>
      <c r="E113" s="14"/>
      <c r="F113" s="18"/>
      <c r="G113" s="18"/>
      <c r="H113" s="291"/>
      <c r="I113" s="120"/>
      <c r="J113" s="291"/>
      <c r="K113" s="291"/>
      <c r="L113" s="14"/>
      <c r="M113" s="14"/>
      <c r="N113" s="14"/>
      <c r="O113" s="14"/>
      <c r="P113" s="14"/>
      <c r="Q113" s="120" t="s">
        <v>484</v>
      </c>
      <c r="R113" s="102" t="s">
        <v>138</v>
      </c>
      <c r="S113" s="638" t="str">
        <f>J93</f>
        <v>-</v>
      </c>
      <c r="T113" s="638"/>
      <c r="U113" s="14" t="s">
        <v>316</v>
      </c>
      <c r="V113" s="197"/>
    </row>
    <row r="114" spans="1:25" ht="18" hidden="1" customHeight="1">
      <c r="A114" s="180"/>
      <c r="B114" s="5"/>
      <c r="C114" s="47" t="s">
        <v>558</v>
      </c>
      <c r="D114" s="14"/>
      <c r="E114" s="14"/>
      <c r="F114" s="18"/>
      <c r="G114" s="18"/>
      <c r="H114" s="291"/>
      <c r="I114" s="120"/>
      <c r="J114" s="291"/>
      <c r="K114" s="291"/>
      <c r="L114" s="14"/>
      <c r="M114" s="14"/>
      <c r="N114" s="14"/>
      <c r="O114" s="14"/>
      <c r="P114" s="14"/>
      <c r="Q114" s="120" t="s">
        <v>502</v>
      </c>
      <c r="R114" s="102" t="s">
        <v>138</v>
      </c>
      <c r="S114" s="641" t="e">
        <f>P102</f>
        <v>#VALUE!</v>
      </c>
      <c r="T114" s="638"/>
      <c r="U114" s="14" t="s">
        <v>168</v>
      </c>
      <c r="V114" s="197"/>
      <c r="W114" s="291"/>
      <c r="X114" s="291"/>
      <c r="Y114" s="291"/>
    </row>
    <row r="115" spans="1:25" ht="18" hidden="1" customHeight="1">
      <c r="A115" s="180"/>
      <c r="B115" s="5"/>
      <c r="C115" s="47" t="s">
        <v>559</v>
      </c>
      <c r="D115" s="14"/>
      <c r="E115" s="14"/>
      <c r="F115" s="18"/>
      <c r="G115" s="18"/>
      <c r="H115" s="291"/>
      <c r="I115" s="120"/>
      <c r="J115" s="291"/>
      <c r="K115" s="291"/>
      <c r="L115" s="14"/>
      <c r="M115" s="14"/>
      <c r="N115" s="14"/>
      <c r="O115" s="14"/>
      <c r="P115" s="14"/>
      <c r="Q115" s="120" t="s">
        <v>523</v>
      </c>
      <c r="R115" s="102" t="s">
        <v>138</v>
      </c>
      <c r="S115" s="641">
        <f>J102</f>
        <v>1.5398674400000001</v>
      </c>
      <c r="T115" s="638"/>
      <c r="U115" s="14" t="s">
        <v>168</v>
      </c>
      <c r="V115" s="197"/>
      <c r="X115" s="291"/>
      <c r="Y115" s="291"/>
    </row>
    <row r="116" spans="1:25" ht="18" hidden="1" customHeight="1">
      <c r="A116" s="180"/>
      <c r="B116" s="5"/>
      <c r="C116" s="47" t="s">
        <v>560</v>
      </c>
      <c r="D116" s="14"/>
      <c r="E116" s="14"/>
      <c r="F116" s="14"/>
      <c r="G116" s="14"/>
      <c r="H116" s="291"/>
      <c r="I116" s="120"/>
      <c r="J116" s="291"/>
      <c r="K116" s="291"/>
      <c r="L116" s="14"/>
      <c r="M116" s="14"/>
      <c r="N116" s="14"/>
      <c r="O116" s="14"/>
      <c r="P116" s="14"/>
      <c r="Q116" s="120" t="s">
        <v>522</v>
      </c>
      <c r="R116" s="102" t="s">
        <v>138</v>
      </c>
      <c r="S116" s="638">
        <f>O90</f>
        <v>1</v>
      </c>
      <c r="T116" s="638"/>
      <c r="U116" s="14" t="s">
        <v>9</v>
      </c>
      <c r="V116" s="197"/>
      <c r="X116" s="291"/>
      <c r="Y116" s="291"/>
    </row>
    <row r="117" spans="1:25" ht="18" hidden="1" customHeight="1">
      <c r="A117" s="180"/>
      <c r="B117" s="5"/>
      <c r="C117" s="47" t="s">
        <v>561</v>
      </c>
      <c r="D117" s="14"/>
      <c r="E117" s="14"/>
      <c r="F117" s="14"/>
      <c r="G117" s="14"/>
      <c r="H117" s="291"/>
      <c r="I117" s="120"/>
      <c r="J117" s="291"/>
      <c r="K117" s="291"/>
      <c r="L117" s="14"/>
      <c r="M117" s="14"/>
      <c r="N117" s="14"/>
      <c r="O117" s="14"/>
      <c r="P117" s="14"/>
      <c r="Q117" s="120" t="s">
        <v>506</v>
      </c>
      <c r="R117" s="102" t="s">
        <v>138</v>
      </c>
      <c r="S117" s="638">
        <v>20</v>
      </c>
      <c r="T117" s="638"/>
      <c r="U117" s="47"/>
      <c r="V117" s="197"/>
    </row>
    <row r="118" spans="1:25" ht="18" hidden="1" customHeight="1">
      <c r="A118" s="311"/>
      <c r="B118" s="291"/>
      <c r="C118" s="47" t="s">
        <v>503</v>
      </c>
      <c r="D118" s="14"/>
      <c r="E118" s="14"/>
      <c r="F118" s="14"/>
      <c r="G118" s="14"/>
      <c r="H118" s="291"/>
      <c r="I118" s="120"/>
      <c r="J118" s="291"/>
      <c r="K118" s="291"/>
      <c r="L118" s="14"/>
      <c r="M118" s="14"/>
      <c r="N118" s="291"/>
      <c r="O118" s="291"/>
      <c r="P118" s="14"/>
      <c r="Q118" s="120" t="s">
        <v>504</v>
      </c>
      <c r="R118" s="14"/>
      <c r="S118" s="291"/>
      <c r="T118" s="291"/>
      <c r="U118" s="291"/>
      <c r="V118" s="312"/>
      <c r="W118" s="291"/>
      <c r="X118" s="291"/>
      <c r="Y118" s="291"/>
    </row>
    <row r="119" spans="1:25" ht="18" hidden="1" customHeight="1">
      <c r="A119" s="196"/>
      <c r="V119" s="197"/>
    </row>
    <row r="120" spans="1:25" ht="18" hidden="1" customHeight="1">
      <c r="A120" s="196"/>
      <c r="C120" s="120" t="s">
        <v>504</v>
      </c>
      <c r="D120" s="28" t="s">
        <v>138</v>
      </c>
      <c r="E120" s="28" t="s">
        <v>548</v>
      </c>
      <c r="F120" s="233">
        <v>1.3</v>
      </c>
      <c r="G120" s="233" t="s">
        <v>326</v>
      </c>
      <c r="H120" s="861" t="s">
        <v>484</v>
      </c>
      <c r="I120" s="968"/>
      <c r="J120" s="233" t="s">
        <v>326</v>
      </c>
      <c r="K120" s="233" t="s">
        <v>522</v>
      </c>
      <c r="L120" s="233" t="s">
        <v>552</v>
      </c>
      <c r="M120" s="233" t="s">
        <v>506</v>
      </c>
      <c r="N120" s="560" t="s">
        <v>553</v>
      </c>
      <c r="O120" s="575" t="s">
        <v>502</v>
      </c>
      <c r="V120" s="197"/>
    </row>
    <row r="121" spans="1:25" ht="18" hidden="1" customHeight="1">
      <c r="A121" s="196"/>
      <c r="C121" s="120"/>
      <c r="D121" s="27" t="s">
        <v>138</v>
      </c>
      <c r="E121" s="27" t="s">
        <v>548</v>
      </c>
      <c r="F121" s="257">
        <v>1.3</v>
      </c>
      <c r="G121" s="257" t="s">
        <v>326</v>
      </c>
      <c r="H121" s="969" t="str">
        <f>S113</f>
        <v>-</v>
      </c>
      <c r="I121" s="970"/>
      <c r="J121" s="257" t="s">
        <v>326</v>
      </c>
      <c r="K121" s="257">
        <f>S116</f>
        <v>1</v>
      </c>
      <c r="L121" s="257" t="s">
        <v>552</v>
      </c>
      <c r="M121" s="257">
        <f>S117</f>
        <v>20</v>
      </c>
      <c r="N121" s="474" t="s">
        <v>553</v>
      </c>
      <c r="O121" s="516" t="e">
        <f>S114</f>
        <v>#VALUE!</v>
      </c>
      <c r="V121" s="197"/>
    </row>
    <row r="122" spans="1:25" ht="18" hidden="1" customHeight="1">
      <c r="A122" s="196"/>
      <c r="D122" s="27" t="s">
        <v>138</v>
      </c>
      <c r="E122" s="639" t="e">
        <f>((F121*H121)/(K121*M121))-O121</f>
        <v>#VALUE!</v>
      </c>
      <c r="F122" s="639"/>
      <c r="G122" s="27" t="s">
        <v>168</v>
      </c>
      <c r="V122" s="197"/>
    </row>
    <row r="123" spans="1:25" ht="18" hidden="1" customHeight="1">
      <c r="A123" s="196"/>
      <c r="D123" s="27"/>
      <c r="E123" s="27"/>
      <c r="F123" s="27"/>
      <c r="G123" s="27"/>
      <c r="V123" s="197"/>
    </row>
    <row r="124" spans="1:25" ht="18" hidden="1" customHeight="1">
      <c r="A124" s="196"/>
      <c r="D124" s="27"/>
      <c r="E124" s="27"/>
      <c r="F124" s="27"/>
      <c r="G124" s="27"/>
      <c r="V124" s="197"/>
    </row>
    <row r="125" spans="1:25" ht="18" hidden="1" customHeight="1">
      <c r="A125" s="196"/>
      <c r="D125" s="27"/>
      <c r="E125" s="27"/>
      <c r="F125" s="27"/>
      <c r="G125" s="27"/>
      <c r="V125" s="197"/>
    </row>
    <row r="126" spans="1:25" ht="18" hidden="1" customHeight="1">
      <c r="A126" s="196"/>
      <c r="D126" s="27"/>
      <c r="E126" s="27"/>
      <c r="F126" s="27"/>
      <c r="G126" s="27"/>
      <c r="V126" s="197"/>
    </row>
    <row r="127" spans="1:25" ht="18" hidden="1" customHeight="1">
      <c r="A127" s="196"/>
      <c r="D127" s="27"/>
      <c r="E127" s="27"/>
      <c r="F127" s="27"/>
      <c r="G127" s="27"/>
      <c r="V127" s="197"/>
    </row>
    <row r="128" spans="1:25" ht="18" hidden="1" customHeight="1">
      <c r="A128" s="196"/>
      <c r="V128" s="197"/>
    </row>
    <row r="129" spans="1:22" s="14" customFormat="1" ht="18" hidden="1" customHeight="1">
      <c r="A129" s="206"/>
      <c r="B129" s="207"/>
      <c r="C129" s="207"/>
      <c r="D129" s="207"/>
      <c r="E129" s="207"/>
      <c r="F129" s="207"/>
      <c r="G129" s="207"/>
      <c r="H129" s="207"/>
      <c r="I129" s="207"/>
      <c r="J129" s="207"/>
      <c r="K129" s="207"/>
      <c r="L129" s="207"/>
      <c r="M129" s="207"/>
      <c r="N129" s="207"/>
      <c r="O129" s="207"/>
      <c r="P129" s="207"/>
      <c r="Q129" s="236"/>
      <c r="R129" s="194"/>
      <c r="S129" s="237"/>
      <c r="T129" s="207"/>
      <c r="U129" s="207"/>
      <c r="V129" s="140" t="s">
        <v>563</v>
      </c>
    </row>
    <row r="130" spans="1:22" ht="18" hidden="1" customHeight="1">
      <c r="A130" s="238"/>
      <c r="B130" s="239"/>
      <c r="C130" s="239"/>
      <c r="D130" s="239"/>
      <c r="E130" s="239"/>
      <c r="F130" s="239"/>
      <c r="G130" s="239"/>
      <c r="H130" s="239"/>
      <c r="I130" s="239"/>
      <c r="J130" s="239"/>
      <c r="K130" s="239"/>
      <c r="L130" s="239"/>
      <c r="M130" s="239"/>
      <c r="N130" s="239"/>
      <c r="O130" s="239"/>
      <c r="P130" s="239"/>
      <c r="Q130" s="239"/>
      <c r="R130" s="239"/>
      <c r="S130" s="239"/>
      <c r="T130" s="239"/>
      <c r="U130" s="239"/>
      <c r="V130" s="240"/>
    </row>
    <row r="131" spans="1:22" ht="18" hidden="1" customHeight="1">
      <c r="A131" s="196"/>
      <c r="E131" s="256" t="s">
        <v>123</v>
      </c>
      <c r="F131" s="27" t="s">
        <v>138</v>
      </c>
      <c r="G131" s="638" t="s">
        <v>555</v>
      </c>
      <c r="H131" s="638"/>
      <c r="I131" s="203" t="s">
        <v>353</v>
      </c>
      <c r="J131" s="639" t="s">
        <v>434</v>
      </c>
      <c r="K131" s="639"/>
      <c r="V131" s="197"/>
    </row>
    <row r="132" spans="1:22" ht="18" hidden="1" customHeight="1">
      <c r="A132" s="196"/>
      <c r="F132" s="27" t="s">
        <v>138</v>
      </c>
      <c r="G132" s="639">
        <f>S111</f>
        <v>40000</v>
      </c>
      <c r="H132" s="639"/>
      <c r="I132" s="203" t="s">
        <v>353</v>
      </c>
      <c r="J132" s="639" t="str">
        <f>S112</f>
        <v>-</v>
      </c>
      <c r="K132" s="639"/>
      <c r="V132" s="197"/>
    </row>
    <row r="133" spans="1:22" ht="18" hidden="1" customHeight="1">
      <c r="A133" s="196"/>
      <c r="F133" s="27" t="s">
        <v>138</v>
      </c>
      <c r="G133" s="637" t="e">
        <f>G132/J132</f>
        <v>#VALUE!</v>
      </c>
      <c r="H133" s="637"/>
      <c r="I133" s="27"/>
      <c r="J133" s="27"/>
      <c r="K133" s="27"/>
      <c r="V133" s="197"/>
    </row>
    <row r="134" spans="1:22" ht="18" hidden="1" customHeight="1">
      <c r="A134" s="196"/>
      <c r="V134" s="197"/>
    </row>
    <row r="135" spans="1:22" ht="18" hidden="1" customHeight="1">
      <c r="A135" s="196"/>
      <c r="E135" s="256" t="s">
        <v>564</v>
      </c>
      <c r="F135" s="27" t="s">
        <v>138</v>
      </c>
      <c r="G135" s="233" t="s">
        <v>506</v>
      </c>
      <c r="H135" s="233" t="s">
        <v>565</v>
      </c>
      <c r="I135" s="575" t="s">
        <v>502</v>
      </c>
      <c r="J135" s="233" t="s">
        <v>358</v>
      </c>
      <c r="K135" s="575" t="s">
        <v>504</v>
      </c>
      <c r="L135" s="233" t="s">
        <v>550</v>
      </c>
      <c r="M135" s="575" t="s">
        <v>502</v>
      </c>
      <c r="N135" s="233" t="s">
        <v>358</v>
      </c>
      <c r="O135" s="575" t="s">
        <v>523</v>
      </c>
      <c r="P135" s="28" t="s">
        <v>361</v>
      </c>
      <c r="V135" s="197"/>
    </row>
    <row r="136" spans="1:22" ht="18" hidden="1" customHeight="1">
      <c r="A136" s="196"/>
      <c r="F136" s="27" t="s">
        <v>138</v>
      </c>
      <c r="G136" s="254">
        <f>S117</f>
        <v>20</v>
      </c>
      <c r="H136" s="257" t="s">
        <v>565</v>
      </c>
      <c r="I136" s="313" t="e">
        <f>S114</f>
        <v>#VALUE!</v>
      </c>
      <c r="J136" s="257" t="s">
        <v>358</v>
      </c>
      <c r="K136" s="313" t="e">
        <f>E122</f>
        <v>#VALUE!</v>
      </c>
      <c r="L136" s="257" t="s">
        <v>550</v>
      </c>
      <c r="M136" s="313" t="e">
        <f>S114</f>
        <v>#VALUE!</v>
      </c>
      <c r="N136" s="257" t="s">
        <v>358</v>
      </c>
      <c r="O136" s="313">
        <f>S115</f>
        <v>1.5398674400000001</v>
      </c>
      <c r="P136" s="27" t="s">
        <v>361</v>
      </c>
      <c r="V136" s="197"/>
    </row>
    <row r="137" spans="1:22" ht="18" hidden="1" customHeight="1">
      <c r="A137" s="196"/>
      <c r="F137" s="27" t="s">
        <v>138</v>
      </c>
      <c r="G137" s="640" t="e">
        <f>G136*((I136+K136)/(M136+O136))</f>
        <v>#VALUE!</v>
      </c>
      <c r="H137" s="640"/>
      <c r="I137" s="254"/>
      <c r="J137" s="254"/>
      <c r="K137" s="254"/>
      <c r="L137" s="254"/>
      <c r="M137" s="254"/>
      <c r="N137" s="254"/>
      <c r="O137" s="254"/>
      <c r="V137" s="197"/>
    </row>
    <row r="138" spans="1:22" ht="18" hidden="1" customHeight="1">
      <c r="A138" s="196"/>
      <c r="V138" s="197"/>
    </row>
    <row r="139" spans="1:22" ht="18" hidden="1" customHeight="1">
      <c r="A139" s="196"/>
      <c r="E139" s="256" t="s">
        <v>566</v>
      </c>
      <c r="F139" s="27" t="e">
        <f>IF(D140&gt;G140,"&gt;","&lt;")</f>
        <v>#VALUE!</v>
      </c>
      <c r="G139" s="308" t="s">
        <v>123</v>
      </c>
      <c r="V139" s="197"/>
    </row>
    <row r="140" spans="1:22" ht="18" hidden="1" customHeight="1">
      <c r="A140" s="196"/>
      <c r="D140" s="637" t="e">
        <f>G137</f>
        <v>#VALUE!</v>
      </c>
      <c r="E140" s="637"/>
      <c r="F140" s="27" t="e">
        <f>F139</f>
        <v>#VALUE!</v>
      </c>
      <c r="G140" s="637" t="e">
        <f>G133</f>
        <v>#VALUE!</v>
      </c>
      <c r="H140" s="637"/>
      <c r="V140" s="197"/>
    </row>
    <row r="141" spans="1:22" ht="18" hidden="1" customHeight="1">
      <c r="A141" s="196"/>
      <c r="E141" s="256" t="s">
        <v>489</v>
      </c>
      <c r="G141" s="18" t="e">
        <f>IF(F139="&gt;","Suitably Dimentioned","Under Dimentioned")</f>
        <v>#VALUE!</v>
      </c>
      <c r="V141" s="197"/>
    </row>
    <row r="142" spans="1:22" ht="18" hidden="1" customHeight="1">
      <c r="A142" s="196"/>
      <c r="V142" s="197"/>
    </row>
    <row r="143" spans="1:22" ht="18" hidden="1" customHeight="1">
      <c r="A143" s="196"/>
      <c r="V143" s="197"/>
    </row>
    <row r="144" spans="1:22" ht="18" hidden="1" customHeight="1">
      <c r="A144" s="196"/>
      <c r="V144" s="197"/>
    </row>
    <row r="145" spans="1:22" ht="18" hidden="1" customHeight="1">
      <c r="A145" s="196"/>
      <c r="V145" s="197"/>
    </row>
    <row r="146" spans="1:22" ht="18" hidden="1" customHeight="1">
      <c r="A146" s="196"/>
      <c r="V146" s="197"/>
    </row>
    <row r="147" spans="1:22" ht="18" hidden="1" customHeight="1">
      <c r="A147" s="196"/>
      <c r="V147" s="197"/>
    </row>
    <row r="148" spans="1:22" ht="18" hidden="1" customHeight="1">
      <c r="A148" s="196"/>
      <c r="V148" s="197"/>
    </row>
    <row r="149" spans="1:22" ht="18" hidden="1" customHeight="1">
      <c r="A149" s="196"/>
      <c r="V149" s="197"/>
    </row>
    <row r="150" spans="1:22" ht="18" hidden="1" customHeight="1">
      <c r="A150" s="196"/>
      <c r="V150" s="197"/>
    </row>
    <row r="151" spans="1:22" ht="18" hidden="1" customHeight="1">
      <c r="A151" s="196"/>
      <c r="V151" s="197"/>
    </row>
    <row r="152" spans="1:22" ht="18" hidden="1" customHeight="1">
      <c r="A152" s="196"/>
      <c r="V152" s="197"/>
    </row>
    <row r="153" spans="1:22" ht="18" hidden="1" customHeight="1">
      <c r="A153" s="196"/>
      <c r="V153" s="197"/>
    </row>
    <row r="154" spans="1:22" ht="18" hidden="1" customHeight="1">
      <c r="A154" s="196"/>
      <c r="V154" s="197"/>
    </row>
    <row r="155" spans="1:22" ht="18" hidden="1" customHeight="1">
      <c r="A155" s="196"/>
      <c r="V155" s="197"/>
    </row>
    <row r="156" spans="1:22" ht="18" hidden="1" customHeight="1">
      <c r="A156" s="196"/>
      <c r="V156" s="197"/>
    </row>
    <row r="157" spans="1:22" ht="18" hidden="1" customHeight="1">
      <c r="A157" s="196"/>
      <c r="V157" s="197"/>
    </row>
    <row r="158" spans="1:22" ht="18" hidden="1" customHeight="1">
      <c r="A158" s="196"/>
      <c r="V158" s="197"/>
    </row>
    <row r="159" spans="1:22" ht="18" hidden="1" customHeight="1">
      <c r="A159" s="196"/>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s="14" customFormat="1" ht="18" hidden="1" customHeight="1">
      <c r="A173" s="206"/>
      <c r="B173" s="207"/>
      <c r="C173" s="207"/>
      <c r="D173" s="207"/>
      <c r="E173" s="207"/>
      <c r="F173" s="207"/>
      <c r="G173" s="207"/>
      <c r="H173" s="207"/>
      <c r="I173" s="207"/>
      <c r="J173" s="207"/>
      <c r="K173" s="207"/>
      <c r="L173" s="207"/>
      <c r="M173" s="207"/>
      <c r="N173" s="207"/>
      <c r="O173" s="207"/>
      <c r="P173" s="207"/>
      <c r="Q173" s="236"/>
      <c r="R173" s="194"/>
      <c r="S173" s="237"/>
      <c r="T173" s="207"/>
      <c r="U173" s="207"/>
      <c r="V173" s="140" t="s">
        <v>563</v>
      </c>
    </row>
    <row r="174" spans="1:22" ht="18" hidden="1" customHeight="1">
      <c r="A174" s="238"/>
      <c r="B174" s="239"/>
      <c r="C174" s="239"/>
      <c r="D174" s="239"/>
      <c r="E174" s="239"/>
      <c r="F174" s="239"/>
      <c r="G174" s="239"/>
      <c r="H174" s="239"/>
      <c r="I174" s="239"/>
      <c r="J174" s="239"/>
      <c r="K174" s="239"/>
      <c r="L174" s="239"/>
      <c r="M174" s="239"/>
      <c r="N174" s="239"/>
      <c r="O174" s="239"/>
      <c r="P174" s="239"/>
      <c r="Q174" s="239"/>
      <c r="R174" s="239"/>
      <c r="S174" s="239"/>
      <c r="T174" s="239"/>
      <c r="U174" s="239"/>
      <c r="V174" s="240"/>
    </row>
    <row r="175" spans="1:22" ht="18" hidden="1" customHeight="1">
      <c r="A175" s="196"/>
      <c r="B175" s="650" t="str">
        <f>B87</f>
        <v>T1</v>
      </c>
      <c r="C175" s="651"/>
      <c r="D175" s="663" t="str">
        <f>D87</f>
        <v>Core3</v>
      </c>
      <c r="E175" s="664"/>
      <c r="F175" s="267"/>
      <c r="H175" s="639">
        <f>H87</f>
        <v>0</v>
      </c>
      <c r="I175" s="639"/>
      <c r="J175" s="639"/>
      <c r="K175" s="639"/>
      <c r="L175" s="639"/>
      <c r="M175" s="639"/>
      <c r="P175" s="198"/>
      <c r="S175" s="199" t="s">
        <v>398</v>
      </c>
      <c r="T175" s="658" t="str">
        <f>T87</f>
        <v>REF650</v>
      </c>
      <c r="U175" s="659"/>
      <c r="V175" s="197"/>
    </row>
    <row r="176" spans="1:22" ht="18" hidden="1" customHeight="1">
      <c r="A176" s="196"/>
      <c r="B176" s="660">
        <f>B88</f>
        <v>0</v>
      </c>
      <c r="C176" s="660"/>
      <c r="D176" s="665"/>
      <c r="E176" s="666"/>
      <c r="F176" s="267"/>
      <c r="T176" s="658" t="str">
        <f>T88</f>
        <v>REC670</v>
      </c>
      <c r="U176" s="659"/>
      <c r="V176" s="197"/>
    </row>
    <row r="177" spans="1:23" ht="18" hidden="1" customHeight="1">
      <c r="A177" s="196"/>
      <c r="H177" s="661" t="s">
        <v>401</v>
      </c>
      <c r="I177" s="661"/>
      <c r="J177" s="661" t="s">
        <v>402</v>
      </c>
      <c r="K177" s="661"/>
      <c r="L177" s="662" t="s">
        <v>403</v>
      </c>
      <c r="M177" s="662"/>
      <c r="T177" s="658" t="str">
        <f>T89</f>
        <v>IDM+9</v>
      </c>
      <c r="U177" s="659"/>
      <c r="V177" s="197"/>
    </row>
    <row r="178" spans="1:23" ht="18" hidden="1" customHeight="1">
      <c r="A178" s="196"/>
      <c r="B178" s="47" t="s">
        <v>404</v>
      </c>
      <c r="H178" s="650">
        <f>H90</f>
        <v>2500</v>
      </c>
      <c r="I178" s="651"/>
      <c r="J178" s="650" t="str">
        <f>J90</f>
        <v>-</v>
      </c>
      <c r="K178" s="651"/>
      <c r="L178" s="652" t="str">
        <f>L90</f>
        <v>-</v>
      </c>
      <c r="M178" s="653"/>
      <c r="N178" s="203" t="s">
        <v>353</v>
      </c>
      <c r="O178" s="268">
        <f>O90</f>
        <v>1</v>
      </c>
      <c r="P178" s="27" t="s">
        <v>9</v>
      </c>
      <c r="R178" s="267"/>
      <c r="S178" s="267"/>
      <c r="V178" s="197"/>
    </row>
    <row r="179" spans="1:23" ht="18" hidden="1" customHeight="1">
      <c r="A179" s="196"/>
      <c r="B179" s="47" t="s">
        <v>405</v>
      </c>
      <c r="H179" s="14"/>
      <c r="I179" s="14"/>
      <c r="L179" s="650" t="str">
        <f>J91</f>
        <v>5P20</v>
      </c>
      <c r="M179" s="651"/>
      <c r="V179" s="197"/>
    </row>
    <row r="180" spans="1:23" ht="18" hidden="1" customHeight="1">
      <c r="A180" s="196"/>
      <c r="B180" s="47" t="s">
        <v>407</v>
      </c>
      <c r="K180" s="120" t="s">
        <v>508</v>
      </c>
      <c r="L180" s="940" t="s">
        <v>7</v>
      </c>
      <c r="M180" s="941"/>
      <c r="N180" s="204" t="s">
        <v>344</v>
      </c>
      <c r="V180" s="197"/>
    </row>
    <row r="181" spans="1:23" ht="18" hidden="1" customHeight="1">
      <c r="A181" s="196"/>
      <c r="B181" s="47" t="s">
        <v>409</v>
      </c>
      <c r="K181" s="120" t="s">
        <v>509</v>
      </c>
      <c r="L181" s="940" t="s">
        <v>7</v>
      </c>
      <c r="M181" s="941"/>
      <c r="N181" s="14" t="s">
        <v>316</v>
      </c>
      <c r="T181" s="307"/>
      <c r="U181" s="18"/>
      <c r="V181" s="197"/>
      <c r="W181" s="30" t="e">
        <f>G229</f>
        <v>#VALUE!</v>
      </c>
    </row>
    <row r="182" spans="1:23" ht="18" hidden="1" customHeight="1">
      <c r="A182" s="196"/>
      <c r="B182" s="14" t="s">
        <v>412</v>
      </c>
      <c r="K182" s="120" t="s">
        <v>413</v>
      </c>
      <c r="L182" s="940" t="s">
        <v>7</v>
      </c>
      <c r="M182" s="941"/>
      <c r="N182" s="14" t="s">
        <v>414</v>
      </c>
      <c r="V182" s="197"/>
    </row>
    <row r="183" spans="1:23" ht="18" hidden="1" customHeight="1">
      <c r="A183" s="196"/>
      <c r="V183" s="197"/>
    </row>
    <row r="184" spans="1:23" ht="18" hidden="1" customHeight="1">
      <c r="A184" s="205" t="s">
        <v>415</v>
      </c>
      <c r="V184" s="197"/>
    </row>
    <row r="185" spans="1:23" ht="18" hidden="1" customHeight="1">
      <c r="A185" s="196"/>
      <c r="V185" s="197"/>
    </row>
    <row r="186" spans="1:23" ht="18" hidden="1" customHeight="1">
      <c r="A186" s="196"/>
      <c r="B186" s="141" t="s">
        <v>416</v>
      </c>
      <c r="C186" s="285"/>
      <c r="D186" s="146" t="str">
        <f>T175</f>
        <v>REF650</v>
      </c>
      <c r="E186" s="239"/>
      <c r="F186" s="239"/>
      <c r="G186" s="239"/>
      <c r="H186" s="145"/>
      <c r="I186" s="272" t="s">
        <v>138</v>
      </c>
      <c r="J186" s="648">
        <f>J98</f>
        <v>0.02</v>
      </c>
      <c r="K186" s="649"/>
      <c r="L186" s="3" t="s">
        <v>168</v>
      </c>
      <c r="N186" s="209" t="s">
        <v>521</v>
      </c>
      <c r="V186" s="197"/>
    </row>
    <row r="187" spans="1:23" ht="18" hidden="1" customHeight="1">
      <c r="A187" s="196"/>
      <c r="B187" s="96" t="s">
        <v>416</v>
      </c>
      <c r="D187" s="308" t="str">
        <f>T176</f>
        <v>REC670</v>
      </c>
      <c r="I187" s="189" t="s">
        <v>138</v>
      </c>
      <c r="J187" s="642">
        <f>J99</f>
        <v>0.02</v>
      </c>
      <c r="K187" s="643"/>
      <c r="L187" s="210" t="s">
        <v>168</v>
      </c>
      <c r="P187" s="256"/>
      <c r="V187" s="197"/>
    </row>
    <row r="188" spans="1:23" ht="18" hidden="1" customHeight="1">
      <c r="A188" s="196"/>
      <c r="B188" s="96" t="s">
        <v>416</v>
      </c>
      <c r="C188" s="14"/>
      <c r="D188" s="47" t="str">
        <f>T177</f>
        <v>IDM+9</v>
      </c>
      <c r="E188" s="14"/>
      <c r="G188" s="211"/>
      <c r="H188" s="27"/>
      <c r="I188" s="101" t="s">
        <v>138</v>
      </c>
      <c r="J188" s="644">
        <f>J100</f>
        <v>5.8000000000000003E-2</v>
      </c>
      <c r="K188" s="645"/>
      <c r="L188" s="214" t="s">
        <v>168</v>
      </c>
      <c r="N188" s="120" t="s">
        <v>502</v>
      </c>
      <c r="O188" s="27" t="s">
        <v>138</v>
      </c>
      <c r="P188" s="27" t="s">
        <v>522</v>
      </c>
      <c r="Q188" s="27" t="s">
        <v>326</v>
      </c>
      <c r="R188" s="27" t="s">
        <v>522</v>
      </c>
      <c r="S188" s="27" t="s">
        <v>326</v>
      </c>
      <c r="T188" s="27" t="s">
        <v>431</v>
      </c>
      <c r="V188" s="197"/>
    </row>
    <row r="189" spans="1:23" ht="18" hidden="1" customHeight="1">
      <c r="A189" s="196"/>
      <c r="B189" s="196" t="s">
        <v>423</v>
      </c>
      <c r="C189" s="14"/>
      <c r="D189" s="14"/>
      <c r="E189" s="14"/>
      <c r="H189" s="27"/>
      <c r="I189" s="101" t="s">
        <v>138</v>
      </c>
      <c r="J189" s="646">
        <f>J101</f>
        <v>1.44186744</v>
      </c>
      <c r="K189" s="647"/>
      <c r="L189" s="309" t="s">
        <v>168</v>
      </c>
      <c r="O189" s="27" t="s">
        <v>138</v>
      </c>
      <c r="P189" s="27">
        <f>O178</f>
        <v>1</v>
      </c>
      <c r="Q189" s="27" t="s">
        <v>326</v>
      </c>
      <c r="R189" s="27">
        <f>O178</f>
        <v>1</v>
      </c>
      <c r="S189" s="27" t="s">
        <v>326</v>
      </c>
      <c r="T189" s="27" t="str">
        <f>L180</f>
        <v>-</v>
      </c>
      <c r="V189" s="197"/>
    </row>
    <row r="190" spans="1:23" ht="18" hidden="1" customHeight="1">
      <c r="A190" s="196"/>
      <c r="B190" s="1" t="s">
        <v>424</v>
      </c>
      <c r="C190" s="2"/>
      <c r="D190" s="2"/>
      <c r="E190" s="2"/>
      <c r="F190" s="208"/>
      <c r="G190" s="208"/>
      <c r="H190" s="236" t="s">
        <v>523</v>
      </c>
      <c r="I190" s="195" t="s">
        <v>138</v>
      </c>
      <c r="J190" s="648">
        <f>SUM(J186:J189)</f>
        <v>1.5398674400000001</v>
      </c>
      <c r="K190" s="649"/>
      <c r="L190" s="3" t="s">
        <v>168</v>
      </c>
      <c r="O190" s="27" t="s">
        <v>138</v>
      </c>
      <c r="P190" s="637" t="e">
        <f>P189*R189*T189</f>
        <v>#VALUE!</v>
      </c>
      <c r="Q190" s="639"/>
      <c r="R190" s="27" t="s">
        <v>168</v>
      </c>
      <c r="S190" s="27"/>
      <c r="T190" s="27"/>
      <c r="V190" s="197"/>
    </row>
    <row r="191" spans="1:23" ht="18" hidden="1" customHeight="1">
      <c r="A191" s="196"/>
      <c r="B191" s="47"/>
      <c r="C191" s="47"/>
      <c r="D191" s="47"/>
      <c r="E191" s="47"/>
      <c r="H191" s="27"/>
      <c r="I191" s="28"/>
      <c r="J191" s="211"/>
      <c r="L191" s="47"/>
      <c r="O191" s="27"/>
      <c r="P191" s="223"/>
      <c r="Q191" s="27"/>
      <c r="R191" s="216"/>
      <c r="S191" s="27"/>
      <c r="V191" s="197"/>
    </row>
    <row r="192" spans="1:23" ht="18" hidden="1" customHeight="1">
      <c r="A192" s="964" t="s">
        <v>547</v>
      </c>
      <c r="B192" s="965"/>
      <c r="C192" s="965"/>
      <c r="D192" s="965"/>
      <c r="E192" s="965"/>
      <c r="F192" s="965"/>
      <c r="G192" s="965"/>
      <c r="H192" s="965"/>
      <c r="I192" s="965"/>
      <c r="J192" s="965"/>
      <c r="K192" s="965"/>
      <c r="L192" s="965"/>
      <c r="M192" s="965"/>
      <c r="N192" s="965"/>
      <c r="O192" s="965"/>
      <c r="P192" s="965"/>
      <c r="Q192" s="965"/>
      <c r="R192" s="965"/>
      <c r="S192" s="965"/>
      <c r="T192" s="965"/>
      <c r="U192" s="965"/>
      <c r="V192" s="966"/>
    </row>
    <row r="193" spans="1:25" ht="18" hidden="1" customHeight="1">
      <c r="A193" s="967"/>
      <c r="B193" s="965"/>
      <c r="C193" s="965"/>
      <c r="D193" s="965"/>
      <c r="E193" s="965"/>
      <c r="F193" s="965"/>
      <c r="G193" s="965"/>
      <c r="H193" s="965"/>
      <c r="I193" s="965"/>
      <c r="J193" s="965"/>
      <c r="K193" s="965"/>
      <c r="L193" s="965"/>
      <c r="M193" s="965"/>
      <c r="N193" s="965"/>
      <c r="O193" s="965"/>
      <c r="P193" s="965"/>
      <c r="Q193" s="965"/>
      <c r="R193" s="965"/>
      <c r="S193" s="965"/>
      <c r="T193" s="965"/>
      <c r="U193" s="965"/>
      <c r="V193" s="966"/>
    </row>
    <row r="194" spans="1:25" ht="18" hidden="1" customHeight="1">
      <c r="A194" s="196"/>
      <c r="Q194" s="223"/>
      <c r="R194" s="204"/>
      <c r="V194" s="197"/>
    </row>
    <row r="195" spans="1:25" ht="18" hidden="1" customHeight="1">
      <c r="A195" s="196"/>
      <c r="C195" s="27" t="s">
        <v>484</v>
      </c>
      <c r="D195" s="27" t="s">
        <v>138</v>
      </c>
      <c r="E195" s="27" t="s">
        <v>548</v>
      </c>
      <c r="F195" s="120" t="s">
        <v>504</v>
      </c>
      <c r="G195" s="28" t="s">
        <v>358</v>
      </c>
      <c r="H195" s="120" t="s">
        <v>502</v>
      </c>
      <c r="I195" s="28" t="s">
        <v>549</v>
      </c>
      <c r="J195" s="28" t="s">
        <v>506</v>
      </c>
      <c r="K195" s="28" t="s">
        <v>550</v>
      </c>
      <c r="L195" s="28" t="s">
        <v>522</v>
      </c>
      <c r="M195" s="28" t="s">
        <v>326</v>
      </c>
      <c r="N195" s="28">
        <v>1.3</v>
      </c>
      <c r="O195" s="47" t="s">
        <v>361</v>
      </c>
      <c r="V195" s="197"/>
    </row>
    <row r="196" spans="1:25" ht="18" hidden="1" customHeight="1">
      <c r="A196" s="196" t="s">
        <v>551</v>
      </c>
      <c r="C196" s="27"/>
      <c r="D196" s="27"/>
      <c r="V196" s="197"/>
    </row>
    <row r="197" spans="1:25" ht="18" hidden="1" customHeight="1">
      <c r="A197" s="196"/>
      <c r="C197" s="28" t="s">
        <v>504</v>
      </c>
      <c r="D197" s="28" t="s">
        <v>138</v>
      </c>
      <c r="E197" s="28" t="s">
        <v>548</v>
      </c>
      <c r="F197" s="28">
        <v>1.3</v>
      </c>
      <c r="G197" s="28" t="s">
        <v>326</v>
      </c>
      <c r="H197" s="638" t="s">
        <v>484</v>
      </c>
      <c r="I197" s="920"/>
      <c r="J197" s="28" t="s">
        <v>326</v>
      </c>
      <c r="K197" s="28" t="s">
        <v>522</v>
      </c>
      <c r="L197" s="28" t="s">
        <v>552</v>
      </c>
      <c r="M197" s="28" t="s">
        <v>506</v>
      </c>
      <c r="N197" s="47" t="s">
        <v>553</v>
      </c>
      <c r="O197" s="120" t="s">
        <v>502</v>
      </c>
      <c r="V197" s="197"/>
    </row>
    <row r="198" spans="1:25" ht="18" hidden="1" customHeight="1">
      <c r="A198" s="196"/>
      <c r="V198" s="197"/>
    </row>
    <row r="199" spans="1:25" ht="18" hidden="1" customHeight="1">
      <c r="A199" s="180"/>
      <c r="B199" s="5"/>
      <c r="C199" s="47" t="s">
        <v>554</v>
      </c>
      <c r="D199" s="14"/>
      <c r="E199" s="14"/>
      <c r="F199" s="14"/>
      <c r="G199" s="14"/>
      <c r="H199" s="291"/>
      <c r="I199" s="120"/>
      <c r="J199" s="291"/>
      <c r="K199" s="291"/>
      <c r="L199" s="14"/>
      <c r="M199" s="14"/>
      <c r="N199" s="14"/>
      <c r="O199" s="14"/>
      <c r="P199" s="14"/>
      <c r="Q199" s="120" t="s">
        <v>555</v>
      </c>
      <c r="R199" s="102" t="s">
        <v>138</v>
      </c>
      <c r="S199" s="638">
        <f>S111</f>
        <v>40000</v>
      </c>
      <c r="T199" s="638"/>
      <c r="U199" s="47" t="s">
        <v>9</v>
      </c>
      <c r="V199" s="197"/>
    </row>
    <row r="200" spans="1:25" ht="18" hidden="1" customHeight="1">
      <c r="A200" s="180"/>
      <c r="B200" s="5"/>
      <c r="C200" s="47" t="s">
        <v>556</v>
      </c>
      <c r="D200" s="14"/>
      <c r="E200" s="14"/>
      <c r="F200" s="18"/>
      <c r="G200" s="18"/>
      <c r="H200" s="291"/>
      <c r="I200" s="120"/>
      <c r="J200" s="291"/>
      <c r="K200" s="291"/>
      <c r="L200" s="14"/>
      <c r="M200" s="14"/>
      <c r="N200" s="14"/>
      <c r="O200" s="14"/>
      <c r="P200" s="14"/>
      <c r="Q200" s="120" t="s">
        <v>434</v>
      </c>
      <c r="R200" s="102" t="s">
        <v>138</v>
      </c>
      <c r="S200" s="638" t="str">
        <f>L178</f>
        <v>-</v>
      </c>
      <c r="T200" s="638"/>
      <c r="U200" s="14" t="s">
        <v>9</v>
      </c>
      <c r="V200" s="197"/>
    </row>
    <row r="201" spans="1:25" ht="18" hidden="1" customHeight="1">
      <c r="A201" s="180"/>
      <c r="B201" s="5"/>
      <c r="C201" s="47" t="s">
        <v>557</v>
      </c>
      <c r="D201" s="14"/>
      <c r="E201" s="14"/>
      <c r="F201" s="18"/>
      <c r="G201" s="18"/>
      <c r="H201" s="291"/>
      <c r="I201" s="120"/>
      <c r="J201" s="291"/>
      <c r="K201" s="291"/>
      <c r="L201" s="14"/>
      <c r="M201" s="14"/>
      <c r="N201" s="14"/>
      <c r="O201" s="14"/>
      <c r="P201" s="14"/>
      <c r="Q201" s="120" t="s">
        <v>484</v>
      </c>
      <c r="R201" s="102" t="s">
        <v>138</v>
      </c>
      <c r="S201" s="638" t="str">
        <f>L181</f>
        <v>-</v>
      </c>
      <c r="T201" s="638"/>
      <c r="U201" s="14" t="s">
        <v>316</v>
      </c>
      <c r="V201" s="197"/>
    </row>
    <row r="202" spans="1:25" ht="18" hidden="1" customHeight="1">
      <c r="A202" s="180"/>
      <c r="B202" s="5"/>
      <c r="C202" s="47" t="s">
        <v>558</v>
      </c>
      <c r="D202" s="14"/>
      <c r="E202" s="14"/>
      <c r="F202" s="18"/>
      <c r="G202" s="18"/>
      <c r="H202" s="291"/>
      <c r="I202" s="120"/>
      <c r="J202" s="291"/>
      <c r="K202" s="291"/>
      <c r="L202" s="14"/>
      <c r="M202" s="14"/>
      <c r="N202" s="14"/>
      <c r="O202" s="14"/>
      <c r="P202" s="14"/>
      <c r="Q202" s="120" t="s">
        <v>502</v>
      </c>
      <c r="R202" s="102" t="s">
        <v>138</v>
      </c>
      <c r="S202" s="641" t="e">
        <f>P190</f>
        <v>#VALUE!</v>
      </c>
      <c r="T202" s="638"/>
      <c r="U202" s="14" t="s">
        <v>168</v>
      </c>
      <c r="V202" s="197"/>
      <c r="W202" s="291"/>
      <c r="X202" s="291"/>
      <c r="Y202" s="291"/>
    </row>
    <row r="203" spans="1:25" ht="18" hidden="1" customHeight="1">
      <c r="A203" s="180"/>
      <c r="B203" s="5"/>
      <c r="C203" s="47" t="s">
        <v>559</v>
      </c>
      <c r="D203" s="14"/>
      <c r="E203" s="14"/>
      <c r="F203" s="18"/>
      <c r="G203" s="18"/>
      <c r="H203" s="291"/>
      <c r="I203" s="120"/>
      <c r="J203" s="291"/>
      <c r="K203" s="291"/>
      <c r="L203" s="14"/>
      <c r="M203" s="14"/>
      <c r="N203" s="14"/>
      <c r="O203" s="14"/>
      <c r="P203" s="14"/>
      <c r="Q203" s="120" t="s">
        <v>523</v>
      </c>
      <c r="R203" s="102" t="s">
        <v>138</v>
      </c>
      <c r="S203" s="641">
        <f>J190</f>
        <v>1.5398674400000001</v>
      </c>
      <c r="T203" s="638"/>
      <c r="U203" s="14" t="s">
        <v>168</v>
      </c>
      <c r="V203" s="197"/>
      <c r="X203" s="291"/>
      <c r="Y203" s="291"/>
    </row>
    <row r="204" spans="1:25" ht="18" hidden="1" customHeight="1">
      <c r="A204" s="180"/>
      <c r="B204" s="5"/>
      <c r="C204" s="47" t="s">
        <v>560</v>
      </c>
      <c r="D204" s="14"/>
      <c r="E204" s="14"/>
      <c r="F204" s="14"/>
      <c r="G204" s="14"/>
      <c r="H204" s="291"/>
      <c r="I204" s="120"/>
      <c r="J204" s="291"/>
      <c r="K204" s="291"/>
      <c r="L204" s="14"/>
      <c r="M204" s="14"/>
      <c r="N204" s="14"/>
      <c r="O204" s="14"/>
      <c r="P204" s="14"/>
      <c r="Q204" s="120" t="s">
        <v>522</v>
      </c>
      <c r="R204" s="102" t="s">
        <v>138</v>
      </c>
      <c r="S204" s="638">
        <f>O178</f>
        <v>1</v>
      </c>
      <c r="T204" s="638"/>
      <c r="U204" s="14" t="s">
        <v>9</v>
      </c>
      <c r="V204" s="197"/>
      <c r="X204" s="291"/>
      <c r="Y204" s="291"/>
    </row>
    <row r="205" spans="1:25" ht="18" hidden="1" customHeight="1">
      <c r="A205" s="180"/>
      <c r="B205" s="5"/>
      <c r="C205" s="47" t="s">
        <v>561</v>
      </c>
      <c r="D205" s="14"/>
      <c r="E205" s="14"/>
      <c r="F205" s="14"/>
      <c r="G205" s="14"/>
      <c r="H205" s="291"/>
      <c r="I205" s="120"/>
      <c r="J205" s="291"/>
      <c r="K205" s="291"/>
      <c r="L205" s="14"/>
      <c r="M205" s="14"/>
      <c r="N205" s="14"/>
      <c r="O205" s="14"/>
      <c r="P205" s="14"/>
      <c r="Q205" s="120" t="s">
        <v>506</v>
      </c>
      <c r="R205" s="102" t="s">
        <v>138</v>
      </c>
      <c r="S205" s="638">
        <v>20</v>
      </c>
      <c r="T205" s="638"/>
      <c r="U205" s="47"/>
      <c r="V205" s="197"/>
    </row>
    <row r="206" spans="1:25" ht="18" hidden="1" customHeight="1">
      <c r="A206" s="311"/>
      <c r="B206" s="291"/>
      <c r="C206" s="47" t="s">
        <v>503</v>
      </c>
      <c r="D206" s="14"/>
      <c r="E206" s="14"/>
      <c r="F206" s="14"/>
      <c r="G206" s="14"/>
      <c r="H206" s="291"/>
      <c r="I206" s="120"/>
      <c r="J206" s="291"/>
      <c r="K206" s="291"/>
      <c r="L206" s="14"/>
      <c r="M206" s="14"/>
      <c r="N206" s="291"/>
      <c r="O206" s="291"/>
      <c r="P206" s="14"/>
      <c r="Q206" s="120" t="s">
        <v>504</v>
      </c>
      <c r="R206" s="14"/>
      <c r="S206" s="291"/>
      <c r="T206" s="291"/>
      <c r="U206" s="291"/>
      <c r="V206" s="312"/>
      <c r="W206" s="291"/>
      <c r="X206" s="291"/>
      <c r="Y206" s="291"/>
    </row>
    <row r="207" spans="1:25" ht="18" hidden="1" customHeight="1">
      <c r="A207" s="196"/>
      <c r="V207" s="197"/>
    </row>
    <row r="208" spans="1:25" ht="18" hidden="1" customHeight="1">
      <c r="A208" s="196"/>
      <c r="C208" s="120" t="s">
        <v>504</v>
      </c>
      <c r="D208" s="28" t="s">
        <v>138</v>
      </c>
      <c r="E208" s="28" t="s">
        <v>548</v>
      </c>
      <c r="F208" s="233">
        <v>1.3</v>
      </c>
      <c r="G208" s="233" t="s">
        <v>326</v>
      </c>
      <c r="H208" s="861" t="s">
        <v>484</v>
      </c>
      <c r="I208" s="968"/>
      <c r="J208" s="233" t="s">
        <v>326</v>
      </c>
      <c r="K208" s="233" t="s">
        <v>522</v>
      </c>
      <c r="L208" s="233" t="s">
        <v>552</v>
      </c>
      <c r="M208" s="233" t="s">
        <v>506</v>
      </c>
      <c r="N208" s="560" t="s">
        <v>553</v>
      </c>
      <c r="O208" s="575" t="s">
        <v>502</v>
      </c>
      <c r="V208" s="197"/>
    </row>
    <row r="209" spans="1:22" ht="18" hidden="1" customHeight="1">
      <c r="A209" s="196"/>
      <c r="C209" s="120"/>
      <c r="D209" s="27" t="s">
        <v>138</v>
      </c>
      <c r="E209" s="27" t="s">
        <v>548</v>
      </c>
      <c r="F209" s="257">
        <v>1.3</v>
      </c>
      <c r="G209" s="257" t="s">
        <v>326</v>
      </c>
      <c r="H209" s="969" t="str">
        <f>S201</f>
        <v>-</v>
      </c>
      <c r="I209" s="970"/>
      <c r="J209" s="257" t="s">
        <v>326</v>
      </c>
      <c r="K209" s="257">
        <f>S204</f>
        <v>1</v>
      </c>
      <c r="L209" s="257" t="s">
        <v>552</v>
      </c>
      <c r="M209" s="257">
        <f>S205</f>
        <v>20</v>
      </c>
      <c r="N209" s="474" t="s">
        <v>553</v>
      </c>
      <c r="O209" s="516" t="e">
        <f>S202</f>
        <v>#VALUE!</v>
      </c>
      <c r="V209" s="197"/>
    </row>
    <row r="210" spans="1:22" ht="18" hidden="1" customHeight="1">
      <c r="A210" s="196"/>
      <c r="D210" s="27" t="s">
        <v>138</v>
      </c>
      <c r="E210" s="639" t="e">
        <f>((F209*H209)/(K209*M209))-O209</f>
        <v>#VALUE!</v>
      </c>
      <c r="F210" s="639"/>
      <c r="G210" s="27" t="s">
        <v>168</v>
      </c>
      <c r="V210" s="197"/>
    </row>
    <row r="211" spans="1:22" ht="18" hidden="1" customHeight="1">
      <c r="A211" s="196"/>
      <c r="D211" s="27"/>
      <c r="E211" s="27"/>
      <c r="F211" s="27"/>
      <c r="G211" s="27"/>
      <c r="V211" s="197"/>
    </row>
    <row r="212" spans="1:22" ht="18" hidden="1" customHeight="1">
      <c r="A212" s="196"/>
      <c r="D212" s="27"/>
      <c r="E212" s="27"/>
      <c r="F212" s="27"/>
      <c r="G212" s="27"/>
      <c r="V212" s="197"/>
    </row>
    <row r="213" spans="1:22" ht="18" hidden="1" customHeight="1">
      <c r="A213" s="196"/>
      <c r="D213" s="27"/>
      <c r="E213" s="27"/>
      <c r="F213" s="27"/>
      <c r="G213" s="27"/>
      <c r="V213" s="197"/>
    </row>
    <row r="214" spans="1:22" ht="18" hidden="1" customHeight="1">
      <c r="A214" s="196"/>
      <c r="D214" s="27"/>
      <c r="E214" s="27"/>
      <c r="F214" s="27"/>
      <c r="G214" s="27"/>
      <c r="V214" s="197"/>
    </row>
    <row r="215" spans="1:22" ht="18" hidden="1" customHeight="1">
      <c r="A215" s="196"/>
      <c r="D215" s="27"/>
      <c r="E215" s="27"/>
      <c r="F215" s="27"/>
      <c r="G215" s="27"/>
      <c r="V215" s="197"/>
    </row>
    <row r="216" spans="1:22" ht="18" hidden="1" customHeight="1">
      <c r="A216" s="196"/>
      <c r="V216" s="197"/>
    </row>
    <row r="217" spans="1:22" s="14" customFormat="1" ht="18" hidden="1" customHeight="1">
      <c r="A217" s="206"/>
      <c r="B217" s="207"/>
      <c r="C217" s="207"/>
      <c r="D217" s="207"/>
      <c r="E217" s="207"/>
      <c r="F217" s="207"/>
      <c r="G217" s="207"/>
      <c r="H217" s="207"/>
      <c r="I217" s="207"/>
      <c r="J217" s="207"/>
      <c r="K217" s="207"/>
      <c r="L217" s="207"/>
      <c r="M217" s="207"/>
      <c r="N217" s="207"/>
      <c r="O217" s="207"/>
      <c r="P217" s="207"/>
      <c r="Q217" s="236"/>
      <c r="R217" s="194"/>
      <c r="S217" s="237"/>
      <c r="T217" s="207"/>
      <c r="U217" s="207"/>
      <c r="V217" s="140" t="s">
        <v>563</v>
      </c>
    </row>
    <row r="218" spans="1:22" ht="18" hidden="1" customHeight="1">
      <c r="A218" s="238"/>
      <c r="B218" s="239"/>
      <c r="C218" s="239"/>
      <c r="D218" s="239"/>
      <c r="E218" s="239"/>
      <c r="F218" s="239"/>
      <c r="G218" s="239"/>
      <c r="H218" s="239"/>
      <c r="I218" s="239"/>
      <c r="J218" s="239"/>
      <c r="K218" s="239"/>
      <c r="L218" s="239"/>
      <c r="M218" s="239"/>
      <c r="N218" s="239"/>
      <c r="O218" s="239"/>
      <c r="P218" s="239"/>
      <c r="Q218" s="239"/>
      <c r="R218" s="239"/>
      <c r="S218" s="239"/>
      <c r="T218" s="239"/>
      <c r="U218" s="239"/>
      <c r="V218" s="240"/>
    </row>
    <row r="219" spans="1:22" ht="18" hidden="1" customHeight="1">
      <c r="A219" s="196"/>
      <c r="E219" s="256" t="s">
        <v>123</v>
      </c>
      <c r="F219" s="27" t="s">
        <v>138</v>
      </c>
      <c r="G219" s="638" t="s">
        <v>555</v>
      </c>
      <c r="H219" s="638"/>
      <c r="I219" s="203" t="s">
        <v>353</v>
      </c>
      <c r="J219" s="639" t="s">
        <v>434</v>
      </c>
      <c r="K219" s="639"/>
      <c r="V219" s="197"/>
    </row>
    <row r="220" spans="1:22" ht="18" hidden="1" customHeight="1">
      <c r="A220" s="196"/>
      <c r="F220" s="27" t="s">
        <v>138</v>
      </c>
      <c r="G220" s="639">
        <f>S199</f>
        <v>40000</v>
      </c>
      <c r="H220" s="639"/>
      <c r="I220" s="203" t="s">
        <v>353</v>
      </c>
      <c r="J220" s="639" t="str">
        <f>S200</f>
        <v>-</v>
      </c>
      <c r="K220" s="639"/>
      <c r="V220" s="197"/>
    </row>
    <row r="221" spans="1:22" ht="18" hidden="1" customHeight="1">
      <c r="A221" s="196"/>
      <c r="F221" s="27" t="s">
        <v>138</v>
      </c>
      <c r="G221" s="637" t="e">
        <f>G220/J220</f>
        <v>#VALUE!</v>
      </c>
      <c r="H221" s="637"/>
      <c r="I221" s="27"/>
      <c r="J221" s="27"/>
      <c r="K221" s="27"/>
      <c r="V221" s="197"/>
    </row>
    <row r="222" spans="1:22" ht="18" hidden="1" customHeight="1">
      <c r="A222" s="196"/>
      <c r="V222" s="197"/>
    </row>
    <row r="223" spans="1:22" ht="18" hidden="1" customHeight="1">
      <c r="A223" s="196"/>
      <c r="E223" s="256" t="s">
        <v>564</v>
      </c>
      <c r="F223" s="27" t="s">
        <v>138</v>
      </c>
      <c r="G223" s="233" t="s">
        <v>506</v>
      </c>
      <c r="H223" s="233" t="s">
        <v>565</v>
      </c>
      <c r="I223" s="575" t="s">
        <v>502</v>
      </c>
      <c r="J223" s="233" t="s">
        <v>358</v>
      </c>
      <c r="K223" s="575" t="s">
        <v>504</v>
      </c>
      <c r="L223" s="233" t="s">
        <v>550</v>
      </c>
      <c r="M223" s="575" t="s">
        <v>502</v>
      </c>
      <c r="N223" s="233" t="s">
        <v>358</v>
      </c>
      <c r="O223" s="575" t="s">
        <v>523</v>
      </c>
      <c r="P223" s="28" t="s">
        <v>361</v>
      </c>
      <c r="V223" s="197"/>
    </row>
    <row r="224" spans="1:22" ht="18" hidden="1" customHeight="1">
      <c r="A224" s="196"/>
      <c r="F224" s="27" t="s">
        <v>138</v>
      </c>
      <c r="G224" s="254">
        <f>S205</f>
        <v>20</v>
      </c>
      <c r="H224" s="257" t="s">
        <v>565</v>
      </c>
      <c r="I224" s="313" t="e">
        <f>S202</f>
        <v>#VALUE!</v>
      </c>
      <c r="J224" s="257" t="s">
        <v>358</v>
      </c>
      <c r="K224" s="313" t="e">
        <f>E210</f>
        <v>#VALUE!</v>
      </c>
      <c r="L224" s="257" t="s">
        <v>550</v>
      </c>
      <c r="M224" s="313" t="e">
        <f>S202</f>
        <v>#VALUE!</v>
      </c>
      <c r="N224" s="257" t="s">
        <v>358</v>
      </c>
      <c r="O224" s="313">
        <f>S203</f>
        <v>1.5398674400000001</v>
      </c>
      <c r="P224" s="27" t="s">
        <v>361</v>
      </c>
      <c r="V224" s="197"/>
    </row>
    <row r="225" spans="1:22" ht="18" hidden="1" customHeight="1">
      <c r="A225" s="196"/>
      <c r="F225" s="27" t="s">
        <v>138</v>
      </c>
      <c r="G225" s="640" t="e">
        <f>G224*((I224+K224)/(M224+O224))</f>
        <v>#VALUE!</v>
      </c>
      <c r="H225" s="640"/>
      <c r="I225" s="254"/>
      <c r="J225" s="254"/>
      <c r="K225" s="254"/>
      <c r="L225" s="254"/>
      <c r="M225" s="254"/>
      <c r="N225" s="254"/>
      <c r="O225" s="254"/>
      <c r="V225" s="197"/>
    </row>
    <row r="226" spans="1:22" ht="18" hidden="1" customHeight="1">
      <c r="A226" s="196"/>
      <c r="V226" s="197"/>
    </row>
    <row r="227" spans="1:22" ht="18" hidden="1" customHeight="1">
      <c r="A227" s="196"/>
      <c r="E227" s="256" t="s">
        <v>566</v>
      </c>
      <c r="F227" s="27" t="e">
        <f>IF(D228&gt;G228,"&gt;","&lt;")</f>
        <v>#VALUE!</v>
      </c>
      <c r="G227" s="308" t="s">
        <v>123</v>
      </c>
      <c r="V227" s="197"/>
    </row>
    <row r="228" spans="1:22" ht="18" hidden="1" customHeight="1">
      <c r="A228" s="196"/>
      <c r="D228" s="637" t="e">
        <f>G225</f>
        <v>#VALUE!</v>
      </c>
      <c r="E228" s="637"/>
      <c r="F228" s="27" t="e">
        <f>F227</f>
        <v>#VALUE!</v>
      </c>
      <c r="G228" s="637" t="e">
        <f>G221</f>
        <v>#VALUE!</v>
      </c>
      <c r="H228" s="637"/>
      <c r="V228" s="197"/>
    </row>
    <row r="229" spans="1:22" ht="18" hidden="1" customHeight="1">
      <c r="A229" s="196"/>
      <c r="E229" s="256" t="s">
        <v>489</v>
      </c>
      <c r="G229" s="18" t="e">
        <f>IF(F227="&gt;","Suitably Dimentioned","Under Dimentioned")</f>
        <v>#VALUE!</v>
      </c>
      <c r="V229" s="197"/>
    </row>
    <row r="230" spans="1:22" ht="18" hidden="1" customHeight="1">
      <c r="A230" s="196"/>
      <c r="V230" s="197"/>
    </row>
    <row r="231" spans="1:22" ht="18" hidden="1" customHeight="1">
      <c r="A231" s="196"/>
      <c r="V231" s="197"/>
    </row>
    <row r="232" spans="1:22" ht="18" hidden="1" customHeight="1">
      <c r="A232" s="196"/>
      <c r="V232" s="197"/>
    </row>
    <row r="233" spans="1:22" ht="18" hidden="1" customHeight="1">
      <c r="A233" s="196"/>
      <c r="V233" s="197"/>
    </row>
    <row r="234" spans="1:22" ht="18" hidden="1" customHeight="1">
      <c r="A234" s="196"/>
      <c r="V234" s="197"/>
    </row>
    <row r="235" spans="1:22" ht="18" hidden="1" customHeight="1">
      <c r="A235" s="196"/>
      <c r="V235" s="197"/>
    </row>
    <row r="236" spans="1:22" ht="18" hidden="1" customHeight="1">
      <c r="A236" s="196"/>
      <c r="V236" s="197"/>
    </row>
    <row r="237" spans="1:22" ht="18" hidden="1" customHeight="1">
      <c r="A237" s="196"/>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44" ht="18" hidden="1" customHeight="1">
      <c r="A257" s="196"/>
      <c r="V257" s="197"/>
    </row>
    <row r="258" spans="1:44" ht="18" hidden="1" customHeight="1">
      <c r="A258" s="196"/>
      <c r="V258" s="197"/>
    </row>
    <row r="259" spans="1:44" ht="18" hidden="1" customHeight="1">
      <c r="A259" s="196"/>
      <c r="V259" s="197"/>
    </row>
    <row r="260" spans="1:44" ht="18" hidden="1" customHeight="1">
      <c r="A260" s="196"/>
      <c r="V260" s="197"/>
    </row>
    <row r="261" spans="1:44" s="14" customFormat="1" ht="18" hidden="1" customHeight="1">
      <c r="A261" s="206"/>
      <c r="B261" s="207"/>
      <c r="C261" s="207"/>
      <c r="D261" s="207"/>
      <c r="E261" s="207"/>
      <c r="F261" s="207"/>
      <c r="G261" s="207"/>
      <c r="H261" s="207"/>
      <c r="I261" s="207"/>
      <c r="J261" s="207"/>
      <c r="K261" s="207"/>
      <c r="L261" s="207"/>
      <c r="M261" s="207"/>
      <c r="N261" s="207"/>
      <c r="O261" s="207"/>
      <c r="P261" s="207"/>
      <c r="Q261" s="236"/>
      <c r="R261" s="194"/>
      <c r="S261" s="237"/>
      <c r="T261" s="207"/>
      <c r="U261" s="207"/>
      <c r="V261" s="140" t="s">
        <v>563</v>
      </c>
    </row>
    <row r="262" spans="1:44" ht="18" customHeight="1">
      <c r="A262" s="238"/>
      <c r="B262" s="239"/>
      <c r="C262" s="239"/>
      <c r="D262" s="239"/>
      <c r="E262" s="239"/>
      <c r="F262" s="239"/>
      <c r="G262" s="239"/>
      <c r="H262" s="239"/>
      <c r="I262" s="239"/>
      <c r="J262" s="239"/>
      <c r="K262" s="239"/>
      <c r="L262" s="239"/>
      <c r="M262" s="239"/>
      <c r="N262" s="239"/>
      <c r="O262" s="239"/>
      <c r="P262" s="239"/>
      <c r="Q262" s="239"/>
      <c r="R262" s="239"/>
      <c r="S262" s="239"/>
      <c r="T262" s="239"/>
      <c r="U262" s="239"/>
      <c r="V262" s="240"/>
    </row>
    <row r="263" spans="1:44" ht="18" customHeight="1">
      <c r="A263" s="274" t="s">
        <v>512</v>
      </c>
      <c r="B263" s="14"/>
      <c r="C263" s="14"/>
      <c r="D263" s="120"/>
      <c r="E263" s="120"/>
      <c r="F263" s="18"/>
      <c r="G263" s="18"/>
      <c r="H263" s="14"/>
      <c r="I263" s="14"/>
      <c r="J263" s="14"/>
      <c r="V263" s="197"/>
    </row>
    <row r="264" spans="1:44" ht="45" customHeight="1">
      <c r="A264" s="782" t="s">
        <v>97</v>
      </c>
      <c r="B264" s="782"/>
      <c r="C264" s="612"/>
      <c r="D264" s="782" t="s">
        <v>98</v>
      </c>
      <c r="E264" s="782"/>
      <c r="F264" s="782"/>
      <c r="G264" s="782" t="s">
        <v>99</v>
      </c>
      <c r="H264" s="782"/>
      <c r="I264" s="782" t="s">
        <v>100</v>
      </c>
      <c r="J264" s="782"/>
      <c r="K264" s="614" t="s">
        <v>101</v>
      </c>
      <c r="L264" s="615"/>
      <c r="M264" s="614" t="s">
        <v>102</v>
      </c>
      <c r="N264" s="615"/>
      <c r="O264" s="614" t="s">
        <v>103</v>
      </c>
      <c r="P264" s="615"/>
      <c r="Q264" s="614" t="s">
        <v>104</v>
      </c>
      <c r="R264" s="615"/>
      <c r="S264" s="782" t="s">
        <v>105</v>
      </c>
      <c r="T264" s="782"/>
      <c r="U264" s="782"/>
      <c r="V264" s="782"/>
    </row>
    <row r="265" spans="1:44" ht="18" customHeight="1">
      <c r="A265" s="612" t="str">
        <f>B7</f>
        <v>T1</v>
      </c>
      <c r="B265" s="623" t="str">
        <f>D7</f>
        <v>Core3</v>
      </c>
      <c r="C265" s="623"/>
      <c r="D265" s="613">
        <f>H10</f>
        <v>2500</v>
      </c>
      <c r="E265" s="613"/>
      <c r="F265" s="624">
        <f>O10</f>
        <v>1</v>
      </c>
      <c r="G265" s="613">
        <f>'CT-VT Burdens'!S19</f>
        <v>80</v>
      </c>
      <c r="H265" s="783">
        <f>'CT-VT Burdens'!S10</f>
        <v>2.5</v>
      </c>
      <c r="I265" s="783" t="str">
        <f>H11</f>
        <v>5P20</v>
      </c>
      <c r="J265" s="783"/>
      <c r="K265" s="612">
        <f>H12</f>
        <v>5</v>
      </c>
      <c r="L265" s="612"/>
      <c r="M265" s="785" t="s">
        <v>7</v>
      </c>
      <c r="N265" s="612"/>
      <c r="O265" s="786" t="s">
        <v>7</v>
      </c>
      <c r="P265" s="613"/>
      <c r="Q265" s="629" t="str">
        <f>IF(T8="",T7,IF(T9="",T7&amp;" "&amp;T8,T7&amp;" "&amp;T8&amp;" "&amp;T9))</f>
        <v>REF650 REC670 IDM+9</v>
      </c>
      <c r="R265" s="629"/>
      <c r="S265" s="628" t="str">
        <f>G57</f>
        <v>Suitably Dimentioned</v>
      </c>
      <c r="T265" s="628"/>
      <c r="U265" s="628"/>
      <c r="V265" s="628"/>
    </row>
    <row r="266" spans="1:44" ht="18" customHeight="1">
      <c r="A266" s="612"/>
      <c r="B266" s="623"/>
      <c r="C266" s="623"/>
      <c r="D266" s="613" t="str">
        <f>J10</f>
        <v>-</v>
      </c>
      <c r="E266" s="613"/>
      <c r="F266" s="625"/>
      <c r="G266" s="613"/>
      <c r="H266" s="613"/>
      <c r="I266" s="783"/>
      <c r="J266" s="783"/>
      <c r="K266" s="785" t="s">
        <v>7</v>
      </c>
      <c r="L266" s="612"/>
      <c r="M266" s="785" t="s">
        <v>7</v>
      </c>
      <c r="N266" s="612"/>
      <c r="O266" s="786" t="s">
        <v>7</v>
      </c>
      <c r="P266" s="613"/>
      <c r="Q266" s="629"/>
      <c r="R266" s="629"/>
      <c r="S266" s="961" t="s">
        <v>7</v>
      </c>
      <c r="T266" s="628"/>
      <c r="U266" s="628"/>
      <c r="V266" s="628"/>
    </row>
    <row r="267" spans="1:44" ht="18" customHeight="1">
      <c r="A267" s="612"/>
      <c r="B267" s="623"/>
      <c r="C267" s="623"/>
      <c r="D267" s="613" t="str">
        <f>L10</f>
        <v>-</v>
      </c>
      <c r="E267" s="613"/>
      <c r="F267" s="626"/>
      <c r="G267" s="613"/>
      <c r="H267" s="613"/>
      <c r="I267" s="783"/>
      <c r="J267" s="783"/>
      <c r="K267" s="785" t="s">
        <v>7</v>
      </c>
      <c r="L267" s="612"/>
      <c r="M267" s="785" t="s">
        <v>7</v>
      </c>
      <c r="N267" s="612"/>
      <c r="O267" s="786" t="s">
        <v>7</v>
      </c>
      <c r="P267" s="613"/>
      <c r="Q267" s="629"/>
      <c r="R267" s="629"/>
      <c r="S267" s="961" t="s">
        <v>7</v>
      </c>
      <c r="T267" s="628"/>
      <c r="U267" s="628"/>
      <c r="V267" s="628"/>
    </row>
    <row r="268" spans="1:44" ht="18" customHeight="1">
      <c r="A268" s="196"/>
      <c r="V268" s="197"/>
    </row>
    <row r="269" spans="1:44" ht="18" customHeight="1">
      <c r="A269" s="196"/>
      <c r="V269" s="197"/>
    </row>
    <row r="270" spans="1:44" ht="18" customHeight="1">
      <c r="A270" s="196"/>
      <c r="V270" s="197"/>
      <c r="W270" s="196"/>
      <c r="AR270" s="197"/>
    </row>
    <row r="271" spans="1:44" ht="18" customHeight="1">
      <c r="A271" s="196"/>
      <c r="V271" s="197"/>
      <c r="W271" s="196"/>
      <c r="AR271" s="197"/>
    </row>
    <row r="272" spans="1:44" ht="18" customHeight="1">
      <c r="A272" s="196"/>
      <c r="V272" s="197"/>
      <c r="W272" s="196"/>
      <c r="AR272" s="197"/>
    </row>
    <row r="273" spans="1:44" ht="18" customHeight="1">
      <c r="A273" s="196"/>
      <c r="V273" s="197"/>
      <c r="W273" s="196"/>
      <c r="AR273" s="197"/>
    </row>
    <row r="274" spans="1:44" ht="18" customHeight="1">
      <c r="A274" s="196"/>
      <c r="V274" s="197"/>
    </row>
    <row r="275" spans="1:44" ht="18" customHeight="1">
      <c r="A275" s="196"/>
      <c r="V275" s="197"/>
    </row>
    <row r="276" spans="1:44" ht="18" customHeight="1">
      <c r="A276" s="196"/>
      <c r="V276" s="197"/>
    </row>
    <row r="277" spans="1:44" ht="18" customHeight="1">
      <c r="A277" s="196"/>
      <c r="V277" s="197"/>
    </row>
    <row r="278" spans="1:44" ht="18" customHeight="1">
      <c r="A278" s="196"/>
      <c r="V278" s="197"/>
    </row>
    <row r="279" spans="1:44" ht="18" customHeight="1">
      <c r="A279" s="196"/>
      <c r="V279" s="197"/>
    </row>
    <row r="280" spans="1:44" ht="18" customHeight="1">
      <c r="A280" s="196"/>
      <c r="V280" s="197"/>
    </row>
    <row r="281" spans="1:44" ht="18" customHeight="1">
      <c r="A281" s="196"/>
      <c r="V281" s="197"/>
    </row>
    <row r="282" spans="1:44" ht="18" customHeight="1">
      <c r="A282" s="196"/>
      <c r="V282" s="197"/>
    </row>
    <row r="283" spans="1:44" ht="18" customHeight="1">
      <c r="A283" s="196"/>
      <c r="V283" s="197"/>
    </row>
    <row r="284" spans="1:44" ht="18" customHeight="1">
      <c r="A284" s="196"/>
      <c r="V284" s="197"/>
    </row>
    <row r="285" spans="1:44" ht="18" customHeight="1">
      <c r="A285" s="196"/>
      <c r="V285" s="197"/>
    </row>
    <row r="286" spans="1:44" ht="18" customHeight="1">
      <c r="A286" s="196"/>
      <c r="V286" s="197"/>
    </row>
    <row r="287" spans="1:44" ht="18" customHeight="1">
      <c r="A287" s="196"/>
      <c r="V287" s="197"/>
    </row>
    <row r="288" spans="1:44"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206"/>
      <c r="B299" s="207"/>
      <c r="C299" s="207"/>
      <c r="D299" s="207"/>
      <c r="E299" s="207"/>
      <c r="F299" s="207"/>
      <c r="G299" s="207"/>
      <c r="H299" s="207"/>
      <c r="I299" s="207"/>
      <c r="J299" s="207"/>
      <c r="K299" s="207"/>
      <c r="L299" s="207"/>
      <c r="M299" s="207"/>
      <c r="N299" s="207"/>
      <c r="O299" s="207"/>
      <c r="P299" s="207"/>
      <c r="Q299" s="236"/>
      <c r="R299" s="194"/>
      <c r="S299" s="237"/>
      <c r="T299" s="207"/>
      <c r="U299" s="207"/>
      <c r="V299" s="140"/>
    </row>
    <row r="305" spans="1:22" s="14" customFormat="1" ht="18" customHeight="1">
      <c r="A305" s="30"/>
      <c r="B305" s="30"/>
      <c r="C305" s="30"/>
      <c r="D305" s="30"/>
      <c r="E305" s="30"/>
      <c r="F305" s="30"/>
      <c r="G305" s="30"/>
      <c r="H305" s="30"/>
      <c r="I305" s="30"/>
      <c r="J305" s="30"/>
      <c r="K305" s="30"/>
      <c r="L305" s="30"/>
      <c r="M305" s="30"/>
      <c r="N305" s="30"/>
      <c r="O305" s="30"/>
      <c r="P305" s="30"/>
      <c r="Q305" s="30"/>
      <c r="R305" s="30"/>
      <c r="S305" s="30"/>
      <c r="T305" s="30"/>
      <c r="U305" s="30"/>
      <c r="V305" s="30"/>
    </row>
  </sheetData>
  <mergeCells count="176">
    <mergeCell ref="S264:V264"/>
    <mergeCell ref="A265:A267"/>
    <mergeCell ref="B265:C267"/>
    <mergeCell ref="D265:E265"/>
    <mergeCell ref="F265:F267"/>
    <mergeCell ref="G265:G267"/>
    <mergeCell ref="H265:H267"/>
    <mergeCell ref="I265:J267"/>
    <mergeCell ref="K265:L265"/>
    <mergeCell ref="M265:N265"/>
    <mergeCell ref="O265:P265"/>
    <mergeCell ref="Q265:R267"/>
    <mergeCell ref="S265:V265"/>
    <mergeCell ref="D266:E266"/>
    <mergeCell ref="K266:L266"/>
    <mergeCell ref="M266:N266"/>
    <mergeCell ref="O266:P266"/>
    <mergeCell ref="S266:V266"/>
    <mergeCell ref="D267:E267"/>
    <mergeCell ref="K267:L267"/>
    <mergeCell ref="M267:N267"/>
    <mergeCell ref="O267:P267"/>
    <mergeCell ref="S267:V267"/>
    <mergeCell ref="A1:G4"/>
    <mergeCell ref="A264:C264"/>
    <mergeCell ref="D264:F264"/>
    <mergeCell ref="G264:H264"/>
    <mergeCell ref="I264:J264"/>
    <mergeCell ref="K264:L264"/>
    <mergeCell ref="M264:N264"/>
    <mergeCell ref="O264:P264"/>
    <mergeCell ref="Q264:R264"/>
    <mergeCell ref="H3:N4"/>
    <mergeCell ref="O3:Q3"/>
    <mergeCell ref="R3:V3"/>
    <mergeCell ref="O4:Q4"/>
    <mergeCell ref="R4:V4"/>
    <mergeCell ref="H1:N1"/>
    <mergeCell ref="O1:Q1"/>
    <mergeCell ref="R1:V1"/>
    <mergeCell ref="H2:N2"/>
    <mergeCell ref="O2:Q2"/>
    <mergeCell ref="R2:V2"/>
    <mergeCell ref="A5:B5"/>
    <mergeCell ref="D5:F5"/>
    <mergeCell ref="H5:N5"/>
    <mergeCell ref="O5:Q5"/>
    <mergeCell ref="R5:V5"/>
    <mergeCell ref="B7:C7"/>
    <mergeCell ref="T7:U7"/>
    <mergeCell ref="D7:E7"/>
    <mergeCell ref="H11:I11"/>
    <mergeCell ref="H12:I12"/>
    <mergeCell ref="H13:I13"/>
    <mergeCell ref="H14:I14"/>
    <mergeCell ref="J18:K18"/>
    <mergeCell ref="J19:K19"/>
    <mergeCell ref="T8:U8"/>
    <mergeCell ref="H9:I9"/>
    <mergeCell ref="J9:K9"/>
    <mergeCell ref="L9:M9"/>
    <mergeCell ref="T9:U9"/>
    <mergeCell ref="H10:I10"/>
    <mergeCell ref="J10:K10"/>
    <mergeCell ref="L10:M10"/>
    <mergeCell ref="S30:T30"/>
    <mergeCell ref="S31:T31"/>
    <mergeCell ref="S32:T32"/>
    <mergeCell ref="S33:T33"/>
    <mergeCell ref="S34:T34"/>
    <mergeCell ref="S35:T35"/>
    <mergeCell ref="J20:K20"/>
    <mergeCell ref="J21:K21"/>
    <mergeCell ref="J22:K22"/>
    <mergeCell ref="P22:Q22"/>
    <mergeCell ref="A24:V25"/>
    <mergeCell ref="H28:I28"/>
    <mergeCell ref="G48:H48"/>
    <mergeCell ref="J48:K48"/>
    <mergeCell ref="G49:H49"/>
    <mergeCell ref="G53:H53"/>
    <mergeCell ref="D56:E56"/>
    <mergeCell ref="G56:H56"/>
    <mergeCell ref="S36:T36"/>
    <mergeCell ref="H39:I39"/>
    <mergeCell ref="H40:I40"/>
    <mergeCell ref="E41:F41"/>
    <mergeCell ref="G47:H47"/>
    <mergeCell ref="J47:K47"/>
    <mergeCell ref="S37:T37"/>
    <mergeCell ref="T89:U89"/>
    <mergeCell ref="H90:I90"/>
    <mergeCell ref="J90:K90"/>
    <mergeCell ref="L90:M90"/>
    <mergeCell ref="B87:C87"/>
    <mergeCell ref="D87:E88"/>
    <mergeCell ref="H87:M87"/>
    <mergeCell ref="T87:U87"/>
    <mergeCell ref="B88:C88"/>
    <mergeCell ref="T88:U88"/>
    <mergeCell ref="J91:K91"/>
    <mergeCell ref="J92:K92"/>
    <mergeCell ref="J93:K93"/>
    <mergeCell ref="J94:K94"/>
    <mergeCell ref="J98:K98"/>
    <mergeCell ref="J99:K99"/>
    <mergeCell ref="H89:I89"/>
    <mergeCell ref="J89:K89"/>
    <mergeCell ref="L89:M89"/>
    <mergeCell ref="S111:T111"/>
    <mergeCell ref="S112:T112"/>
    <mergeCell ref="S113:T113"/>
    <mergeCell ref="S114:T114"/>
    <mergeCell ref="S115:T115"/>
    <mergeCell ref="S116:T116"/>
    <mergeCell ref="J100:K100"/>
    <mergeCell ref="J101:K101"/>
    <mergeCell ref="J102:K102"/>
    <mergeCell ref="P102:Q102"/>
    <mergeCell ref="A104:V105"/>
    <mergeCell ref="H109:I109"/>
    <mergeCell ref="G132:H132"/>
    <mergeCell ref="J132:K132"/>
    <mergeCell ref="G133:H133"/>
    <mergeCell ref="G137:H137"/>
    <mergeCell ref="D140:E140"/>
    <mergeCell ref="G140:H140"/>
    <mergeCell ref="S117:T117"/>
    <mergeCell ref="H120:I120"/>
    <mergeCell ref="H121:I121"/>
    <mergeCell ref="E122:F122"/>
    <mergeCell ref="G131:H131"/>
    <mergeCell ref="J131:K131"/>
    <mergeCell ref="T177:U177"/>
    <mergeCell ref="H178:I178"/>
    <mergeCell ref="J178:K178"/>
    <mergeCell ref="L178:M178"/>
    <mergeCell ref="B175:C175"/>
    <mergeCell ref="D175:E176"/>
    <mergeCell ref="H175:M175"/>
    <mergeCell ref="T175:U175"/>
    <mergeCell ref="B176:C176"/>
    <mergeCell ref="T176:U176"/>
    <mergeCell ref="L179:M179"/>
    <mergeCell ref="L180:M180"/>
    <mergeCell ref="L181:M181"/>
    <mergeCell ref="L182:M182"/>
    <mergeCell ref="J186:K186"/>
    <mergeCell ref="J187:K187"/>
    <mergeCell ref="H177:I177"/>
    <mergeCell ref="J177:K177"/>
    <mergeCell ref="L177:M177"/>
    <mergeCell ref="S199:T199"/>
    <mergeCell ref="S200:T200"/>
    <mergeCell ref="S201:T201"/>
    <mergeCell ref="S202:T202"/>
    <mergeCell ref="S203:T203"/>
    <mergeCell ref="S204:T204"/>
    <mergeCell ref="J188:K188"/>
    <mergeCell ref="J189:K189"/>
    <mergeCell ref="J190:K190"/>
    <mergeCell ref="P190:Q190"/>
    <mergeCell ref="A192:V193"/>
    <mergeCell ref="H197:I197"/>
    <mergeCell ref="G220:H220"/>
    <mergeCell ref="J220:K220"/>
    <mergeCell ref="G221:H221"/>
    <mergeCell ref="G225:H225"/>
    <mergeCell ref="D228:E228"/>
    <mergeCell ref="G228:H228"/>
    <mergeCell ref="S205:T205"/>
    <mergeCell ref="H208:I208"/>
    <mergeCell ref="H209:I209"/>
    <mergeCell ref="E210:F210"/>
    <mergeCell ref="G219:H219"/>
    <mergeCell ref="J219:K219"/>
  </mergeCells>
  <conditionalFormatting sqref="G57 G141 G229">
    <cfRule type="cellIs" dxfId="21" priority="1" stopIfTrue="1" operator="equal">
      <formula>"Under Dimentioned"</formula>
    </cfRule>
  </conditionalFormatting>
  <dataValidations count="2">
    <dataValidation type="list" allowBlank="1" showInputMessage="1" showErrorMessage="1" sqref="D175 D7 D87" xr:uid="{7D212B26-AA18-4BF6-BAA8-6D84F226E2ED}">
      <formula1>"Core1,Core2,Core3"</formula1>
    </dataValidation>
    <dataValidation type="decimal" operator="equal" allowBlank="1" showInputMessage="1" showErrorMessage="1" sqref="K52" xr:uid="{90AE1324-A7AB-48D3-A01B-0802388CC97B}">
      <formula1>0</formula1>
    </dataValidation>
  </dataValidations>
  <printOptions horizontalCentered="1" verticalCentered="1"/>
  <pageMargins left="0.5" right="0.5" top="0.5" bottom="0.5" header="0" footer="0"/>
  <pageSetup paperSize="9" scale="90" orientation="portrait" r:id="rId1"/>
  <headerFooter alignWithMargins="0"/>
  <rowBreaks count="2" manualBreakCount="2">
    <brk id="45" max="21" man="1"/>
    <brk id="261" max="21" man="1"/>
  </rowBreak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BC13D-7E89-408B-AE04-E43378029282}">
  <sheetPr>
    <tabColor rgb="FFFFFF00"/>
  </sheetPr>
  <dimension ref="A1:AC298"/>
  <sheetViews>
    <sheetView showZeros="0" view="pageBreakPreview" zoomScale="85" zoomScaleNormal="100" zoomScaleSheetLayoutView="85" workbookViewId="0">
      <selection activeCell="R5" sqref="R5:V5"/>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Title!H2</f>
        <v>ADEQUACY CHECK</v>
      </c>
      <c r="I2" s="730"/>
      <c r="J2" s="730"/>
      <c r="K2" s="730"/>
      <c r="L2" s="730"/>
      <c r="M2" s="730"/>
      <c r="N2" s="731"/>
      <c r="O2" s="702" t="str">
        <f>Title!O2</f>
        <v>Date</v>
      </c>
      <c r="P2" s="703"/>
      <c r="Q2" s="704"/>
      <c r="R2" s="732">
        <f>Title!R2</f>
        <v>46106</v>
      </c>
      <c r="S2" s="706"/>
      <c r="T2" s="706"/>
      <c r="U2" s="706"/>
      <c r="V2" s="707"/>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14"/>
      <c r="X4" s="14"/>
    </row>
    <row r="5" spans="1:24" ht="18" customHeight="1">
      <c r="A5" s="708" t="str">
        <f>Title!A5</f>
        <v>Prep. By</v>
      </c>
      <c r="B5" s="709"/>
      <c r="C5" s="25" t="str">
        <f>Title!C5</f>
        <v>AP</v>
      </c>
      <c r="D5" s="708" t="str">
        <f>Title!D5</f>
        <v>Checked By</v>
      </c>
      <c r="E5" s="710"/>
      <c r="F5" s="709"/>
      <c r="G5" s="25" t="str">
        <f>Title!G5</f>
        <v>RB</v>
      </c>
      <c r="H5" s="711" t="s">
        <v>935</v>
      </c>
      <c r="I5" s="712"/>
      <c r="J5" s="712"/>
      <c r="K5" s="712"/>
      <c r="L5" s="712"/>
      <c r="M5" s="712"/>
      <c r="N5" s="713"/>
      <c r="O5" s="714" t="str">
        <f>Title!O5</f>
        <v>Contractor</v>
      </c>
      <c r="P5" s="715"/>
      <c r="Q5" s="716"/>
      <c r="R5" s="705" t="str">
        <f>Title!R5</f>
        <v>HITACHI</v>
      </c>
      <c r="S5" s="706"/>
      <c r="T5" s="706"/>
      <c r="U5" s="706"/>
      <c r="V5" s="707"/>
      <c r="W5" s="14"/>
      <c r="X5" s="14"/>
    </row>
    <row r="6" spans="1:24" ht="18" customHeight="1">
      <c r="A6" s="196"/>
      <c r="B6" s="198"/>
      <c r="D6" s="467"/>
      <c r="V6" s="197"/>
    </row>
    <row r="7" spans="1:24" ht="18" customHeight="1">
      <c r="A7" s="196"/>
      <c r="B7" s="656" t="s">
        <v>120</v>
      </c>
      <c r="C7" s="657"/>
      <c r="D7" s="894" t="s">
        <v>125</v>
      </c>
      <c r="E7" s="995"/>
      <c r="F7" s="468"/>
      <c r="H7" s="638" t="s">
        <v>722</v>
      </c>
      <c r="I7" s="639"/>
      <c r="J7" s="639"/>
      <c r="K7" s="639"/>
      <c r="L7" s="639"/>
      <c r="M7" s="639"/>
      <c r="P7" s="198"/>
      <c r="S7" s="199" t="s">
        <v>398</v>
      </c>
      <c r="T7" s="656" t="s">
        <v>190</v>
      </c>
      <c r="U7" s="657"/>
      <c r="V7" s="197"/>
    </row>
    <row r="8" spans="1:24" ht="18" customHeight="1">
      <c r="A8" s="469"/>
      <c r="F8" s="468"/>
      <c r="T8" s="656"/>
      <c r="U8" s="657"/>
      <c r="V8" s="197"/>
    </row>
    <row r="9" spans="1:24" ht="18" customHeight="1">
      <c r="A9" s="196"/>
      <c r="H9" s="662" t="s">
        <v>401</v>
      </c>
      <c r="I9" s="662"/>
      <c r="J9" s="701" t="s">
        <v>402</v>
      </c>
      <c r="K9" s="701"/>
      <c r="L9" s="701" t="s">
        <v>403</v>
      </c>
      <c r="M9" s="701"/>
      <c r="T9" s="656"/>
      <c r="U9" s="657"/>
      <c r="V9" s="197"/>
    </row>
    <row r="10" spans="1:24" ht="18" customHeight="1">
      <c r="A10" s="196"/>
      <c r="B10" s="47" t="s">
        <v>404</v>
      </c>
      <c r="H10" s="692">
        <v>2500</v>
      </c>
      <c r="I10" s="693"/>
      <c r="J10" s="656"/>
      <c r="K10" s="657"/>
      <c r="L10" s="656" t="s">
        <v>7</v>
      </c>
      <c r="M10" s="657"/>
      <c r="N10" s="203" t="s">
        <v>353</v>
      </c>
      <c r="O10" s="125">
        <v>1</v>
      </c>
      <c r="P10" s="27" t="s">
        <v>9</v>
      </c>
      <c r="R10" s="267"/>
      <c r="S10" s="267"/>
      <c r="V10" s="197"/>
    </row>
    <row r="11" spans="1:24" ht="18" customHeight="1">
      <c r="A11" s="196"/>
      <c r="B11" s="47" t="s">
        <v>405</v>
      </c>
      <c r="H11" s="656" t="s">
        <v>849</v>
      </c>
      <c r="I11" s="657"/>
      <c r="V11" s="197"/>
    </row>
    <row r="12" spans="1:24" ht="18" customHeight="1">
      <c r="A12" s="196"/>
      <c r="B12" s="47" t="s">
        <v>407</v>
      </c>
      <c r="G12" s="120" t="s">
        <v>508</v>
      </c>
      <c r="H12" s="656">
        <v>5</v>
      </c>
      <c r="I12" s="657"/>
      <c r="J12" s="204" t="s">
        <v>344</v>
      </c>
      <c r="M12" s="14"/>
      <c r="N12" s="14"/>
      <c r="V12" s="197"/>
    </row>
    <row r="13" spans="1:24" ht="18" customHeight="1">
      <c r="A13" s="196"/>
      <c r="B13" s="47" t="s">
        <v>409</v>
      </c>
      <c r="G13" s="120" t="s">
        <v>509</v>
      </c>
      <c r="H13" s="656">
        <v>750</v>
      </c>
      <c r="I13" s="657"/>
      <c r="J13" s="14" t="s">
        <v>316</v>
      </c>
      <c r="M13" s="14"/>
      <c r="T13" s="307"/>
      <c r="U13" s="18"/>
      <c r="V13" s="197"/>
      <c r="W13" s="30" t="e">
        <f>#REF!</f>
        <v>#REF!</v>
      </c>
    </row>
    <row r="14" spans="1:24" ht="18" customHeight="1">
      <c r="A14" s="196"/>
      <c r="B14" s="14" t="s">
        <v>412</v>
      </c>
      <c r="G14" s="120" t="s">
        <v>413</v>
      </c>
      <c r="H14" s="656">
        <v>60</v>
      </c>
      <c r="I14" s="657"/>
      <c r="J14" s="14" t="s">
        <v>414</v>
      </c>
      <c r="M14" s="14"/>
      <c r="N14" s="14"/>
      <c r="V14" s="197"/>
    </row>
    <row r="15" spans="1:24" ht="18" customHeight="1">
      <c r="A15" s="196"/>
      <c r="B15" s="14"/>
      <c r="V15" s="197"/>
    </row>
    <row r="16" spans="1:24" ht="18" customHeight="1">
      <c r="A16" s="205" t="s">
        <v>415</v>
      </c>
      <c r="V16" s="197"/>
    </row>
    <row r="17" spans="1:25" ht="18" customHeight="1">
      <c r="A17" s="196"/>
      <c r="V17" s="197"/>
    </row>
    <row r="18" spans="1:25" ht="18" customHeight="1">
      <c r="A18" s="196"/>
      <c r="B18" s="141" t="s">
        <v>416</v>
      </c>
      <c r="C18" s="285"/>
      <c r="D18" s="146" t="str">
        <f>T7</f>
        <v>REB500</v>
      </c>
      <c r="E18" s="239"/>
      <c r="F18" s="239"/>
      <c r="G18" s="239"/>
      <c r="H18" s="145"/>
      <c r="I18" s="272" t="s">
        <v>138</v>
      </c>
      <c r="J18" s="684">
        <f>'CT-VT Burdens'!Q49</f>
        <v>0.01</v>
      </c>
      <c r="K18" s="685"/>
      <c r="L18" s="3" t="s">
        <v>168</v>
      </c>
      <c r="N18" s="209" t="s">
        <v>521</v>
      </c>
      <c r="V18" s="197"/>
    </row>
    <row r="19" spans="1:25" ht="18" customHeight="1">
      <c r="A19" s="196"/>
      <c r="B19" s="96" t="s">
        <v>416</v>
      </c>
      <c r="C19" s="14"/>
      <c r="D19" s="47">
        <f>T8</f>
        <v>0</v>
      </c>
      <c r="H19" s="28"/>
      <c r="I19" s="101" t="s">
        <v>138</v>
      </c>
      <c r="J19" s="684"/>
      <c r="K19" s="685"/>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684"/>
      <c r="K20" s="685"/>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690">
        <f>'CT-VT Burdens'!S22</f>
        <v>1.44186744</v>
      </c>
      <c r="K21" s="691"/>
      <c r="L21" s="309" t="s">
        <v>168</v>
      </c>
      <c r="O21" s="27" t="s">
        <v>138</v>
      </c>
      <c r="P21" s="637">
        <f>P20*R20*T20</f>
        <v>5</v>
      </c>
      <c r="Q21" s="639"/>
      <c r="R21" s="27" t="s">
        <v>168</v>
      </c>
      <c r="V21" s="197"/>
    </row>
    <row r="22" spans="1:25" ht="18" customHeight="1">
      <c r="A22" s="196"/>
      <c r="B22" s="1" t="s">
        <v>424</v>
      </c>
      <c r="C22" s="2"/>
      <c r="D22" s="2"/>
      <c r="E22" s="2"/>
      <c r="F22" s="208"/>
      <c r="G22" s="208"/>
      <c r="H22" s="236" t="s">
        <v>523</v>
      </c>
      <c r="I22" s="195" t="s">
        <v>138</v>
      </c>
      <c r="J22" s="644">
        <f>SUM(J18:J21)</f>
        <v>1.45186744</v>
      </c>
      <c r="K22" s="648"/>
      <c r="L22" s="3" t="s">
        <v>168</v>
      </c>
      <c r="V22" s="197"/>
    </row>
    <row r="23" spans="1:25" ht="18" customHeight="1">
      <c r="A23" s="196"/>
      <c r="B23" s="47"/>
      <c r="C23" s="47"/>
      <c r="D23" s="47"/>
      <c r="E23" s="47"/>
      <c r="H23" s="27"/>
      <c r="I23" s="28"/>
      <c r="J23" s="211"/>
      <c r="L23" s="47"/>
      <c r="S23" s="27"/>
      <c r="V23" s="197"/>
    </row>
    <row r="24" spans="1:25" ht="18" customHeight="1">
      <c r="A24" s="196"/>
      <c r="B24" s="117" t="s">
        <v>723</v>
      </c>
      <c r="V24" s="197"/>
    </row>
    <row r="25" spans="1:25" ht="18" customHeight="1">
      <c r="A25" s="180"/>
      <c r="B25" s="5"/>
      <c r="C25" s="47" t="s">
        <v>724</v>
      </c>
      <c r="D25" s="14"/>
      <c r="E25" s="14"/>
      <c r="F25" s="14"/>
      <c r="G25" s="14"/>
      <c r="H25" s="291"/>
      <c r="I25" s="120"/>
      <c r="J25" s="291"/>
      <c r="K25" s="291"/>
      <c r="L25" s="14"/>
      <c r="M25" s="14"/>
      <c r="N25" s="14"/>
      <c r="O25" s="14"/>
      <c r="P25" s="14"/>
      <c r="Q25" s="120" t="s">
        <v>725</v>
      </c>
      <c r="R25" s="102" t="s">
        <v>138</v>
      </c>
      <c r="S25" s="638">
        <v>50000</v>
      </c>
      <c r="T25" s="638"/>
      <c r="U25" s="47" t="s">
        <v>9</v>
      </c>
      <c r="V25" s="97"/>
    </row>
    <row r="26" spans="1:25" ht="18" customHeight="1">
      <c r="A26" s="180"/>
      <c r="B26" s="5"/>
      <c r="C26" s="47" t="s">
        <v>556</v>
      </c>
      <c r="D26" s="14"/>
      <c r="E26" s="14"/>
      <c r="F26" s="18"/>
      <c r="G26" s="18"/>
      <c r="H26" s="291"/>
      <c r="I26" s="120"/>
      <c r="J26" s="291"/>
      <c r="K26" s="291"/>
      <c r="L26" s="14"/>
      <c r="M26" s="14"/>
      <c r="N26" s="14"/>
      <c r="O26" s="14"/>
      <c r="P26" s="14"/>
      <c r="Q26" s="120" t="s">
        <v>434</v>
      </c>
      <c r="R26" s="102" t="s">
        <v>138</v>
      </c>
      <c r="S26" s="638">
        <f>H10</f>
        <v>2500</v>
      </c>
      <c r="T26" s="638"/>
      <c r="U26" s="14" t="s">
        <v>9</v>
      </c>
      <c r="V26" s="197"/>
    </row>
    <row r="27" spans="1:25" ht="18" customHeight="1">
      <c r="A27" s="180"/>
      <c r="B27" s="5"/>
      <c r="C27" s="47" t="s">
        <v>726</v>
      </c>
      <c r="D27" s="14"/>
      <c r="E27" s="14"/>
      <c r="F27" s="18"/>
      <c r="G27" s="18"/>
      <c r="H27" s="291"/>
      <c r="I27" s="120"/>
      <c r="J27" s="291"/>
      <c r="K27" s="291"/>
      <c r="L27" s="14"/>
      <c r="M27" s="14"/>
      <c r="N27" s="14"/>
      <c r="O27" s="14"/>
      <c r="P27" s="14"/>
      <c r="Q27" s="120" t="s">
        <v>727</v>
      </c>
      <c r="R27" s="102" t="s">
        <v>138</v>
      </c>
      <c r="S27" s="638">
        <v>33</v>
      </c>
      <c r="T27" s="638"/>
      <c r="U27" s="14" t="s">
        <v>174</v>
      </c>
      <c r="V27" s="197"/>
    </row>
    <row r="28" spans="1:25" ht="18" customHeight="1">
      <c r="A28" s="180"/>
      <c r="B28" s="5"/>
      <c r="C28" s="47" t="s">
        <v>557</v>
      </c>
      <c r="D28" s="14"/>
      <c r="E28" s="14"/>
      <c r="F28" s="18"/>
      <c r="G28" s="18"/>
      <c r="H28" s="291"/>
      <c r="I28" s="120"/>
      <c r="J28" s="291"/>
      <c r="K28" s="291"/>
      <c r="L28" s="14"/>
      <c r="M28" s="14"/>
      <c r="N28" s="14"/>
      <c r="O28" s="14"/>
      <c r="P28" s="14"/>
      <c r="Q28" s="120" t="s">
        <v>484</v>
      </c>
      <c r="R28" s="102" t="s">
        <v>138</v>
      </c>
      <c r="S28" s="638">
        <f>H13</f>
        <v>750</v>
      </c>
      <c r="T28" s="638"/>
      <c r="U28" s="14" t="s">
        <v>316</v>
      </c>
      <c r="V28" s="197"/>
    </row>
    <row r="29" spans="1:25" ht="18" customHeight="1">
      <c r="A29" s="180"/>
      <c r="B29" s="5"/>
      <c r="C29" s="47" t="s">
        <v>728</v>
      </c>
      <c r="D29" s="14"/>
      <c r="E29" s="14"/>
      <c r="F29" s="18"/>
      <c r="G29" s="18"/>
      <c r="H29" s="291"/>
      <c r="I29" s="120"/>
      <c r="J29" s="291"/>
      <c r="K29" s="291"/>
      <c r="L29" s="14"/>
      <c r="M29" s="14"/>
      <c r="N29" s="14"/>
      <c r="O29" s="14"/>
      <c r="P29" s="14"/>
      <c r="Q29" s="120" t="s">
        <v>431</v>
      </c>
      <c r="R29" s="102" t="s">
        <v>138</v>
      </c>
      <c r="S29" s="641">
        <f>P21</f>
        <v>5</v>
      </c>
      <c r="T29" s="638"/>
      <c r="U29" s="14" t="s">
        <v>168</v>
      </c>
      <c r="V29" s="197"/>
      <c r="W29" s="291"/>
      <c r="X29" s="291"/>
      <c r="Y29" s="291"/>
    </row>
    <row r="30" spans="1:25" ht="18" customHeight="1">
      <c r="A30" s="180"/>
      <c r="B30" s="5"/>
      <c r="C30" s="47" t="s">
        <v>729</v>
      </c>
      <c r="D30" s="14"/>
      <c r="E30" s="14"/>
      <c r="F30" s="18"/>
      <c r="G30" s="18"/>
      <c r="H30" s="291"/>
      <c r="I30" s="120"/>
      <c r="J30" s="291"/>
      <c r="K30" s="291"/>
      <c r="L30" s="14"/>
      <c r="M30" s="14"/>
      <c r="N30" s="14"/>
      <c r="O30" s="14"/>
      <c r="P30" s="14"/>
      <c r="Q30" s="120" t="s">
        <v>533</v>
      </c>
      <c r="R30" s="102" t="s">
        <v>138</v>
      </c>
      <c r="S30" s="641">
        <f>J22</f>
        <v>1.45186744</v>
      </c>
      <c r="T30" s="638"/>
      <c r="U30" s="14" t="s">
        <v>168</v>
      </c>
      <c r="V30" s="197"/>
      <c r="X30" s="291"/>
      <c r="Y30" s="291"/>
    </row>
    <row r="31" spans="1:25" ht="18" customHeight="1">
      <c r="A31" s="180"/>
      <c r="B31" s="5"/>
      <c r="C31" s="47" t="s">
        <v>560</v>
      </c>
      <c r="D31" s="14"/>
      <c r="E31" s="14"/>
      <c r="F31" s="14"/>
      <c r="G31" s="14"/>
      <c r="H31" s="291"/>
      <c r="I31" s="120"/>
      <c r="J31" s="291"/>
      <c r="K31" s="291"/>
      <c r="L31" s="14"/>
      <c r="M31" s="14"/>
      <c r="N31" s="14"/>
      <c r="O31" s="14"/>
      <c r="P31" s="14"/>
      <c r="Q31" s="120" t="s">
        <v>725</v>
      </c>
      <c r="R31" s="102" t="s">
        <v>138</v>
      </c>
      <c r="S31" s="638">
        <f>O10</f>
        <v>1</v>
      </c>
      <c r="T31" s="638"/>
      <c r="U31" s="14" t="s">
        <v>9</v>
      </c>
      <c r="V31" s="197"/>
      <c r="X31" s="291"/>
      <c r="Y31" s="291"/>
    </row>
    <row r="32" spans="1:25" ht="18" customHeight="1">
      <c r="A32" s="180"/>
      <c r="B32" s="5"/>
      <c r="C32" s="47" t="s">
        <v>730</v>
      </c>
      <c r="D32" s="14"/>
      <c r="E32" s="14"/>
      <c r="F32" s="14"/>
      <c r="G32" s="14"/>
      <c r="H32" s="291"/>
      <c r="I32" s="120"/>
      <c r="J32" s="291"/>
      <c r="K32" s="291"/>
      <c r="L32" s="14"/>
      <c r="M32" s="14"/>
      <c r="N32" s="14"/>
      <c r="O32" s="14"/>
      <c r="P32" s="14"/>
      <c r="Q32" s="120" t="s">
        <v>731</v>
      </c>
      <c r="R32" s="102" t="s">
        <v>138</v>
      </c>
      <c r="S32" s="638">
        <v>50</v>
      </c>
      <c r="T32" s="638"/>
      <c r="U32" s="47"/>
      <c r="V32" s="197"/>
    </row>
    <row r="33" spans="1:29" ht="18" customHeight="1">
      <c r="A33" s="311"/>
      <c r="B33" s="291"/>
      <c r="C33" s="47"/>
      <c r="D33" s="14"/>
      <c r="E33" s="14"/>
      <c r="F33" s="14"/>
      <c r="G33" s="14"/>
      <c r="H33" s="291"/>
      <c r="I33" s="120"/>
      <c r="J33" s="291"/>
      <c r="K33" s="291"/>
      <c r="L33" s="14"/>
      <c r="M33" s="14"/>
      <c r="N33" s="291"/>
      <c r="O33" s="291"/>
      <c r="P33" s="14"/>
      <c r="Q33" s="120"/>
      <c r="R33" s="14"/>
      <c r="S33" s="291"/>
      <c r="T33" s="291"/>
      <c r="U33" s="291"/>
      <c r="V33" s="312"/>
      <c r="W33" s="291"/>
      <c r="X33" s="291"/>
      <c r="Y33" s="291"/>
    </row>
    <row r="34" spans="1:29" ht="18" customHeight="1">
      <c r="A34" s="196"/>
      <c r="C34" s="18" t="s">
        <v>732</v>
      </c>
      <c r="D34" s="14"/>
      <c r="E34" s="14"/>
      <c r="F34" s="14"/>
      <c r="G34" s="14"/>
      <c r="H34" s="14"/>
      <c r="I34" s="14"/>
      <c r="J34" s="14"/>
      <c r="K34" s="14"/>
      <c r="L34" s="14"/>
      <c r="M34" s="14"/>
      <c r="N34" s="14"/>
      <c r="O34" s="14"/>
      <c r="P34" s="14"/>
      <c r="Q34" s="14"/>
      <c r="R34" s="14"/>
      <c r="S34" s="14"/>
      <c r="T34" s="14"/>
      <c r="U34" s="14"/>
      <c r="V34" s="197"/>
    </row>
    <row r="35" spans="1:29" ht="18" customHeight="1">
      <c r="A35" s="196"/>
      <c r="C35" s="28"/>
      <c r="D35" s="47" t="s">
        <v>733</v>
      </c>
      <c r="E35" s="28"/>
      <c r="F35" s="28"/>
      <c r="G35" s="28"/>
      <c r="H35" s="14"/>
      <c r="I35" s="14"/>
      <c r="J35" s="28"/>
      <c r="K35" s="28"/>
      <c r="L35" s="28"/>
      <c r="M35" s="28"/>
      <c r="N35" s="47"/>
      <c r="O35" s="28"/>
      <c r="V35" s="197"/>
    </row>
    <row r="36" spans="1:29" ht="18" customHeight="1">
      <c r="A36" s="196"/>
      <c r="D36" s="27"/>
      <c r="E36" s="27"/>
      <c r="F36" s="27"/>
      <c r="G36" s="27"/>
      <c r="I36" s="638" t="s">
        <v>734</v>
      </c>
      <c r="J36" s="638" t="s">
        <v>138</v>
      </c>
      <c r="K36" s="881" t="s">
        <v>725</v>
      </c>
      <c r="L36" s="881"/>
      <c r="M36" s="27"/>
      <c r="N36" s="308"/>
      <c r="O36" s="234"/>
      <c r="V36" s="197"/>
    </row>
    <row r="37" spans="1:29" ht="18" customHeight="1">
      <c r="A37" s="196"/>
      <c r="D37" s="27"/>
      <c r="G37" s="27"/>
      <c r="I37" s="638"/>
      <c r="J37" s="638"/>
      <c r="K37" s="991" t="s">
        <v>735</v>
      </c>
      <c r="L37" s="991"/>
      <c r="V37" s="197"/>
    </row>
    <row r="38" spans="1:29" ht="18" customHeight="1">
      <c r="A38" s="196"/>
      <c r="C38" s="18" t="s">
        <v>736</v>
      </c>
      <c r="D38" s="27"/>
      <c r="G38" s="27"/>
      <c r="I38" s="28"/>
      <c r="J38" s="28"/>
      <c r="K38" s="102"/>
      <c r="L38" s="102"/>
      <c r="V38" s="197"/>
    </row>
    <row r="39" spans="1:29" ht="18" customHeight="1">
      <c r="A39" s="196"/>
      <c r="D39" s="385" t="s">
        <v>737</v>
      </c>
      <c r="E39" s="14"/>
      <c r="F39" s="14"/>
      <c r="G39" s="280"/>
      <c r="K39" s="102"/>
      <c r="L39" s="102"/>
      <c r="V39" s="197"/>
    </row>
    <row r="40" spans="1:29" ht="18" customHeight="1">
      <c r="A40" s="196"/>
      <c r="D40" s="7" t="s">
        <v>738</v>
      </c>
      <c r="E40" s="47"/>
      <c r="F40" s="14"/>
      <c r="G40" s="280"/>
      <c r="K40" s="102"/>
      <c r="L40" s="102"/>
      <c r="V40" s="197"/>
    </row>
    <row r="41" spans="1:29" ht="18" customHeight="1">
      <c r="A41" s="196"/>
      <c r="B41" s="14" t="s">
        <v>739</v>
      </c>
      <c r="D41" s="14" t="s">
        <v>740</v>
      </c>
      <c r="G41" s="27"/>
      <c r="I41" s="28"/>
      <c r="J41" s="28"/>
      <c r="K41" s="102"/>
      <c r="L41" s="102"/>
      <c r="V41" s="197"/>
    </row>
    <row r="42" spans="1:29" ht="18" customHeight="1">
      <c r="A42" s="196"/>
      <c r="D42" s="7" t="s">
        <v>741</v>
      </c>
      <c r="G42" s="27"/>
      <c r="I42" s="28"/>
      <c r="J42" s="28"/>
      <c r="K42" s="102"/>
      <c r="L42" s="102"/>
      <c r="V42" s="197"/>
    </row>
    <row r="43" spans="1:29" ht="18" customHeight="1">
      <c r="A43" s="196"/>
      <c r="D43" s="7" t="s">
        <v>742</v>
      </c>
      <c r="G43" s="27"/>
      <c r="I43" s="28"/>
      <c r="J43" s="28"/>
      <c r="K43" s="102"/>
      <c r="L43" s="102"/>
      <c r="V43" s="197"/>
    </row>
    <row r="44" spans="1:29" ht="18" customHeight="1">
      <c r="A44" s="196"/>
      <c r="D44" s="27"/>
      <c r="G44" s="27"/>
      <c r="I44" s="28"/>
      <c r="J44" s="28"/>
      <c r="K44" s="102"/>
      <c r="L44" s="102"/>
      <c r="V44" s="197"/>
    </row>
    <row r="45" spans="1:29" ht="18" customHeight="1">
      <c r="A45" s="196"/>
      <c r="V45" s="197"/>
      <c r="AB45" s="14" t="s">
        <v>140</v>
      </c>
      <c r="AC45" s="14" t="s">
        <v>743</v>
      </c>
    </row>
    <row r="46" spans="1:29"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9"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9" ht="18" customHeight="1">
      <c r="A48" s="96"/>
      <c r="B48" s="7" t="s">
        <v>744</v>
      </c>
      <c r="C48" s="7"/>
      <c r="D48" s="14"/>
      <c r="E48" s="7"/>
      <c r="F48" s="7"/>
      <c r="L48" s="27"/>
      <c r="O48" s="27"/>
      <c r="P48" s="27"/>
      <c r="Q48" s="28"/>
      <c r="T48" s="14"/>
      <c r="U48" s="14"/>
      <c r="V48" s="197"/>
    </row>
    <row r="49" spans="1:22" ht="18" customHeight="1">
      <c r="A49" s="96"/>
      <c r="B49" s="14"/>
      <c r="C49" s="7"/>
      <c r="D49" s="7"/>
      <c r="E49" s="14"/>
      <c r="F49" s="7"/>
      <c r="L49" s="27"/>
      <c r="M49" s="14"/>
      <c r="O49" s="14"/>
      <c r="P49" s="14"/>
      <c r="Q49" s="14"/>
      <c r="R49" s="14"/>
      <c r="S49" s="14"/>
      <c r="T49" s="14"/>
      <c r="U49" s="14"/>
      <c r="V49" s="197"/>
    </row>
    <row r="50" spans="1:22" ht="18" customHeight="1">
      <c r="A50" s="96"/>
      <c r="B50" s="14"/>
      <c r="C50" s="120" t="s">
        <v>745</v>
      </c>
      <c r="D50" s="28" t="s">
        <v>138</v>
      </c>
      <c r="E50" s="861">
        <f>S25</f>
        <v>50000</v>
      </c>
      <c r="F50" s="861"/>
      <c r="G50" s="14"/>
      <c r="H50" s="14"/>
      <c r="I50" s="102"/>
      <c r="J50" s="47"/>
      <c r="K50" s="47"/>
      <c r="L50" s="14"/>
      <c r="M50" s="14"/>
      <c r="N50" s="14"/>
      <c r="O50" s="14"/>
      <c r="P50" s="14"/>
      <c r="Q50" s="14"/>
      <c r="R50" s="14"/>
      <c r="S50" s="14"/>
      <c r="T50" s="14"/>
      <c r="U50" s="14"/>
      <c r="V50" s="197"/>
    </row>
    <row r="51" spans="1:22" ht="18" customHeight="1">
      <c r="A51" s="96"/>
      <c r="B51" s="14"/>
      <c r="C51" s="120"/>
      <c r="D51" s="28"/>
      <c r="E51" s="860" t="str">
        <f>"5 x "&amp;S26&amp;""</f>
        <v>5 x 2500</v>
      </c>
      <c r="F51" s="860"/>
      <c r="G51" s="28"/>
      <c r="H51" s="269"/>
      <c r="K51" s="28"/>
      <c r="L51" s="230"/>
      <c r="M51" s="269"/>
      <c r="O51" s="14"/>
      <c r="P51" s="14"/>
      <c r="Q51" s="14"/>
      <c r="R51" s="14"/>
      <c r="S51" s="14"/>
      <c r="T51" s="14"/>
      <c r="U51" s="14"/>
      <c r="V51" s="197"/>
    </row>
    <row r="52" spans="1:22" ht="18" customHeight="1">
      <c r="A52" s="196"/>
      <c r="J52" s="14"/>
      <c r="K52" s="269"/>
      <c r="M52" s="14"/>
      <c r="N52" s="14"/>
      <c r="O52" s="14"/>
      <c r="P52" s="14"/>
      <c r="Q52" s="14"/>
      <c r="R52" s="14"/>
      <c r="S52" s="14"/>
      <c r="T52" s="14"/>
      <c r="U52" s="14"/>
      <c r="V52" s="197"/>
    </row>
    <row r="53" spans="1:22" ht="18" customHeight="1">
      <c r="A53" s="96"/>
      <c r="C53" s="471" t="s">
        <v>745</v>
      </c>
      <c r="D53" s="194" t="s">
        <v>138</v>
      </c>
      <c r="E53" s="990">
        <f>S25/5/S26</f>
        <v>4</v>
      </c>
      <c r="F53" s="648"/>
      <c r="G53" s="27"/>
      <c r="H53" s="27"/>
      <c r="I53" s="27"/>
      <c r="J53" s="120"/>
      <c r="K53" s="28"/>
      <c r="L53" s="120"/>
      <c r="M53" s="28"/>
      <c r="N53" s="120"/>
      <c r="O53" s="28"/>
      <c r="P53" s="120"/>
      <c r="Q53" s="308"/>
      <c r="V53" s="197"/>
    </row>
    <row r="54" spans="1:22" ht="18" customHeight="1">
      <c r="A54" s="96"/>
      <c r="C54" s="120"/>
      <c r="D54" s="28"/>
      <c r="E54" s="230"/>
      <c r="F54" s="230"/>
      <c r="G54" s="27"/>
      <c r="H54" s="27"/>
      <c r="I54" s="27"/>
      <c r="J54" s="120"/>
      <c r="K54" s="28"/>
      <c r="L54" s="120"/>
      <c r="M54" s="28"/>
      <c r="N54" s="120"/>
      <c r="O54" s="28"/>
      <c r="P54" s="120"/>
      <c r="Q54" s="308"/>
      <c r="V54" s="197"/>
    </row>
    <row r="55" spans="1:22" ht="18" customHeight="1">
      <c r="A55" s="96"/>
      <c r="B55" s="14" t="s">
        <v>746</v>
      </c>
      <c r="C55" s="14"/>
      <c r="D55" s="14"/>
      <c r="E55" s="7"/>
      <c r="F55" s="102"/>
      <c r="G55" s="7"/>
      <c r="H55" s="7"/>
      <c r="I55" s="251"/>
      <c r="J55" s="120"/>
      <c r="K55" s="28"/>
      <c r="L55" s="120"/>
      <c r="M55" s="28"/>
      <c r="N55" s="120"/>
      <c r="O55" s="28"/>
      <c r="P55" s="120"/>
      <c r="Q55" s="308"/>
      <c r="V55" s="197"/>
    </row>
    <row r="56" spans="1:22" ht="18" customHeight="1">
      <c r="A56" s="96"/>
      <c r="C56" s="14"/>
      <c r="D56" s="14"/>
      <c r="E56" s="638" t="s">
        <v>747</v>
      </c>
      <c r="F56" s="638">
        <v>1</v>
      </c>
      <c r="G56" s="638"/>
      <c r="H56" s="638" t="s">
        <v>323</v>
      </c>
      <c r="I56" s="472" t="s">
        <v>323</v>
      </c>
      <c r="J56" s="120"/>
      <c r="K56" s="28"/>
      <c r="L56" s="120"/>
      <c r="M56" s="28"/>
      <c r="N56" s="120"/>
      <c r="O56" s="28"/>
      <c r="P56" s="120"/>
      <c r="Q56" s="308"/>
      <c r="V56" s="197"/>
    </row>
    <row r="57" spans="1:22" ht="18" customHeight="1">
      <c r="A57" s="96"/>
      <c r="C57" s="14"/>
      <c r="D57" s="14"/>
      <c r="E57" s="985"/>
      <c r="F57" s="285"/>
      <c r="G57" s="286" t="s">
        <v>748</v>
      </c>
      <c r="H57" s="638"/>
      <c r="I57" s="14" t="s">
        <v>152</v>
      </c>
      <c r="J57" s="120"/>
      <c r="K57" s="28"/>
      <c r="L57" s="120"/>
      <c r="M57" s="28"/>
      <c r="N57" s="120"/>
      <c r="O57" s="28"/>
      <c r="P57" s="120"/>
      <c r="Q57" s="308"/>
      <c r="V57" s="197"/>
    </row>
    <row r="58" spans="1:22" ht="18" customHeight="1">
      <c r="A58" s="96"/>
      <c r="C58" s="120"/>
      <c r="D58" s="28"/>
      <c r="E58" s="230"/>
      <c r="F58" s="230"/>
      <c r="G58" s="27"/>
      <c r="H58" s="27"/>
      <c r="I58" s="27"/>
      <c r="J58" s="120"/>
      <c r="K58" s="28"/>
      <c r="L58" s="120"/>
      <c r="M58" s="28"/>
      <c r="N58" s="120"/>
      <c r="O58" s="28"/>
      <c r="P58" s="120"/>
      <c r="Q58" s="308"/>
      <c r="V58" s="197"/>
    </row>
    <row r="59" spans="1:22" ht="18" customHeight="1">
      <c r="A59" s="96"/>
      <c r="C59" s="120"/>
      <c r="F59" s="661">
        <v>1</v>
      </c>
      <c r="G59" s="661"/>
      <c r="H59" s="661"/>
      <c r="I59" s="27"/>
      <c r="J59" s="638" t="s">
        <v>326</v>
      </c>
      <c r="K59" s="987">
        <v>15</v>
      </c>
      <c r="L59" s="120"/>
      <c r="M59" s="28"/>
      <c r="N59" s="120"/>
      <c r="O59" s="28"/>
      <c r="P59" s="120"/>
      <c r="Q59" s="308"/>
      <c r="V59" s="197"/>
    </row>
    <row r="60" spans="1:22" ht="18" customHeight="1">
      <c r="A60" s="96"/>
      <c r="C60" s="120"/>
      <c r="D60" s="120" t="s">
        <v>749</v>
      </c>
      <c r="E60" s="102" t="s">
        <v>138</v>
      </c>
      <c r="F60" s="30" t="s">
        <v>750</v>
      </c>
      <c r="I60" s="27"/>
      <c r="J60" s="639"/>
      <c r="K60" s="986"/>
      <c r="L60" s="120"/>
      <c r="M60" s="28"/>
      <c r="N60" s="120"/>
      <c r="O60" s="28"/>
      <c r="P60" s="120"/>
      <c r="Q60" s="308"/>
      <c r="V60" s="197"/>
    </row>
    <row r="61" spans="1:22" ht="18" customHeight="1">
      <c r="A61" s="96"/>
      <c r="C61" s="28"/>
      <c r="D61" s="230"/>
      <c r="E61" s="230"/>
      <c r="F61" s="230"/>
      <c r="G61" s="230"/>
      <c r="H61" s="230"/>
      <c r="I61" s="230"/>
      <c r="J61" s="230"/>
      <c r="K61" s="230"/>
      <c r="L61" s="230"/>
      <c r="M61" s="28"/>
      <c r="N61" s="120"/>
      <c r="O61" s="28"/>
      <c r="P61" s="120"/>
      <c r="Q61" s="308"/>
      <c r="V61" s="197"/>
    </row>
    <row r="62" spans="1:22" ht="18" customHeight="1">
      <c r="A62" s="96"/>
      <c r="C62" s="120"/>
      <c r="D62" s="28"/>
      <c r="E62" s="230" t="s">
        <v>138</v>
      </c>
      <c r="F62" s="988">
        <f>1*K59/(2*3.14*50)</f>
        <v>4.7770700636942678E-2</v>
      </c>
      <c r="G62" s="988"/>
      <c r="H62" s="28" t="s">
        <v>751</v>
      </c>
      <c r="I62" s="27"/>
      <c r="J62" s="120"/>
      <c r="K62" s="28"/>
      <c r="L62" s="120"/>
      <c r="M62" s="28"/>
      <c r="N62" s="120"/>
      <c r="O62" s="28"/>
      <c r="P62" s="120"/>
      <c r="Q62" s="308"/>
      <c r="V62" s="197"/>
    </row>
    <row r="63" spans="1:22" ht="18" customHeight="1">
      <c r="A63" s="96"/>
      <c r="C63" s="120"/>
      <c r="D63" s="120" t="s">
        <v>749</v>
      </c>
      <c r="E63" s="230" t="s">
        <v>138</v>
      </c>
      <c r="F63" s="989">
        <f>F62*1000</f>
        <v>47.770700636942678</v>
      </c>
      <c r="G63" s="989"/>
      <c r="H63" s="28" t="s">
        <v>354</v>
      </c>
      <c r="I63" s="27"/>
      <c r="J63" s="120"/>
      <c r="K63" s="28"/>
      <c r="L63" s="120"/>
      <c r="M63" s="28"/>
      <c r="N63" s="120"/>
      <c r="O63" s="28"/>
      <c r="P63" s="120"/>
      <c r="Q63" s="308"/>
      <c r="V63" s="197"/>
    </row>
    <row r="64" spans="1:22" ht="18" customHeight="1">
      <c r="A64" s="196"/>
      <c r="G64" s="27"/>
      <c r="H64" s="257"/>
      <c r="I64" s="257"/>
      <c r="J64" s="473"/>
      <c r="K64" s="257"/>
      <c r="L64" s="473"/>
      <c r="M64" s="257"/>
      <c r="N64" s="473"/>
      <c r="O64" s="257"/>
      <c r="P64" s="473"/>
      <c r="Q64" s="474"/>
      <c r="V64" s="197"/>
    </row>
    <row r="65" spans="1:22" ht="18" customHeight="1">
      <c r="A65" s="196"/>
      <c r="B65" s="14" t="s">
        <v>752</v>
      </c>
      <c r="E65" s="28" t="s">
        <v>138</v>
      </c>
      <c r="F65" s="27">
        <v>10</v>
      </c>
      <c r="G65" s="27"/>
      <c r="H65" s="257"/>
      <c r="I65" s="257"/>
      <c r="J65" s="473"/>
      <c r="K65" s="257"/>
      <c r="L65" s="473"/>
      <c r="M65" s="257"/>
      <c r="N65" s="473"/>
      <c r="O65" s="257"/>
      <c r="P65" s="473"/>
      <c r="Q65" s="474"/>
      <c r="V65" s="197"/>
    </row>
    <row r="66" spans="1:22" ht="18" customHeight="1">
      <c r="A66" s="196"/>
      <c r="G66" s="27"/>
      <c r="H66" s="257"/>
      <c r="I66" s="257"/>
      <c r="J66" s="473"/>
      <c r="K66" s="257"/>
      <c r="L66" s="473"/>
      <c r="M66" s="257"/>
      <c r="N66" s="473"/>
      <c r="O66" s="257"/>
      <c r="P66" s="473"/>
      <c r="Q66" s="474"/>
      <c r="V66" s="197"/>
    </row>
    <row r="67" spans="1:22" ht="18" customHeight="1">
      <c r="A67" s="196"/>
      <c r="B67" s="7" t="s">
        <v>753</v>
      </c>
      <c r="F67" s="7"/>
      <c r="G67" s="7"/>
      <c r="H67" s="216"/>
      <c r="I67" s="216"/>
      <c r="V67" s="197"/>
    </row>
    <row r="68" spans="1:22" ht="17.399999999999999" customHeight="1">
      <c r="A68" s="196"/>
      <c r="B68" s="7"/>
      <c r="E68" s="30" t="s">
        <v>754</v>
      </c>
      <c r="F68" s="7"/>
      <c r="G68" s="7"/>
      <c r="V68" s="197"/>
    </row>
    <row r="69" spans="1:22" ht="17.399999999999999" customHeight="1">
      <c r="A69" s="196"/>
      <c r="B69" s="7"/>
      <c r="E69" s="14"/>
      <c r="F69" s="7"/>
      <c r="G69" s="7"/>
      <c r="V69" s="197"/>
    </row>
    <row r="70" spans="1:22" ht="17.399999999999999" customHeight="1">
      <c r="A70" s="196"/>
      <c r="B70" s="14" t="s">
        <v>755</v>
      </c>
      <c r="C70" s="14"/>
      <c r="D70" s="14"/>
      <c r="E70" s="14"/>
      <c r="F70" s="14"/>
      <c r="G70" s="120"/>
      <c r="H70" s="120"/>
      <c r="V70" s="197"/>
    </row>
    <row r="71" spans="1:22" ht="17.399999999999999" customHeight="1">
      <c r="A71" s="196"/>
      <c r="B71" s="14"/>
      <c r="C71" s="120" t="s">
        <v>756</v>
      </c>
      <c r="D71" s="28" t="s">
        <v>138</v>
      </c>
      <c r="E71" s="28">
        <v>10</v>
      </c>
      <c r="F71" s="14"/>
      <c r="G71" s="47" t="s">
        <v>757</v>
      </c>
      <c r="H71" s="120"/>
      <c r="V71" s="197"/>
    </row>
    <row r="72" spans="1:22" ht="17.399999999999999" customHeight="1">
      <c r="A72" s="196"/>
      <c r="B72" s="7"/>
      <c r="E72" s="14"/>
      <c r="F72" s="7"/>
      <c r="G72" s="7"/>
      <c r="V72" s="197"/>
    </row>
    <row r="73" spans="1:22" ht="17.399999999999999" customHeight="1">
      <c r="A73" s="196"/>
      <c r="B73" s="47" t="s">
        <v>758</v>
      </c>
      <c r="E73" s="14"/>
      <c r="F73" s="7"/>
      <c r="G73" s="7"/>
      <c r="V73" s="197"/>
    </row>
    <row r="74" spans="1:22" ht="17.399999999999999" customHeight="1">
      <c r="A74" s="196"/>
      <c r="B74" s="47" t="s">
        <v>759</v>
      </c>
      <c r="E74" s="14"/>
      <c r="F74" s="7"/>
      <c r="G74" s="7"/>
      <c r="V74" s="197"/>
    </row>
    <row r="75" spans="1:22" ht="17.399999999999999" customHeight="1" thickBot="1">
      <c r="A75" s="196"/>
      <c r="B75" s="102" t="s">
        <v>138</v>
      </c>
      <c r="C75" s="120">
        <f>E71</f>
        <v>10</v>
      </c>
      <c r="D75" s="28" t="s">
        <v>326</v>
      </c>
      <c r="E75" s="28" t="s">
        <v>430</v>
      </c>
      <c r="F75" s="641">
        <f>S29</f>
        <v>5</v>
      </c>
      <c r="G75" s="641"/>
      <c r="H75" s="102" t="s">
        <v>358</v>
      </c>
      <c r="I75" s="230">
        <f>S30</f>
        <v>1.45186744</v>
      </c>
      <c r="J75" s="252" t="s">
        <v>358</v>
      </c>
      <c r="K75" s="293">
        <f>J18</f>
        <v>0.01</v>
      </c>
      <c r="L75" s="14" t="s">
        <v>361</v>
      </c>
      <c r="M75" s="14" t="s">
        <v>326</v>
      </c>
      <c r="N75" s="28">
        <v>1</v>
      </c>
      <c r="V75" s="197"/>
    </row>
    <row r="76" spans="1:22" ht="17.399999999999999" customHeight="1" thickBot="1">
      <c r="A76" s="196"/>
      <c r="B76" s="475" t="s">
        <v>539</v>
      </c>
      <c r="C76" s="476" t="s">
        <v>138</v>
      </c>
      <c r="D76" s="477">
        <f>C75*(F75+I75+K75)*N75</f>
        <v>64.618674400000003</v>
      </c>
      <c r="E76" s="14" t="s">
        <v>316</v>
      </c>
      <c r="F76" s="7"/>
      <c r="G76" s="7"/>
      <c r="V76" s="197"/>
    </row>
    <row r="77" spans="1:22" ht="17.399999999999999" customHeight="1">
      <c r="A77" s="196"/>
      <c r="B77" s="7"/>
      <c r="E77" s="14"/>
      <c r="F77" s="7"/>
      <c r="G77" s="7"/>
      <c r="V77" s="197"/>
    </row>
    <row r="78" spans="1:22" ht="17.399999999999999" customHeight="1">
      <c r="A78" s="196"/>
      <c r="B78" s="47" t="s">
        <v>760</v>
      </c>
      <c r="E78" s="14"/>
      <c r="F78" s="7"/>
      <c r="G78" s="7"/>
      <c r="J78" s="14" t="s">
        <v>761</v>
      </c>
      <c r="L78" s="28" t="s">
        <v>487</v>
      </c>
      <c r="N78" s="14" t="s">
        <v>762</v>
      </c>
      <c r="V78" s="197"/>
    </row>
    <row r="79" spans="1:22" ht="17.399999999999999" customHeight="1">
      <c r="A79" s="196"/>
      <c r="B79" s="7"/>
      <c r="E79" s="14"/>
      <c r="F79" s="7"/>
      <c r="G79" s="7"/>
      <c r="L79" s="28" t="s">
        <v>138</v>
      </c>
      <c r="N79" s="986">
        <f>0.8*D76</f>
        <v>51.694939520000005</v>
      </c>
      <c r="O79" s="986"/>
      <c r="V79" s="197"/>
    </row>
    <row r="80" spans="1:22" ht="17.399999999999999" customHeight="1">
      <c r="A80" s="196"/>
      <c r="B80" s="7"/>
      <c r="E80" s="14"/>
      <c r="F80" s="14" t="s">
        <v>763</v>
      </c>
      <c r="G80" s="7"/>
      <c r="L80" s="28" t="s">
        <v>138</v>
      </c>
      <c r="N80" s="960">
        <f>N79*1.2</f>
        <v>62.033927424000005</v>
      </c>
      <c r="O80" s="960"/>
      <c r="V80" s="197"/>
    </row>
    <row r="81" spans="1:23" ht="17.399999999999999" customHeight="1">
      <c r="A81" s="196"/>
      <c r="K81" s="211" t="s">
        <v>486</v>
      </c>
      <c r="L81" s="28" t="str">
        <f>IF(I82&gt;M82,"&gt;","&lt;")</f>
        <v>&gt;</v>
      </c>
      <c r="M81" s="269" t="s">
        <v>488</v>
      </c>
      <c r="O81" s="18"/>
      <c r="P81" s="280"/>
      <c r="V81" s="197"/>
    </row>
    <row r="82" spans="1:23" ht="17.399999999999999" customHeight="1">
      <c r="A82" s="196"/>
      <c r="I82" s="637">
        <f>S28</f>
        <v>750</v>
      </c>
      <c r="J82" s="637"/>
      <c r="K82" s="27"/>
      <c r="L82" s="27" t="str">
        <f>IF(I82&gt;=M82,"&gt;","&lt;")</f>
        <v>&gt;</v>
      </c>
      <c r="M82" s="637">
        <f>N80</f>
        <v>62.033927424000005</v>
      </c>
      <c r="N82" s="637"/>
      <c r="P82" s="280"/>
      <c r="V82" s="197"/>
    </row>
    <row r="83" spans="1:23" ht="17.399999999999999" customHeight="1">
      <c r="A83" s="196"/>
      <c r="K83" s="256" t="s">
        <v>489</v>
      </c>
      <c r="M83" s="18" t="str">
        <f>IF(I82&gt;M82,"Suitable Dimensions","Under Dimensioned")</f>
        <v>Suitable Dimensions</v>
      </c>
      <c r="V83" s="197"/>
    </row>
    <row r="84" spans="1:23" ht="17.399999999999999" customHeight="1">
      <c r="A84" s="196"/>
      <c r="K84" s="256"/>
      <c r="M84" s="18"/>
      <c r="V84" s="197"/>
    </row>
    <row r="85" spans="1:23" ht="17.399999999999999" customHeight="1">
      <c r="A85" s="196"/>
      <c r="K85" s="256"/>
      <c r="M85" s="18"/>
      <c r="V85" s="197"/>
    </row>
    <row r="86" spans="1:23" ht="17.399999999999999" customHeight="1">
      <c r="A86" s="196"/>
      <c r="B86" s="7"/>
      <c r="E86" s="14"/>
      <c r="F86" s="7"/>
      <c r="G86" s="7"/>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667" t="str">
        <f>B7</f>
        <v>T1</v>
      </c>
      <c r="C89" s="668"/>
      <c r="D89" s="679" t="str">
        <f>D7</f>
        <v>Core4</v>
      </c>
      <c r="E89" s="994"/>
      <c r="F89" s="468"/>
      <c r="H89" s="639" t="str">
        <f>H7</f>
        <v>(Low Imp. Busbar)</v>
      </c>
      <c r="I89" s="639"/>
      <c r="J89" s="639"/>
      <c r="K89" s="639"/>
      <c r="L89" s="639"/>
      <c r="M89" s="639"/>
      <c r="P89" s="198"/>
      <c r="S89" s="199" t="s">
        <v>398</v>
      </c>
      <c r="T89" s="667" t="str">
        <f>T7</f>
        <v>REB500</v>
      </c>
      <c r="U89" s="668"/>
      <c r="V89" s="197"/>
    </row>
    <row r="90" spans="1:23" ht="18" hidden="1" customHeight="1">
      <c r="A90" s="469"/>
      <c r="F90" s="468"/>
      <c r="T90" s="992">
        <f>T8</f>
        <v>0</v>
      </c>
      <c r="U90" s="993"/>
      <c r="V90" s="197"/>
    </row>
    <row r="91" spans="1:23" ht="18" hidden="1" customHeight="1">
      <c r="A91" s="196"/>
      <c r="H91" s="661" t="s">
        <v>401</v>
      </c>
      <c r="I91" s="661"/>
      <c r="J91" s="662" t="s">
        <v>402</v>
      </c>
      <c r="K91" s="662"/>
      <c r="L91" s="701" t="s">
        <v>403</v>
      </c>
      <c r="M91" s="701"/>
      <c r="T91" s="992">
        <f>T9</f>
        <v>0</v>
      </c>
      <c r="U91" s="993"/>
      <c r="V91" s="197"/>
    </row>
    <row r="92" spans="1:23" ht="18" hidden="1" customHeight="1">
      <c r="A92" s="196"/>
      <c r="B92" s="47" t="s">
        <v>404</v>
      </c>
      <c r="H92" s="667">
        <f>H10</f>
        <v>2500</v>
      </c>
      <c r="I92" s="668"/>
      <c r="J92" s="667">
        <f>J10</f>
        <v>0</v>
      </c>
      <c r="K92" s="668"/>
      <c r="L92" s="667" t="str">
        <f>L10</f>
        <v>-</v>
      </c>
      <c r="M92" s="668"/>
      <c r="N92" s="203" t="s">
        <v>353</v>
      </c>
      <c r="O92" s="501">
        <f>O10</f>
        <v>1</v>
      </c>
      <c r="P92" s="27" t="s">
        <v>9</v>
      </c>
      <c r="R92" s="267"/>
      <c r="S92" s="267"/>
      <c r="V92" s="197"/>
    </row>
    <row r="93" spans="1:23" ht="18" hidden="1" customHeight="1">
      <c r="A93" s="196"/>
      <c r="B93" s="47" t="s">
        <v>405</v>
      </c>
      <c r="H93" s="14"/>
      <c r="I93" s="14"/>
      <c r="J93" s="667" t="str">
        <f>H11</f>
        <v>PX-B</v>
      </c>
      <c r="K93" s="668"/>
      <c r="L93" s="14"/>
      <c r="M93" s="14"/>
      <c r="V93" s="197"/>
    </row>
    <row r="94" spans="1:23" ht="18" hidden="1" customHeight="1">
      <c r="A94" s="196"/>
      <c r="B94" s="47" t="s">
        <v>407</v>
      </c>
      <c r="I94" s="120" t="s">
        <v>508</v>
      </c>
      <c r="J94" s="656">
        <v>9.3000000000000007</v>
      </c>
      <c r="K94" s="657"/>
      <c r="L94" s="204" t="s">
        <v>344</v>
      </c>
      <c r="V94" s="197"/>
    </row>
    <row r="95" spans="1:23" ht="18" hidden="1" customHeight="1">
      <c r="A95" s="196"/>
      <c r="B95" s="47" t="s">
        <v>409</v>
      </c>
      <c r="I95" s="120" t="s">
        <v>509</v>
      </c>
      <c r="J95" s="656">
        <v>500</v>
      </c>
      <c r="K95" s="657"/>
      <c r="L95" s="14" t="s">
        <v>316</v>
      </c>
      <c r="T95" s="307"/>
      <c r="U95" s="18"/>
      <c r="V95" s="197"/>
      <c r="W95" s="30" t="str">
        <f>M162</f>
        <v>Required Vk</v>
      </c>
    </row>
    <row r="96" spans="1:23" ht="18" hidden="1" customHeight="1">
      <c r="A96" s="196"/>
      <c r="B96" s="14" t="s">
        <v>412</v>
      </c>
      <c r="I96" s="120" t="s">
        <v>413</v>
      </c>
      <c r="J96" s="656">
        <v>60</v>
      </c>
      <c r="K96" s="657"/>
      <c r="L96" s="14" t="s">
        <v>414</v>
      </c>
      <c r="V96" s="197"/>
    </row>
    <row r="97" spans="1:22" ht="18" hidden="1" customHeight="1">
      <c r="A97" s="196"/>
      <c r="V97" s="197"/>
    </row>
    <row r="98" spans="1:22" ht="18" hidden="1" customHeight="1">
      <c r="A98" s="205" t="s">
        <v>415</v>
      </c>
      <c r="V98" s="197"/>
    </row>
    <row r="99" spans="1:22" ht="18" hidden="1" customHeight="1">
      <c r="A99" s="196"/>
      <c r="V99" s="197"/>
    </row>
    <row r="100" spans="1:22" ht="18" hidden="1" customHeight="1">
      <c r="A100" s="196"/>
      <c r="B100" s="141" t="s">
        <v>416</v>
      </c>
      <c r="C100" s="285"/>
      <c r="D100" s="146" t="str">
        <f>T89</f>
        <v>REB500</v>
      </c>
      <c r="E100" s="239"/>
      <c r="F100" s="239"/>
      <c r="G100" s="239"/>
      <c r="H100" s="145"/>
      <c r="I100" s="272" t="s">
        <v>138</v>
      </c>
      <c r="J100" s="648">
        <f>J18</f>
        <v>0.01</v>
      </c>
      <c r="K100" s="649"/>
      <c r="L100" s="3" t="s">
        <v>168</v>
      </c>
      <c r="N100" s="209" t="s">
        <v>521</v>
      </c>
      <c r="V100" s="197"/>
    </row>
    <row r="101" spans="1:22" ht="18" hidden="1" customHeight="1">
      <c r="A101" s="196"/>
      <c r="B101" s="96" t="s">
        <v>416</v>
      </c>
      <c r="C101" s="14"/>
      <c r="D101" s="47">
        <f>T90</f>
        <v>0</v>
      </c>
      <c r="H101" s="28"/>
      <c r="I101" s="101" t="s">
        <v>138</v>
      </c>
      <c r="J101" s="648">
        <f>J19</f>
        <v>0</v>
      </c>
      <c r="K101" s="649"/>
      <c r="L101" s="3" t="s">
        <v>168</v>
      </c>
      <c r="N101" s="120" t="s">
        <v>502</v>
      </c>
      <c r="O101" s="27" t="s">
        <v>138</v>
      </c>
      <c r="P101" s="27" t="s">
        <v>522</v>
      </c>
      <c r="Q101" s="27" t="s">
        <v>326</v>
      </c>
      <c r="R101" s="27" t="s">
        <v>522</v>
      </c>
      <c r="S101" s="27" t="s">
        <v>326</v>
      </c>
      <c r="T101" s="27" t="s">
        <v>431</v>
      </c>
      <c r="V101" s="197"/>
    </row>
    <row r="102" spans="1:22" ht="18" hidden="1" customHeight="1">
      <c r="A102" s="196"/>
      <c r="B102" s="96" t="s">
        <v>416</v>
      </c>
      <c r="C102" s="14"/>
      <c r="D102" s="47">
        <f>T91</f>
        <v>0</v>
      </c>
      <c r="H102" s="28"/>
      <c r="I102" s="101" t="s">
        <v>138</v>
      </c>
      <c r="J102" s="648">
        <f>J20</f>
        <v>0</v>
      </c>
      <c r="K102" s="649"/>
      <c r="L102" s="3" t="s">
        <v>168</v>
      </c>
      <c r="N102" s="27"/>
      <c r="O102" s="27" t="s">
        <v>138</v>
      </c>
      <c r="P102" s="27">
        <f>O92</f>
        <v>1</v>
      </c>
      <c r="Q102" s="27" t="s">
        <v>326</v>
      </c>
      <c r="R102" s="27">
        <f>O92</f>
        <v>1</v>
      </c>
      <c r="S102" s="27" t="s">
        <v>326</v>
      </c>
      <c r="T102" s="27">
        <f>J94</f>
        <v>9.3000000000000007</v>
      </c>
      <c r="V102" s="197"/>
    </row>
    <row r="103" spans="1:22" ht="18" hidden="1" customHeight="1">
      <c r="A103" s="196"/>
      <c r="B103" s="465" t="s">
        <v>423</v>
      </c>
      <c r="C103" s="271"/>
      <c r="D103" s="271"/>
      <c r="E103" s="271"/>
      <c r="F103" s="219"/>
      <c r="G103" s="219"/>
      <c r="H103" s="202"/>
      <c r="I103" s="220" t="s">
        <v>138</v>
      </c>
      <c r="J103" s="646">
        <f>J21</f>
        <v>1.44186744</v>
      </c>
      <c r="K103" s="647"/>
      <c r="L103" s="309" t="s">
        <v>168</v>
      </c>
      <c r="O103" s="27" t="s">
        <v>138</v>
      </c>
      <c r="P103" s="637">
        <f>P102*R102*T102</f>
        <v>9.3000000000000007</v>
      </c>
      <c r="Q103" s="639"/>
      <c r="R103" s="27" t="s">
        <v>168</v>
      </c>
      <c r="V103" s="197"/>
    </row>
    <row r="104" spans="1:22" ht="18" hidden="1" customHeight="1">
      <c r="A104" s="196"/>
      <c r="B104" s="1" t="s">
        <v>424</v>
      </c>
      <c r="C104" s="2"/>
      <c r="D104" s="2"/>
      <c r="E104" s="2"/>
      <c r="F104" s="208"/>
      <c r="G104" s="208"/>
      <c r="H104" s="236" t="s">
        <v>523</v>
      </c>
      <c r="I104" s="195" t="s">
        <v>138</v>
      </c>
      <c r="J104" s="648">
        <f>SUM(J100:J103)</f>
        <v>1.45186744</v>
      </c>
      <c r="K104" s="649"/>
      <c r="L104" s="3" t="s">
        <v>168</v>
      </c>
      <c r="V104" s="197"/>
    </row>
    <row r="105" spans="1:22" ht="18" hidden="1" customHeight="1">
      <c r="A105" s="196"/>
      <c r="B105" s="47"/>
      <c r="C105" s="47"/>
      <c r="D105" s="47"/>
      <c r="E105" s="47"/>
      <c r="H105" s="27"/>
      <c r="I105" s="28"/>
      <c r="J105" s="211"/>
      <c r="L105" s="47"/>
      <c r="S105" s="27"/>
      <c r="V105" s="197"/>
    </row>
    <row r="106" spans="1:22" ht="18" hidden="1" customHeight="1">
      <c r="A106" s="270"/>
      <c r="B106" s="117" t="s">
        <v>723</v>
      </c>
      <c r="V106" s="197"/>
    </row>
    <row r="107" spans="1:22" ht="18" hidden="1" customHeight="1">
      <c r="A107" s="243"/>
      <c r="B107" s="5"/>
      <c r="C107" s="47" t="s">
        <v>724</v>
      </c>
      <c r="D107" s="14"/>
      <c r="E107" s="14"/>
      <c r="F107" s="14"/>
      <c r="G107" s="14"/>
      <c r="H107" s="291"/>
      <c r="I107" s="120"/>
      <c r="J107" s="291"/>
      <c r="K107" s="291"/>
      <c r="L107" s="14"/>
      <c r="M107" s="14"/>
      <c r="N107" s="14"/>
      <c r="O107" s="14"/>
      <c r="P107" s="14"/>
      <c r="Q107" s="120" t="s">
        <v>725</v>
      </c>
      <c r="R107" s="102" t="s">
        <v>138</v>
      </c>
      <c r="S107" s="638">
        <v>31500</v>
      </c>
      <c r="T107" s="638"/>
      <c r="U107" s="47" t="s">
        <v>9</v>
      </c>
      <c r="V107" s="97" t="s">
        <v>140</v>
      </c>
    </row>
    <row r="108" spans="1:22" ht="18" hidden="1" customHeight="1">
      <c r="A108" s="196"/>
      <c r="B108" s="5"/>
      <c r="C108" s="47" t="s">
        <v>556</v>
      </c>
      <c r="D108" s="14"/>
      <c r="E108" s="14"/>
      <c r="F108" s="18"/>
      <c r="G108" s="18"/>
      <c r="H108" s="291"/>
      <c r="I108" s="120"/>
      <c r="J108" s="291"/>
      <c r="K108" s="291"/>
      <c r="L108" s="14"/>
      <c r="M108" s="14"/>
      <c r="N108" s="14"/>
      <c r="O108" s="14"/>
      <c r="P108" s="14"/>
      <c r="Q108" s="120" t="s">
        <v>434</v>
      </c>
      <c r="R108" s="102" t="s">
        <v>138</v>
      </c>
      <c r="S108" s="638">
        <f>J92</f>
        <v>0</v>
      </c>
      <c r="T108" s="638"/>
      <c r="U108" s="14" t="s">
        <v>9</v>
      </c>
      <c r="V108" s="197"/>
    </row>
    <row r="109" spans="1:22" ht="18" hidden="1" customHeight="1">
      <c r="A109" s="196"/>
      <c r="B109" s="5"/>
      <c r="C109" s="47" t="s">
        <v>726</v>
      </c>
      <c r="D109" s="14"/>
      <c r="E109" s="14"/>
      <c r="F109" s="18"/>
      <c r="G109" s="18"/>
      <c r="H109" s="291"/>
      <c r="I109" s="120"/>
      <c r="J109" s="291"/>
      <c r="K109" s="291"/>
      <c r="L109" s="14"/>
      <c r="M109" s="14"/>
      <c r="N109" s="14"/>
      <c r="O109" s="14"/>
      <c r="P109" s="14"/>
      <c r="Q109" s="120" t="s">
        <v>727</v>
      </c>
      <c r="R109" s="102" t="s">
        <v>138</v>
      </c>
      <c r="S109" s="638">
        <v>33</v>
      </c>
      <c r="T109" s="638"/>
      <c r="U109" s="14" t="s">
        <v>174</v>
      </c>
      <c r="V109" s="197"/>
    </row>
    <row r="110" spans="1:22" ht="18" hidden="1" customHeight="1">
      <c r="A110" s="196"/>
      <c r="B110" s="5"/>
      <c r="C110" s="47" t="s">
        <v>557</v>
      </c>
      <c r="D110" s="14"/>
      <c r="E110" s="14"/>
      <c r="F110" s="18"/>
      <c r="G110" s="18"/>
      <c r="H110" s="291"/>
      <c r="I110" s="120"/>
      <c r="J110" s="291"/>
      <c r="K110" s="291"/>
      <c r="L110" s="14"/>
      <c r="M110" s="14"/>
      <c r="N110" s="14"/>
      <c r="O110" s="14"/>
      <c r="P110" s="14"/>
      <c r="Q110" s="120" t="s">
        <v>484</v>
      </c>
      <c r="R110" s="102" t="s">
        <v>138</v>
      </c>
      <c r="S110" s="638">
        <f>J95</f>
        <v>500</v>
      </c>
      <c r="T110" s="638"/>
      <c r="U110" s="14" t="s">
        <v>316</v>
      </c>
      <c r="V110" s="197"/>
    </row>
    <row r="111" spans="1:22" ht="18" hidden="1" customHeight="1">
      <c r="A111" s="196"/>
      <c r="B111" s="5"/>
      <c r="C111" s="47" t="s">
        <v>728</v>
      </c>
      <c r="D111" s="14"/>
      <c r="E111" s="14"/>
      <c r="F111" s="18"/>
      <c r="G111" s="18"/>
      <c r="H111" s="291"/>
      <c r="I111" s="120"/>
      <c r="J111" s="291"/>
      <c r="K111" s="291"/>
      <c r="L111" s="14"/>
      <c r="M111" s="14"/>
      <c r="N111" s="14"/>
      <c r="O111" s="14"/>
      <c r="P111" s="14"/>
      <c r="Q111" s="120" t="s">
        <v>431</v>
      </c>
      <c r="R111" s="102" t="s">
        <v>138</v>
      </c>
      <c r="S111" s="641">
        <f>P103</f>
        <v>9.3000000000000007</v>
      </c>
      <c r="T111" s="638"/>
      <c r="U111" s="14" t="s">
        <v>168</v>
      </c>
      <c r="V111" s="197"/>
    </row>
    <row r="112" spans="1:22" ht="18" hidden="1" customHeight="1">
      <c r="A112" s="196"/>
      <c r="B112" s="5"/>
      <c r="C112" s="47" t="s">
        <v>729</v>
      </c>
      <c r="D112" s="14"/>
      <c r="E112" s="14"/>
      <c r="F112" s="18"/>
      <c r="G112" s="18"/>
      <c r="H112" s="291"/>
      <c r="I112" s="120"/>
      <c r="J112" s="291"/>
      <c r="K112" s="291"/>
      <c r="L112" s="14"/>
      <c r="M112" s="14"/>
      <c r="N112" s="14"/>
      <c r="O112" s="14"/>
      <c r="P112" s="14"/>
      <c r="Q112" s="120" t="s">
        <v>533</v>
      </c>
      <c r="R112" s="102" t="s">
        <v>138</v>
      </c>
      <c r="S112" s="641">
        <f>J104</f>
        <v>1.45186744</v>
      </c>
      <c r="T112" s="638"/>
      <c r="U112" s="14" t="s">
        <v>168</v>
      </c>
      <c r="V112" s="197"/>
    </row>
    <row r="113" spans="1:25" ht="18" hidden="1" customHeight="1">
      <c r="A113" s="180"/>
      <c r="B113" s="5"/>
      <c r="C113" s="47" t="s">
        <v>560</v>
      </c>
      <c r="D113" s="14"/>
      <c r="E113" s="14"/>
      <c r="F113" s="14"/>
      <c r="G113" s="14"/>
      <c r="H113" s="291"/>
      <c r="I113" s="120"/>
      <c r="J113" s="291"/>
      <c r="K113" s="291"/>
      <c r="L113" s="14"/>
      <c r="M113" s="14"/>
      <c r="N113" s="14"/>
      <c r="O113" s="14"/>
      <c r="P113" s="14"/>
      <c r="Q113" s="120" t="s">
        <v>725</v>
      </c>
      <c r="R113" s="102" t="s">
        <v>138</v>
      </c>
      <c r="S113" s="638">
        <f>O92</f>
        <v>1</v>
      </c>
      <c r="T113" s="638"/>
      <c r="U113" s="14" t="s">
        <v>9</v>
      </c>
      <c r="V113" s="197"/>
    </row>
    <row r="114" spans="1:25" ht="18" hidden="1" customHeight="1">
      <c r="A114" s="180"/>
      <c r="B114" s="5"/>
      <c r="C114" s="47" t="s">
        <v>730</v>
      </c>
      <c r="D114" s="14"/>
      <c r="E114" s="14"/>
      <c r="F114" s="14"/>
      <c r="G114" s="14"/>
      <c r="H114" s="291"/>
      <c r="I114" s="120"/>
      <c r="J114" s="291"/>
      <c r="K114" s="291"/>
      <c r="L114" s="14"/>
      <c r="M114" s="14"/>
      <c r="N114" s="14"/>
      <c r="O114" s="14"/>
      <c r="P114" s="14"/>
      <c r="Q114" s="120" t="s">
        <v>731</v>
      </c>
      <c r="R114" s="102" t="s">
        <v>138</v>
      </c>
      <c r="S114" s="638">
        <v>50</v>
      </c>
      <c r="T114" s="638"/>
      <c r="U114" s="47"/>
      <c r="V114" s="197"/>
    </row>
    <row r="115" spans="1:25" ht="18" hidden="1" customHeight="1">
      <c r="A115" s="180"/>
      <c r="B115" s="291"/>
      <c r="C115" s="47"/>
      <c r="D115" s="14"/>
      <c r="E115" s="14"/>
      <c r="F115" s="14"/>
      <c r="G115" s="14"/>
      <c r="H115" s="291"/>
      <c r="I115" s="120"/>
      <c r="J115" s="291"/>
      <c r="K115" s="291"/>
      <c r="L115" s="14"/>
      <c r="M115" s="14"/>
      <c r="N115" s="291"/>
      <c r="O115" s="291"/>
      <c r="P115" s="14"/>
      <c r="Q115" s="120"/>
      <c r="R115" s="14"/>
      <c r="S115" s="291"/>
      <c r="T115" s="291"/>
      <c r="U115" s="291"/>
      <c r="V115" s="312"/>
    </row>
    <row r="116" spans="1:25" ht="18" hidden="1" customHeight="1">
      <c r="A116" s="180"/>
      <c r="C116" s="18" t="s">
        <v>732</v>
      </c>
      <c r="D116" s="14"/>
      <c r="E116" s="14"/>
      <c r="F116" s="14"/>
      <c r="G116" s="14"/>
      <c r="H116" s="14"/>
      <c r="I116" s="14"/>
      <c r="J116" s="14"/>
      <c r="K116" s="14"/>
      <c r="L116" s="14"/>
      <c r="M116" s="14"/>
      <c r="N116" s="14"/>
      <c r="O116" s="14"/>
      <c r="P116" s="14"/>
      <c r="Q116" s="14"/>
      <c r="R116" s="14"/>
      <c r="S116" s="14"/>
      <c r="T116" s="14"/>
      <c r="U116" s="14"/>
      <c r="V116" s="197"/>
      <c r="W116" s="291"/>
      <c r="X116" s="291"/>
      <c r="Y116" s="291"/>
    </row>
    <row r="117" spans="1:25" ht="18" hidden="1" customHeight="1">
      <c r="A117" s="180"/>
      <c r="C117" s="28"/>
      <c r="D117" s="47" t="s">
        <v>733</v>
      </c>
      <c r="E117" s="28"/>
      <c r="F117" s="28"/>
      <c r="G117" s="28"/>
      <c r="H117" s="14"/>
      <c r="I117" s="14"/>
      <c r="J117" s="28"/>
      <c r="K117" s="28"/>
      <c r="L117" s="28"/>
      <c r="M117" s="28"/>
      <c r="N117" s="47"/>
      <c r="O117" s="28"/>
      <c r="V117" s="197"/>
      <c r="X117" s="291"/>
      <c r="Y117" s="291"/>
    </row>
    <row r="118" spans="1:25" ht="18" hidden="1" customHeight="1">
      <c r="A118" s="180"/>
      <c r="D118" s="27"/>
      <c r="E118" s="27"/>
      <c r="F118" s="27"/>
      <c r="G118" s="27"/>
      <c r="I118" s="638" t="s">
        <v>734</v>
      </c>
      <c r="J118" s="638" t="s">
        <v>138</v>
      </c>
      <c r="K118" s="881" t="s">
        <v>725</v>
      </c>
      <c r="L118" s="881"/>
      <c r="M118" s="27"/>
      <c r="N118" s="308"/>
      <c r="O118" s="234"/>
      <c r="V118" s="197"/>
      <c r="X118" s="291"/>
      <c r="Y118" s="291"/>
    </row>
    <row r="119" spans="1:25" ht="18" hidden="1" customHeight="1">
      <c r="A119" s="180"/>
      <c r="D119" s="27"/>
      <c r="G119" s="27"/>
      <c r="I119" s="638"/>
      <c r="J119" s="638"/>
      <c r="K119" s="991" t="s">
        <v>735</v>
      </c>
      <c r="L119" s="991"/>
      <c r="V119" s="197"/>
    </row>
    <row r="120" spans="1:25" ht="18" hidden="1" customHeight="1">
      <c r="A120" s="196"/>
      <c r="B120" s="18" t="s">
        <v>736</v>
      </c>
      <c r="C120" s="14"/>
      <c r="V120" s="197"/>
    </row>
    <row r="121" spans="1:25" ht="18" hidden="1" customHeight="1">
      <c r="A121" s="196"/>
      <c r="B121" s="28"/>
      <c r="C121" s="385" t="s">
        <v>737</v>
      </c>
      <c r="D121" s="14"/>
      <c r="E121" s="14"/>
      <c r="F121" s="14"/>
      <c r="G121" s="14"/>
      <c r="H121" s="14"/>
      <c r="I121" s="14"/>
      <c r="J121" s="14"/>
      <c r="K121" s="14"/>
      <c r="L121" s="14"/>
      <c r="M121" s="14"/>
      <c r="N121" s="14"/>
      <c r="O121" s="14"/>
      <c r="P121" s="28"/>
      <c r="Q121" s="120"/>
      <c r="R121" s="14"/>
      <c r="S121" s="14"/>
      <c r="T121" s="14"/>
      <c r="U121" s="14"/>
      <c r="V121" s="197"/>
    </row>
    <row r="122" spans="1:25" ht="18" hidden="1" customHeight="1">
      <c r="A122" s="196"/>
      <c r="B122" s="28"/>
      <c r="C122" s="7" t="s">
        <v>738</v>
      </c>
      <c r="D122" s="14"/>
      <c r="E122" s="14"/>
      <c r="F122" s="14"/>
      <c r="G122" s="14"/>
      <c r="H122" s="14"/>
      <c r="K122" s="14"/>
      <c r="L122" s="28"/>
      <c r="M122" s="47"/>
      <c r="N122" s="14"/>
      <c r="O122" s="14"/>
      <c r="P122" s="14"/>
      <c r="Q122" s="14"/>
      <c r="R122" s="14"/>
      <c r="S122" s="14"/>
      <c r="T122" s="14"/>
      <c r="U122" s="14"/>
      <c r="V122" s="197"/>
    </row>
    <row r="123" spans="1:25" ht="18" hidden="1" customHeight="1">
      <c r="A123" s="196"/>
      <c r="B123" s="14" t="s">
        <v>739</v>
      </c>
      <c r="C123" s="7"/>
      <c r="D123" s="14"/>
      <c r="E123" s="14"/>
      <c r="F123" s="280"/>
      <c r="K123" s="28"/>
      <c r="L123" s="28"/>
      <c r="M123" s="293"/>
      <c r="N123" s="28"/>
      <c r="O123" s="47"/>
      <c r="P123" s="14"/>
      <c r="Q123" s="14"/>
      <c r="R123" s="14"/>
      <c r="S123" s="14"/>
      <c r="T123" s="14"/>
      <c r="U123" s="14"/>
      <c r="V123" s="197"/>
    </row>
    <row r="124" spans="1:25" ht="18" hidden="1" customHeight="1">
      <c r="A124" s="196"/>
      <c r="B124" s="14"/>
      <c r="C124" s="14" t="s">
        <v>740</v>
      </c>
      <c r="D124" s="47"/>
      <c r="E124" s="14"/>
      <c r="F124" s="280"/>
      <c r="K124" s="28"/>
      <c r="L124" s="28"/>
      <c r="M124" s="14"/>
      <c r="N124" s="14"/>
      <c r="O124" s="14"/>
      <c r="P124" s="14"/>
      <c r="Q124" s="14"/>
      <c r="R124" s="14"/>
      <c r="S124" s="14"/>
      <c r="T124" s="14"/>
      <c r="U124" s="14"/>
      <c r="V124" s="197"/>
    </row>
    <row r="125" spans="1:25" ht="18" hidden="1" customHeight="1">
      <c r="A125" s="196"/>
      <c r="B125" s="14"/>
      <c r="C125" s="7" t="s">
        <v>741</v>
      </c>
      <c r="D125" s="14"/>
      <c r="E125" s="14"/>
      <c r="F125" s="14"/>
      <c r="G125" s="14"/>
      <c r="H125" s="14"/>
      <c r="K125" s="28"/>
      <c r="L125" s="28"/>
      <c r="M125" s="47"/>
      <c r="N125" s="14"/>
      <c r="O125" s="14"/>
      <c r="P125" s="14"/>
      <c r="Q125" s="14"/>
      <c r="R125" s="14"/>
      <c r="S125" s="14"/>
      <c r="T125" s="14"/>
      <c r="U125" s="14"/>
      <c r="V125" s="197"/>
    </row>
    <row r="126" spans="1:25" ht="18" hidden="1" customHeight="1">
      <c r="A126" s="196"/>
      <c r="B126" s="14"/>
      <c r="C126" s="7" t="s">
        <v>742</v>
      </c>
      <c r="K126" s="28"/>
      <c r="L126" s="28"/>
      <c r="M126" s="28"/>
      <c r="O126" s="14"/>
      <c r="P126" s="28"/>
      <c r="Q126" s="290"/>
      <c r="R126" s="28"/>
      <c r="S126" s="14"/>
      <c r="T126" s="14"/>
      <c r="U126" s="14"/>
      <c r="V126" s="197"/>
    </row>
    <row r="127" spans="1:25" ht="18" hidden="1" customHeight="1">
      <c r="A127" s="465"/>
      <c r="B127" s="219"/>
      <c r="C127" s="219"/>
      <c r="D127" s="219"/>
      <c r="E127" s="219"/>
      <c r="F127" s="219"/>
      <c r="G127" s="219"/>
      <c r="H127" s="219"/>
      <c r="I127" s="219"/>
      <c r="J127" s="219"/>
      <c r="K127" s="271" t="s">
        <v>140</v>
      </c>
      <c r="L127" s="271" t="s">
        <v>743</v>
      </c>
      <c r="M127" s="202"/>
      <c r="N127" s="271"/>
      <c r="O127" s="271"/>
      <c r="P127" s="241"/>
      <c r="Q127" s="486"/>
      <c r="R127" s="241"/>
      <c r="S127" s="271"/>
      <c r="T127" s="271"/>
      <c r="U127" s="271"/>
      <c r="V127" s="466"/>
    </row>
    <row r="128" spans="1:25" s="14" customFormat="1" ht="18" hidden="1" customHeight="1">
      <c r="A128" s="206"/>
      <c r="B128" s="207"/>
      <c r="C128" s="207"/>
      <c r="D128" s="207"/>
      <c r="E128" s="207"/>
      <c r="F128" s="207"/>
      <c r="G128" s="207"/>
      <c r="H128" s="207"/>
      <c r="I128" s="207"/>
      <c r="J128" s="207"/>
      <c r="K128" s="207"/>
      <c r="L128" s="207"/>
      <c r="M128" s="207"/>
      <c r="N128" s="207"/>
      <c r="O128" s="207"/>
      <c r="P128" s="207"/>
      <c r="Q128" s="236"/>
      <c r="R128" s="194"/>
      <c r="S128" s="237"/>
      <c r="T128" s="207"/>
      <c r="U128" s="207"/>
      <c r="V128" s="140"/>
    </row>
    <row r="129" spans="1:22" ht="18" hidden="1" customHeight="1">
      <c r="A129" s="238"/>
      <c r="B129" s="285"/>
      <c r="C129" s="285"/>
      <c r="D129" s="239"/>
      <c r="E129" s="239"/>
      <c r="F129" s="239"/>
      <c r="G129" s="239"/>
      <c r="H129" s="239"/>
      <c r="I129" s="239"/>
      <c r="J129" s="239"/>
      <c r="K129" s="323"/>
      <c r="L129" s="323"/>
      <c r="M129" s="239"/>
      <c r="N129" s="239"/>
      <c r="O129" s="323"/>
      <c r="P129" s="323"/>
      <c r="Q129" s="145"/>
      <c r="R129" s="239"/>
      <c r="S129" s="239"/>
      <c r="T129" s="285"/>
      <c r="U129" s="285"/>
      <c r="V129" s="240"/>
    </row>
    <row r="130" spans="1:22" ht="18" hidden="1" customHeight="1">
      <c r="A130" s="96"/>
      <c r="B130" s="7" t="s">
        <v>744</v>
      </c>
      <c r="C130" s="7"/>
      <c r="D130" s="14"/>
      <c r="E130" s="7"/>
      <c r="F130" s="7"/>
      <c r="L130" s="27"/>
      <c r="O130" s="27"/>
      <c r="P130" s="27"/>
      <c r="Q130" s="28"/>
      <c r="T130" s="14"/>
      <c r="U130" s="14"/>
      <c r="V130" s="197"/>
    </row>
    <row r="131" spans="1:22" ht="18" hidden="1" customHeight="1">
      <c r="A131" s="96"/>
      <c r="B131" s="14"/>
      <c r="C131" s="7"/>
      <c r="D131" s="7"/>
      <c r="E131" s="14"/>
      <c r="F131" s="7"/>
      <c r="L131" s="27"/>
      <c r="M131" s="14"/>
      <c r="O131" s="14"/>
      <c r="P131" s="14"/>
      <c r="Q131" s="14"/>
      <c r="R131" s="14"/>
      <c r="S131" s="14"/>
      <c r="T131" s="14"/>
      <c r="U131" s="14"/>
      <c r="V131" s="197"/>
    </row>
    <row r="132" spans="1:22" ht="18" hidden="1" customHeight="1">
      <c r="A132" s="96"/>
      <c r="B132" s="14"/>
      <c r="C132" s="120" t="s">
        <v>745</v>
      </c>
      <c r="D132" s="28" t="s">
        <v>138</v>
      </c>
      <c r="E132" s="861">
        <f>S107</f>
        <v>31500</v>
      </c>
      <c r="F132" s="861"/>
      <c r="G132" s="14"/>
      <c r="H132" s="14"/>
      <c r="I132" s="102"/>
      <c r="J132" s="47"/>
      <c r="K132" s="47"/>
      <c r="L132" s="14"/>
      <c r="M132" s="14"/>
      <c r="N132" s="14"/>
      <c r="O132" s="14"/>
      <c r="P132" s="14"/>
      <c r="Q132" s="14"/>
      <c r="R132" s="14"/>
      <c r="S132" s="14"/>
      <c r="T132" s="14"/>
      <c r="U132" s="14"/>
      <c r="V132" s="197"/>
    </row>
    <row r="133" spans="1:22" ht="18" hidden="1" customHeight="1">
      <c r="A133" s="96"/>
      <c r="B133" s="14"/>
      <c r="C133" s="120"/>
      <c r="D133" s="28"/>
      <c r="E133" s="860" t="str">
        <f>"5 x "&amp;S108&amp;""</f>
        <v>5 x 0</v>
      </c>
      <c r="F133" s="860"/>
      <c r="G133" s="28"/>
      <c r="H133" s="269"/>
      <c r="K133" s="28"/>
      <c r="L133" s="230"/>
      <c r="M133" s="269"/>
      <c r="O133" s="14"/>
      <c r="P133" s="14"/>
      <c r="Q133" s="14"/>
      <c r="R133" s="14"/>
      <c r="S133" s="14"/>
      <c r="T133" s="14"/>
      <c r="U133" s="14"/>
      <c r="V133" s="197"/>
    </row>
    <row r="134" spans="1:22" ht="18" hidden="1" customHeight="1">
      <c r="A134" s="96"/>
      <c r="J134" s="14"/>
      <c r="K134" s="269"/>
      <c r="M134" s="14"/>
      <c r="N134" s="14"/>
      <c r="O134" s="14"/>
      <c r="P134" s="14"/>
      <c r="Q134" s="14"/>
      <c r="R134" s="14"/>
      <c r="S134" s="14"/>
      <c r="T134" s="14"/>
      <c r="U134" s="14"/>
      <c r="V134" s="197"/>
    </row>
    <row r="135" spans="1:22" ht="18" hidden="1" customHeight="1">
      <c r="A135" s="96"/>
      <c r="C135" s="471" t="s">
        <v>745</v>
      </c>
      <c r="D135" s="194" t="s">
        <v>138</v>
      </c>
      <c r="E135" s="990" t="e">
        <f>S107/5/S108</f>
        <v>#DIV/0!</v>
      </c>
      <c r="F135" s="648"/>
      <c r="G135" s="27"/>
      <c r="H135" s="27"/>
      <c r="I135" s="27"/>
      <c r="J135" s="120"/>
      <c r="K135" s="28"/>
      <c r="L135" s="120"/>
      <c r="M135" s="28"/>
      <c r="N135" s="120"/>
      <c r="O135" s="28"/>
      <c r="P135" s="120"/>
      <c r="Q135" s="308"/>
      <c r="V135" s="197"/>
    </row>
    <row r="136" spans="1:22" ht="18" hidden="1" customHeight="1">
      <c r="A136" s="96"/>
      <c r="C136" s="120"/>
      <c r="D136" s="28"/>
      <c r="E136" s="230"/>
      <c r="F136" s="230"/>
      <c r="G136" s="27"/>
      <c r="H136" s="27"/>
      <c r="I136" s="27"/>
      <c r="J136" s="120"/>
      <c r="K136" s="28"/>
      <c r="L136" s="120"/>
      <c r="M136" s="28"/>
      <c r="N136" s="120"/>
      <c r="O136" s="28"/>
      <c r="P136" s="120"/>
      <c r="Q136" s="308"/>
      <c r="V136" s="197"/>
    </row>
    <row r="137" spans="1:22" ht="18" hidden="1" customHeight="1">
      <c r="A137" s="96"/>
      <c r="B137" s="14" t="s">
        <v>746</v>
      </c>
      <c r="C137" s="14"/>
      <c r="D137" s="14"/>
      <c r="E137" s="7"/>
      <c r="F137" s="102"/>
      <c r="G137" s="7"/>
      <c r="H137" s="7"/>
      <c r="I137" s="251"/>
      <c r="J137" s="120"/>
      <c r="K137" s="28"/>
      <c r="L137" s="120"/>
      <c r="M137" s="28"/>
      <c r="N137" s="120"/>
      <c r="O137" s="28"/>
      <c r="P137" s="120"/>
      <c r="Q137" s="308"/>
      <c r="V137" s="197"/>
    </row>
    <row r="138" spans="1:22" ht="18" hidden="1" customHeight="1">
      <c r="A138" s="96"/>
      <c r="C138" s="14"/>
      <c r="D138" s="14"/>
      <c r="E138" s="638" t="s">
        <v>747</v>
      </c>
      <c r="F138" s="638">
        <v>1</v>
      </c>
      <c r="G138" s="638"/>
      <c r="H138" s="638" t="s">
        <v>323</v>
      </c>
      <c r="I138" s="472" t="s">
        <v>323</v>
      </c>
      <c r="J138" s="120"/>
      <c r="K138" s="28"/>
      <c r="L138" s="120"/>
      <c r="M138" s="28"/>
      <c r="N138" s="120"/>
      <c r="O138" s="28"/>
      <c r="P138" s="120"/>
      <c r="Q138" s="308"/>
      <c r="V138" s="197"/>
    </row>
    <row r="139" spans="1:22" ht="18" hidden="1" customHeight="1">
      <c r="A139" s="96"/>
      <c r="C139" s="14"/>
      <c r="D139" s="14"/>
      <c r="E139" s="985"/>
      <c r="F139" s="285"/>
      <c r="G139" s="286" t="s">
        <v>748</v>
      </c>
      <c r="H139" s="638"/>
      <c r="I139" s="14" t="s">
        <v>152</v>
      </c>
      <c r="J139" s="120"/>
      <c r="K139" s="28"/>
      <c r="L139" s="120"/>
      <c r="M139" s="28"/>
      <c r="N139" s="120"/>
      <c r="O139" s="28"/>
      <c r="P139" s="120"/>
      <c r="Q139" s="308"/>
      <c r="V139" s="197"/>
    </row>
    <row r="140" spans="1:22" ht="18" hidden="1" customHeight="1">
      <c r="A140" s="96"/>
      <c r="C140" s="120"/>
      <c r="D140" s="28"/>
      <c r="E140" s="230"/>
      <c r="F140" s="230"/>
      <c r="G140" s="27"/>
      <c r="H140" s="27"/>
      <c r="I140" s="27"/>
      <c r="J140" s="120"/>
      <c r="K140" s="28"/>
      <c r="L140" s="120"/>
      <c r="M140" s="28"/>
      <c r="N140" s="120"/>
      <c r="O140" s="28"/>
      <c r="P140" s="120"/>
      <c r="Q140" s="308"/>
      <c r="V140" s="197"/>
    </row>
    <row r="141" spans="1:22" ht="18" hidden="1" customHeight="1">
      <c r="A141" s="96"/>
      <c r="B141" s="14" t="s">
        <v>764</v>
      </c>
      <c r="J141" s="120"/>
      <c r="K141" s="28"/>
      <c r="L141" s="120"/>
      <c r="M141" s="28"/>
      <c r="N141" s="121" t="s">
        <v>138</v>
      </c>
      <c r="O141" s="47" t="e">
        <f>#REF!</f>
        <v>#REF!</v>
      </c>
      <c r="P141" s="120"/>
      <c r="Q141" s="308"/>
      <c r="V141" s="197"/>
    </row>
    <row r="142" spans="1:22" ht="18" hidden="1" customHeight="1">
      <c r="A142" s="196"/>
      <c r="C142" s="120"/>
      <c r="D142" s="28"/>
      <c r="E142" s="230"/>
      <c r="F142" s="230"/>
      <c r="G142" s="27"/>
      <c r="H142" s="27"/>
      <c r="I142" s="27"/>
      <c r="J142" s="120"/>
      <c r="K142" s="28"/>
      <c r="L142" s="120"/>
      <c r="M142" s="28"/>
      <c r="N142" s="120"/>
      <c r="O142" s="28"/>
      <c r="P142" s="120"/>
      <c r="Q142" s="308"/>
      <c r="V142" s="197"/>
    </row>
    <row r="143" spans="1:22" ht="18" hidden="1" customHeight="1">
      <c r="A143" s="96"/>
      <c r="C143" s="120"/>
      <c r="F143" s="661">
        <v>1</v>
      </c>
      <c r="G143" s="661"/>
      <c r="H143" s="661"/>
      <c r="I143" s="27"/>
      <c r="J143" s="638" t="s">
        <v>326</v>
      </c>
      <c r="K143" s="987" t="e">
        <f>O141</f>
        <v>#REF!</v>
      </c>
      <c r="L143" s="120"/>
      <c r="M143" s="28"/>
      <c r="N143" s="120"/>
      <c r="O143" s="28"/>
      <c r="P143" s="120"/>
      <c r="Q143" s="308"/>
      <c r="V143" s="197"/>
    </row>
    <row r="144" spans="1:22" ht="18" hidden="1" customHeight="1">
      <c r="A144" s="196"/>
      <c r="C144" s="120"/>
      <c r="D144" s="120" t="s">
        <v>749</v>
      </c>
      <c r="E144" s="102" t="s">
        <v>138</v>
      </c>
      <c r="F144" s="14" t="s">
        <v>750</v>
      </c>
      <c r="I144" s="27"/>
      <c r="J144" s="639"/>
      <c r="K144" s="986"/>
      <c r="L144" s="120"/>
      <c r="M144" s="28"/>
      <c r="N144" s="120"/>
      <c r="O144" s="28"/>
      <c r="P144" s="120"/>
      <c r="Q144" s="308"/>
      <c r="V144" s="197"/>
    </row>
    <row r="145" spans="1:22" ht="18" hidden="1" customHeight="1">
      <c r="A145" s="196"/>
      <c r="C145" s="120"/>
      <c r="D145" s="28"/>
      <c r="E145" s="230" t="s">
        <v>138</v>
      </c>
      <c r="F145" s="988" t="e">
        <f>1*O141/(2*3.14*50)</f>
        <v>#REF!</v>
      </c>
      <c r="G145" s="988"/>
      <c r="H145" s="28" t="s">
        <v>751</v>
      </c>
      <c r="I145" s="27"/>
      <c r="J145" s="120"/>
      <c r="K145" s="28"/>
      <c r="L145" s="120"/>
      <c r="M145" s="28"/>
      <c r="N145" s="120"/>
      <c r="O145" s="28"/>
      <c r="P145" s="120"/>
      <c r="Q145" s="308"/>
      <c r="V145" s="197"/>
    </row>
    <row r="146" spans="1:22" ht="18" hidden="1" customHeight="1">
      <c r="A146" s="196"/>
      <c r="C146" s="120"/>
      <c r="D146" s="120" t="s">
        <v>749</v>
      </c>
      <c r="E146" s="230" t="s">
        <v>138</v>
      </c>
      <c r="F146" s="989" t="e">
        <f>F145*1000</f>
        <v>#REF!</v>
      </c>
      <c r="G146" s="989"/>
      <c r="H146" s="28" t="s">
        <v>354</v>
      </c>
      <c r="I146" s="27"/>
      <c r="J146" s="120"/>
      <c r="K146" s="28"/>
      <c r="L146" s="120"/>
      <c r="M146" s="28"/>
      <c r="N146" s="120"/>
      <c r="O146" s="28"/>
      <c r="P146" s="120"/>
      <c r="Q146" s="308"/>
      <c r="V146" s="197"/>
    </row>
    <row r="147" spans="1:22" ht="18" hidden="1" customHeight="1">
      <c r="A147" s="196"/>
      <c r="B147" s="14" t="s">
        <v>752</v>
      </c>
      <c r="E147" s="28" t="s">
        <v>138</v>
      </c>
      <c r="F147" s="27">
        <v>10</v>
      </c>
      <c r="G147" s="27"/>
      <c r="H147" s="257"/>
      <c r="I147" s="257"/>
      <c r="J147" s="473"/>
      <c r="K147" s="257"/>
      <c r="L147" s="473"/>
      <c r="M147" s="257"/>
      <c r="N147" s="473"/>
      <c r="O147" s="257"/>
      <c r="P147" s="473"/>
      <c r="Q147" s="474"/>
      <c r="V147" s="197"/>
    </row>
    <row r="148" spans="1:22" ht="18" hidden="1" customHeight="1">
      <c r="A148" s="196"/>
      <c r="G148" s="27"/>
      <c r="H148" s="257"/>
      <c r="I148" s="257"/>
      <c r="J148" s="473"/>
      <c r="K148" s="257"/>
      <c r="L148" s="473"/>
      <c r="M148" s="257"/>
      <c r="N148" s="473"/>
      <c r="O148" s="257"/>
      <c r="P148" s="473"/>
      <c r="Q148" s="474"/>
      <c r="V148" s="197"/>
    </row>
    <row r="149" spans="1:22" ht="18" hidden="1" customHeight="1">
      <c r="A149" s="196"/>
      <c r="B149" s="7" t="s">
        <v>753</v>
      </c>
      <c r="F149" s="7"/>
      <c r="G149" s="7"/>
      <c r="H149" s="216"/>
      <c r="I149" s="216"/>
      <c r="V149" s="197"/>
    </row>
    <row r="150" spans="1:22" ht="18" hidden="1" customHeight="1">
      <c r="A150" s="196"/>
      <c r="B150" s="7"/>
      <c r="E150" s="14" t="s">
        <v>765</v>
      </c>
      <c r="F150" s="7"/>
      <c r="G150" s="7"/>
      <c r="V150" s="197"/>
    </row>
    <row r="151" spans="1:22" ht="18" hidden="1" customHeight="1">
      <c r="A151" s="196"/>
      <c r="B151" s="14" t="s">
        <v>755</v>
      </c>
      <c r="C151" s="14"/>
      <c r="D151" s="14"/>
      <c r="E151" s="14"/>
      <c r="F151" s="14"/>
      <c r="G151" s="120"/>
      <c r="H151" s="120"/>
      <c r="V151" s="197"/>
    </row>
    <row r="152" spans="1:22" ht="18" hidden="1" customHeight="1">
      <c r="A152" s="196"/>
      <c r="B152" s="14"/>
      <c r="C152" s="120" t="s">
        <v>756</v>
      </c>
      <c r="D152" s="28" t="s">
        <v>138</v>
      </c>
      <c r="E152" s="989" t="e">
        <f>MAX(E135,F147)</f>
        <v>#DIV/0!</v>
      </c>
      <c r="F152" s="989"/>
      <c r="G152" s="47" t="s">
        <v>757</v>
      </c>
      <c r="H152" s="120"/>
      <c r="V152" s="197"/>
    </row>
    <row r="153" spans="1:22" ht="18" hidden="1" customHeight="1">
      <c r="A153" s="196"/>
      <c r="B153" s="7"/>
      <c r="E153" s="14"/>
      <c r="F153" s="7"/>
      <c r="G153" s="7"/>
      <c r="V153" s="197"/>
    </row>
    <row r="154" spans="1:22" ht="18" hidden="1" customHeight="1">
      <c r="A154" s="196"/>
      <c r="B154" s="47" t="s">
        <v>758</v>
      </c>
      <c r="E154" s="14"/>
      <c r="F154" s="7"/>
      <c r="G154" s="7"/>
      <c r="V154" s="197"/>
    </row>
    <row r="155" spans="1:22" ht="18" hidden="1" customHeight="1">
      <c r="A155" s="196"/>
      <c r="B155" s="47" t="s">
        <v>759</v>
      </c>
      <c r="E155" s="14"/>
      <c r="F155" s="7"/>
      <c r="G155" s="7"/>
      <c r="V155" s="197"/>
    </row>
    <row r="156" spans="1:22" ht="18" hidden="1" customHeight="1" thickBot="1">
      <c r="A156" s="196"/>
      <c r="B156" s="102" t="s">
        <v>138</v>
      </c>
      <c r="C156" s="120" t="e">
        <f>E152</f>
        <v>#DIV/0!</v>
      </c>
      <c r="D156" s="28" t="s">
        <v>326</v>
      </c>
      <c r="E156" s="28" t="s">
        <v>430</v>
      </c>
      <c r="F156" s="641">
        <f>S111</f>
        <v>9.3000000000000007</v>
      </c>
      <c r="G156" s="641"/>
      <c r="H156" s="102" t="s">
        <v>358</v>
      </c>
      <c r="I156" s="230">
        <f>S112</f>
        <v>1.45186744</v>
      </c>
      <c r="J156" s="252" t="s">
        <v>358</v>
      </c>
      <c r="K156" s="293">
        <f>J100</f>
        <v>0.01</v>
      </c>
      <c r="L156" s="14" t="s">
        <v>361</v>
      </c>
      <c r="M156" s="14" t="s">
        <v>326</v>
      </c>
      <c r="N156" s="28">
        <v>1</v>
      </c>
      <c r="V156" s="197"/>
    </row>
    <row r="157" spans="1:22" ht="18" hidden="1" customHeight="1" thickBot="1">
      <c r="A157" s="196"/>
      <c r="B157" s="475" t="s">
        <v>539</v>
      </c>
      <c r="C157" s="476" t="s">
        <v>138</v>
      </c>
      <c r="D157" s="477" t="e">
        <f>C156*(F156+I156+K156)*N156</f>
        <v>#DIV/0!</v>
      </c>
      <c r="E157" s="14" t="s">
        <v>316</v>
      </c>
      <c r="F157" s="7"/>
      <c r="G157" s="7"/>
      <c r="V157" s="197"/>
    </row>
    <row r="158" spans="1:22" ht="18" hidden="1" customHeight="1">
      <c r="A158" s="196"/>
      <c r="B158" s="7"/>
      <c r="E158" s="14"/>
      <c r="F158" s="7"/>
      <c r="G158" s="7"/>
      <c r="V158" s="197"/>
    </row>
    <row r="159" spans="1:22" ht="18" hidden="1" customHeight="1">
      <c r="A159" s="196"/>
      <c r="B159" s="47" t="s">
        <v>760</v>
      </c>
      <c r="E159" s="14"/>
      <c r="F159" s="7"/>
      <c r="G159" s="7"/>
      <c r="J159" s="14" t="s">
        <v>761</v>
      </c>
      <c r="L159" s="28" t="s">
        <v>487</v>
      </c>
      <c r="N159" s="14" t="s">
        <v>762</v>
      </c>
      <c r="V159" s="197"/>
    </row>
    <row r="160" spans="1:22" ht="18" hidden="1" customHeight="1">
      <c r="A160" s="196"/>
      <c r="B160" s="7"/>
      <c r="E160" s="14"/>
      <c r="F160" s="7"/>
      <c r="G160" s="7"/>
      <c r="L160" s="28" t="s">
        <v>138</v>
      </c>
      <c r="N160" s="986" t="e">
        <f>0.8*D157</f>
        <v>#DIV/0!</v>
      </c>
      <c r="O160" s="986"/>
      <c r="V160" s="197"/>
    </row>
    <row r="161" spans="1:22" ht="18" hidden="1" customHeight="1">
      <c r="A161" s="196"/>
      <c r="B161" s="7"/>
      <c r="E161" s="14"/>
      <c r="F161" s="14" t="s">
        <v>763</v>
      </c>
      <c r="G161" s="7"/>
      <c r="L161" s="28" t="s">
        <v>138</v>
      </c>
      <c r="N161" s="960" t="e">
        <f>N160*1.2</f>
        <v>#DIV/0!</v>
      </c>
      <c r="O161" s="960"/>
      <c r="V161" s="197"/>
    </row>
    <row r="162" spans="1:22" ht="18" hidden="1" customHeight="1">
      <c r="A162" s="196"/>
      <c r="B162" s="7"/>
      <c r="E162" s="14"/>
      <c r="F162" s="7"/>
      <c r="G162" s="7"/>
      <c r="K162" s="211" t="s">
        <v>486</v>
      </c>
      <c r="L162" s="28" t="e">
        <f>IF(J163&gt;M163,"&gt;","&lt;")</f>
        <v>#DIV/0!</v>
      </c>
      <c r="M162" s="269" t="s">
        <v>488</v>
      </c>
      <c r="O162" s="18"/>
      <c r="P162" s="280"/>
      <c r="V162" s="197"/>
    </row>
    <row r="163" spans="1:22" ht="18" hidden="1" customHeight="1">
      <c r="A163" s="196"/>
      <c r="D163" s="223"/>
      <c r="E163" s="223"/>
      <c r="F163" s="27"/>
      <c r="G163" s="223"/>
      <c r="J163" s="637">
        <f>S110</f>
        <v>500</v>
      </c>
      <c r="K163" s="637"/>
      <c r="L163" s="27" t="e">
        <f>IF(J163&gt;=M163,"&gt;","&lt;")</f>
        <v>#DIV/0!</v>
      </c>
      <c r="M163" s="637" t="e">
        <f>N161</f>
        <v>#DIV/0!</v>
      </c>
      <c r="N163" s="637"/>
      <c r="P163" s="280"/>
      <c r="V163" s="197"/>
    </row>
    <row r="164" spans="1:22" ht="18" hidden="1" customHeight="1">
      <c r="A164" s="196"/>
      <c r="K164" s="256" t="s">
        <v>489</v>
      </c>
      <c r="M164" s="18" t="e">
        <f>IF(J163&gt;M163,"Suitable Dimensions","Under Dimensioned")</f>
        <v>#DIV/0!</v>
      </c>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465"/>
      <c r="B168" s="219"/>
      <c r="C168" s="219"/>
      <c r="D168" s="219"/>
      <c r="E168" s="219"/>
      <c r="F168" s="219"/>
      <c r="G168" s="219"/>
      <c r="H168" s="219"/>
      <c r="I168" s="219"/>
      <c r="J168" s="219"/>
      <c r="K168" s="219"/>
      <c r="L168" s="219"/>
      <c r="M168" s="219"/>
      <c r="N168" s="219"/>
      <c r="O168" s="219"/>
      <c r="P168" s="219"/>
      <c r="Q168" s="219"/>
      <c r="R168" s="219"/>
      <c r="S168" s="219"/>
      <c r="T168" s="219"/>
      <c r="U168" s="219"/>
      <c r="V168" s="466"/>
    </row>
    <row r="169" spans="1:22" s="14" customFormat="1" ht="18" hidden="1" customHeight="1">
      <c r="A169" s="206"/>
      <c r="B169" s="207"/>
      <c r="C169" s="207"/>
      <c r="D169" s="207"/>
      <c r="E169" s="207"/>
      <c r="F169" s="207"/>
      <c r="G169" s="207"/>
      <c r="H169" s="207"/>
      <c r="I169" s="207"/>
      <c r="J169" s="207"/>
      <c r="K169" s="207"/>
      <c r="L169" s="207"/>
      <c r="M169" s="207"/>
      <c r="N169" s="207"/>
      <c r="O169" s="207"/>
      <c r="P169" s="207"/>
      <c r="Q169" s="236"/>
      <c r="R169" s="194"/>
      <c r="S169" s="237"/>
      <c r="T169" s="207"/>
      <c r="U169" s="207"/>
      <c r="V169" s="140"/>
    </row>
    <row r="170" spans="1:22" ht="18" hidden="1" customHeight="1">
      <c r="A170" s="238"/>
      <c r="B170" s="239"/>
      <c r="C170" s="239"/>
      <c r="D170" s="239"/>
      <c r="E170" s="239"/>
      <c r="F170" s="239"/>
      <c r="G170" s="239"/>
      <c r="H170" s="239"/>
      <c r="I170" s="239"/>
      <c r="J170" s="239"/>
      <c r="K170" s="239"/>
      <c r="L170" s="239"/>
      <c r="M170" s="239"/>
      <c r="N170" s="239"/>
      <c r="O170" s="239"/>
      <c r="P170" s="239"/>
      <c r="Q170" s="239"/>
      <c r="R170" s="239"/>
      <c r="S170" s="239"/>
      <c r="T170" s="239"/>
      <c r="U170" s="239"/>
      <c r="V170" s="240"/>
    </row>
    <row r="171" spans="1:22" ht="18" hidden="1" customHeight="1">
      <c r="A171" s="196"/>
      <c r="B171" s="650" t="str">
        <f>B89</f>
        <v>T1</v>
      </c>
      <c r="C171" s="651"/>
      <c r="D171" s="650" t="str">
        <f>D89</f>
        <v>Core4</v>
      </c>
      <c r="E171" s="651"/>
      <c r="F171" s="468"/>
      <c r="H171" s="639" t="str">
        <f>H89</f>
        <v>(Low Imp. Busbar)</v>
      </c>
      <c r="I171" s="639"/>
      <c r="J171" s="639"/>
      <c r="K171" s="639"/>
      <c r="L171" s="639"/>
      <c r="M171" s="639"/>
      <c r="P171" s="198"/>
      <c r="S171" s="199" t="s">
        <v>398</v>
      </c>
      <c r="T171" s="650" t="str">
        <f>T89</f>
        <v>REB500</v>
      </c>
      <c r="U171" s="651"/>
      <c r="V171" s="197"/>
    </row>
    <row r="172" spans="1:22" ht="18" hidden="1" customHeight="1">
      <c r="A172" s="469"/>
      <c r="F172" s="468"/>
      <c r="T172" s="650">
        <f>T90</f>
        <v>0</v>
      </c>
      <c r="U172" s="651"/>
      <c r="V172" s="197"/>
    </row>
    <row r="173" spans="1:22" ht="18" hidden="1" customHeight="1">
      <c r="A173" s="196"/>
      <c r="H173" s="661" t="s">
        <v>401</v>
      </c>
      <c r="I173" s="661"/>
      <c r="J173" s="661" t="s">
        <v>402</v>
      </c>
      <c r="K173" s="661"/>
      <c r="L173" s="662" t="s">
        <v>403</v>
      </c>
      <c r="M173" s="662"/>
      <c r="T173" s="650">
        <f>T91</f>
        <v>0</v>
      </c>
      <c r="U173" s="651"/>
      <c r="V173" s="197"/>
    </row>
    <row r="174" spans="1:22" ht="18" hidden="1" customHeight="1">
      <c r="A174" s="196"/>
      <c r="B174" s="47" t="s">
        <v>404</v>
      </c>
      <c r="H174" s="650">
        <f>H92</f>
        <v>2500</v>
      </c>
      <c r="I174" s="651"/>
      <c r="J174" s="650">
        <f>J92</f>
        <v>0</v>
      </c>
      <c r="K174" s="651"/>
      <c r="L174" s="652" t="str">
        <f>L92</f>
        <v>-</v>
      </c>
      <c r="M174" s="653"/>
      <c r="N174" s="203" t="s">
        <v>353</v>
      </c>
      <c r="O174" s="268">
        <f>O92</f>
        <v>1</v>
      </c>
      <c r="P174" s="27" t="s">
        <v>9</v>
      </c>
      <c r="R174" s="267"/>
      <c r="S174" s="267"/>
      <c r="V174" s="197"/>
    </row>
    <row r="175" spans="1:22" ht="18" hidden="1" customHeight="1">
      <c r="A175" s="196"/>
      <c r="B175" s="47" t="s">
        <v>405</v>
      </c>
      <c r="H175" s="14"/>
      <c r="K175" s="14"/>
      <c r="L175" s="650" t="str">
        <f>J93</f>
        <v>PX-B</v>
      </c>
      <c r="M175" s="651"/>
      <c r="N175" s="14"/>
      <c r="V175" s="197"/>
    </row>
    <row r="176" spans="1:22" ht="18" hidden="1" customHeight="1">
      <c r="A176" s="196"/>
      <c r="B176" s="47" t="s">
        <v>407</v>
      </c>
      <c r="K176" s="120" t="s">
        <v>508</v>
      </c>
      <c r="L176" s="656" t="s">
        <v>7</v>
      </c>
      <c r="M176" s="657"/>
      <c r="N176" s="204" t="s">
        <v>344</v>
      </c>
      <c r="V176" s="197"/>
    </row>
    <row r="177" spans="1:23" ht="18" hidden="1" customHeight="1">
      <c r="A177" s="196"/>
      <c r="B177" s="47" t="s">
        <v>409</v>
      </c>
      <c r="K177" s="120" t="s">
        <v>509</v>
      </c>
      <c r="L177" s="656" t="s">
        <v>7</v>
      </c>
      <c r="M177" s="657"/>
      <c r="N177" s="14" t="s">
        <v>316</v>
      </c>
      <c r="V177" s="197"/>
      <c r="W177" s="30" t="e">
        <f>G237</f>
        <v>#VALUE!</v>
      </c>
    </row>
    <row r="178" spans="1:23" ht="18" hidden="1" customHeight="1">
      <c r="A178" s="196"/>
      <c r="B178" s="14" t="s">
        <v>412</v>
      </c>
      <c r="K178" s="120" t="s">
        <v>413</v>
      </c>
      <c r="L178" s="656" t="s">
        <v>7</v>
      </c>
      <c r="M178" s="657"/>
      <c r="N178" s="14" t="s">
        <v>414</v>
      </c>
      <c r="V178" s="197"/>
    </row>
    <row r="179" spans="1:23" ht="18" hidden="1" customHeight="1">
      <c r="A179" s="196"/>
      <c r="V179" s="197"/>
    </row>
    <row r="180" spans="1:23" ht="18" hidden="1" customHeight="1">
      <c r="A180" s="205" t="s">
        <v>415</v>
      </c>
      <c r="V180" s="197"/>
    </row>
    <row r="181" spans="1:23" ht="18" hidden="1" customHeight="1">
      <c r="A181" s="196"/>
      <c r="V181" s="197"/>
    </row>
    <row r="182" spans="1:23" ht="18" hidden="1" customHeight="1">
      <c r="A182" s="196"/>
      <c r="B182" s="141" t="s">
        <v>416</v>
      </c>
      <c r="C182" s="285"/>
      <c r="D182" s="146" t="str">
        <f>T171</f>
        <v>REB500</v>
      </c>
      <c r="E182" s="239"/>
      <c r="F182" s="239"/>
      <c r="G182" s="239"/>
      <c r="H182" s="145"/>
      <c r="I182" s="272" t="s">
        <v>138</v>
      </c>
      <c r="J182" s="648">
        <f>J100</f>
        <v>0.01</v>
      </c>
      <c r="K182" s="649"/>
      <c r="L182" s="3" t="s">
        <v>168</v>
      </c>
      <c r="N182" s="209" t="s">
        <v>521</v>
      </c>
      <c r="V182" s="197"/>
    </row>
    <row r="183" spans="1:23" ht="18" hidden="1" customHeight="1">
      <c r="A183" s="196"/>
      <c r="B183" s="96" t="s">
        <v>416</v>
      </c>
      <c r="C183" s="14"/>
      <c r="D183" s="47">
        <f>T172</f>
        <v>0</v>
      </c>
      <c r="H183" s="28"/>
      <c r="I183" s="101" t="s">
        <v>138</v>
      </c>
      <c r="J183" s="648">
        <f>J101</f>
        <v>0</v>
      </c>
      <c r="K183" s="649"/>
      <c r="L183" s="3" t="s">
        <v>168</v>
      </c>
      <c r="N183" s="120" t="s">
        <v>502</v>
      </c>
      <c r="O183" s="27" t="s">
        <v>138</v>
      </c>
      <c r="P183" s="27" t="s">
        <v>522</v>
      </c>
      <c r="Q183" s="27" t="s">
        <v>326</v>
      </c>
      <c r="R183" s="27" t="s">
        <v>522</v>
      </c>
      <c r="S183" s="27" t="s">
        <v>326</v>
      </c>
      <c r="T183" s="27" t="s">
        <v>431</v>
      </c>
      <c r="V183" s="197"/>
    </row>
    <row r="184" spans="1:23" ht="18" hidden="1" customHeight="1">
      <c r="A184" s="196"/>
      <c r="B184" s="96" t="s">
        <v>416</v>
      </c>
      <c r="C184" s="14"/>
      <c r="D184" s="47">
        <f>T173</f>
        <v>0</v>
      </c>
      <c r="H184" s="28"/>
      <c r="I184" s="101" t="s">
        <v>138</v>
      </c>
      <c r="J184" s="648">
        <f>J102</f>
        <v>0</v>
      </c>
      <c r="K184" s="649"/>
      <c r="L184" s="3" t="s">
        <v>168</v>
      </c>
      <c r="N184" s="27"/>
      <c r="O184" s="27" t="s">
        <v>138</v>
      </c>
      <c r="P184" s="27">
        <f>O174</f>
        <v>1</v>
      </c>
      <c r="Q184" s="27" t="s">
        <v>326</v>
      </c>
      <c r="R184" s="27">
        <f>O174</f>
        <v>1</v>
      </c>
      <c r="S184" s="27" t="s">
        <v>326</v>
      </c>
      <c r="T184" s="27" t="str">
        <f>L176</f>
        <v>-</v>
      </c>
      <c r="V184" s="197"/>
    </row>
    <row r="185" spans="1:23" ht="18" hidden="1" customHeight="1">
      <c r="A185" s="196"/>
      <c r="B185" s="465" t="s">
        <v>423</v>
      </c>
      <c r="C185" s="271"/>
      <c r="D185" s="271"/>
      <c r="E185" s="271"/>
      <c r="F185" s="219"/>
      <c r="G185" s="219"/>
      <c r="H185" s="202"/>
      <c r="I185" s="220" t="s">
        <v>138</v>
      </c>
      <c r="J185" s="646">
        <f>J103</f>
        <v>1.44186744</v>
      </c>
      <c r="K185" s="647"/>
      <c r="L185" s="309" t="s">
        <v>168</v>
      </c>
      <c r="O185" s="27" t="s">
        <v>138</v>
      </c>
      <c r="P185" s="637" t="e">
        <f>P184*R184*T184</f>
        <v>#VALUE!</v>
      </c>
      <c r="Q185" s="639"/>
      <c r="R185" s="27" t="s">
        <v>168</v>
      </c>
      <c r="V185" s="197"/>
    </row>
    <row r="186" spans="1:23" ht="18" hidden="1" customHeight="1">
      <c r="A186" s="196"/>
      <c r="B186" s="1" t="s">
        <v>424</v>
      </c>
      <c r="C186" s="2"/>
      <c r="D186" s="2"/>
      <c r="E186" s="2"/>
      <c r="F186" s="208"/>
      <c r="G186" s="208"/>
      <c r="H186" s="236" t="s">
        <v>523</v>
      </c>
      <c r="I186" s="195" t="s">
        <v>138</v>
      </c>
      <c r="J186" s="648">
        <f>SUM(J182:J185)</f>
        <v>1.45186744</v>
      </c>
      <c r="K186" s="649"/>
      <c r="L186" s="3" t="s">
        <v>168</v>
      </c>
      <c r="V186" s="197"/>
    </row>
    <row r="187" spans="1:23" ht="18" hidden="1" customHeight="1">
      <c r="A187" s="196"/>
      <c r="B187" s="47"/>
      <c r="C187" s="47"/>
      <c r="D187" s="47"/>
      <c r="E187" s="47"/>
      <c r="H187" s="27"/>
      <c r="I187" s="28"/>
      <c r="J187" s="211"/>
      <c r="L187" s="47"/>
      <c r="S187" s="27"/>
      <c r="V187" s="197"/>
    </row>
    <row r="188" spans="1:23" ht="18" hidden="1" customHeight="1">
      <c r="A188" s="964" t="s">
        <v>547</v>
      </c>
      <c r="B188" s="965"/>
      <c r="C188" s="965"/>
      <c r="D188" s="965"/>
      <c r="E188" s="965"/>
      <c r="F188" s="965"/>
      <c r="G188" s="965"/>
      <c r="H188" s="965"/>
      <c r="I188" s="965"/>
      <c r="J188" s="965"/>
      <c r="K188" s="965"/>
      <c r="L188" s="965"/>
      <c r="M188" s="965"/>
      <c r="N188" s="965"/>
      <c r="O188" s="965"/>
      <c r="P188" s="965"/>
      <c r="Q188" s="965"/>
      <c r="R188" s="965"/>
      <c r="S188" s="965"/>
      <c r="T188" s="965"/>
      <c r="U188" s="965"/>
      <c r="V188" s="966"/>
    </row>
    <row r="189" spans="1:23" ht="18" hidden="1" customHeight="1">
      <c r="A189" s="967"/>
      <c r="B189" s="965"/>
      <c r="C189" s="965"/>
      <c r="D189" s="965"/>
      <c r="E189" s="965"/>
      <c r="F189" s="965"/>
      <c r="G189" s="965"/>
      <c r="H189" s="965"/>
      <c r="I189" s="965"/>
      <c r="J189" s="965"/>
      <c r="K189" s="965"/>
      <c r="L189" s="965"/>
      <c r="M189" s="965"/>
      <c r="N189" s="965"/>
      <c r="O189" s="965"/>
      <c r="P189" s="965"/>
      <c r="Q189" s="965"/>
      <c r="R189" s="965"/>
      <c r="S189" s="965"/>
      <c r="T189" s="965"/>
      <c r="U189" s="965"/>
      <c r="V189" s="966"/>
    </row>
    <row r="190" spans="1:23" ht="18" hidden="1" customHeight="1">
      <c r="A190" s="196"/>
      <c r="Q190" s="223"/>
      <c r="R190" s="204"/>
      <c r="V190" s="197"/>
    </row>
    <row r="191" spans="1:23" ht="18" hidden="1" customHeight="1">
      <c r="A191" s="196"/>
      <c r="C191" s="28" t="s">
        <v>484</v>
      </c>
      <c r="D191" s="28" t="s">
        <v>138</v>
      </c>
      <c r="E191" s="28" t="s">
        <v>548</v>
      </c>
      <c r="F191" s="28" t="s">
        <v>504</v>
      </c>
      <c r="G191" s="28" t="s">
        <v>358</v>
      </c>
      <c r="H191" s="28" t="s">
        <v>502</v>
      </c>
      <c r="I191" s="28" t="s">
        <v>549</v>
      </c>
      <c r="J191" s="28" t="s">
        <v>506</v>
      </c>
      <c r="K191" s="28" t="s">
        <v>550</v>
      </c>
      <c r="L191" s="28" t="s">
        <v>522</v>
      </c>
      <c r="M191" s="28" t="s">
        <v>326</v>
      </c>
      <c r="N191" s="28">
        <v>1.3</v>
      </c>
      <c r="O191" s="47" t="s">
        <v>361</v>
      </c>
      <c r="V191" s="197"/>
    </row>
    <row r="192" spans="1:23" ht="18" hidden="1" customHeight="1">
      <c r="A192" s="196" t="s">
        <v>551</v>
      </c>
      <c r="C192" s="14"/>
      <c r="D192" s="28"/>
      <c r="E192" s="14"/>
      <c r="F192" s="14"/>
      <c r="G192" s="14"/>
      <c r="H192" s="14"/>
      <c r="I192" s="14"/>
      <c r="J192" s="14"/>
      <c r="K192" s="14"/>
      <c r="L192" s="14"/>
      <c r="M192" s="14"/>
      <c r="N192" s="14"/>
      <c r="O192" s="14"/>
      <c r="V192" s="197"/>
    </row>
    <row r="193" spans="1:25" ht="18" hidden="1" customHeight="1">
      <c r="A193" s="196"/>
      <c r="C193" s="28" t="s">
        <v>504</v>
      </c>
      <c r="D193" s="28" t="s">
        <v>138</v>
      </c>
      <c r="E193" s="28" t="s">
        <v>548</v>
      </c>
      <c r="F193" s="28">
        <v>1.3</v>
      </c>
      <c r="G193" s="28" t="s">
        <v>326</v>
      </c>
      <c r="H193" s="638" t="s">
        <v>484</v>
      </c>
      <c r="I193" s="920"/>
      <c r="J193" s="28" t="s">
        <v>326</v>
      </c>
      <c r="K193" s="28" t="s">
        <v>522</v>
      </c>
      <c r="L193" s="28" t="s">
        <v>552</v>
      </c>
      <c r="M193" s="28" t="s">
        <v>506</v>
      </c>
      <c r="N193" s="47" t="s">
        <v>553</v>
      </c>
      <c r="O193" s="28" t="s">
        <v>502</v>
      </c>
      <c r="V193" s="197"/>
    </row>
    <row r="194" spans="1:25" ht="18" hidden="1" customHeight="1">
      <c r="A194" s="196"/>
      <c r="V194" s="197"/>
    </row>
    <row r="195" spans="1:25" ht="18" hidden="1" customHeight="1">
      <c r="A195" s="180"/>
      <c r="B195" s="5"/>
      <c r="C195" s="47" t="s">
        <v>554</v>
      </c>
      <c r="D195" s="14"/>
      <c r="E195" s="14"/>
      <c r="F195" s="14"/>
      <c r="G195" s="14"/>
      <c r="H195" s="291"/>
      <c r="I195" s="120"/>
      <c r="J195" s="291"/>
      <c r="K195" s="291"/>
      <c r="L195" s="14"/>
      <c r="M195" s="14"/>
      <c r="N195" s="14"/>
      <c r="O195" s="14"/>
      <c r="P195" s="14"/>
      <c r="Q195" s="120" t="s">
        <v>555</v>
      </c>
      <c r="R195" s="102" t="s">
        <v>138</v>
      </c>
      <c r="S195" s="638">
        <f>S113</f>
        <v>1</v>
      </c>
      <c r="T195" s="638"/>
      <c r="U195" s="47" t="s">
        <v>9</v>
      </c>
      <c r="V195" s="197"/>
    </row>
    <row r="196" spans="1:25" ht="18" hidden="1" customHeight="1">
      <c r="A196" s="180"/>
      <c r="B196" s="5"/>
      <c r="C196" s="47" t="s">
        <v>556</v>
      </c>
      <c r="D196" s="14"/>
      <c r="E196" s="14"/>
      <c r="F196" s="18"/>
      <c r="G196" s="18"/>
      <c r="H196" s="291"/>
      <c r="I196" s="120"/>
      <c r="J196" s="291"/>
      <c r="K196" s="291"/>
      <c r="L196" s="14"/>
      <c r="M196" s="14"/>
      <c r="N196" s="14"/>
      <c r="O196" s="14"/>
      <c r="P196" s="14"/>
      <c r="Q196" s="120" t="s">
        <v>434</v>
      </c>
      <c r="R196" s="102" t="s">
        <v>138</v>
      </c>
      <c r="S196" s="638" t="str">
        <f>L174</f>
        <v>-</v>
      </c>
      <c r="T196" s="638"/>
      <c r="U196" s="14" t="s">
        <v>9</v>
      </c>
      <c r="V196" s="197"/>
    </row>
    <row r="197" spans="1:25" ht="18" hidden="1" customHeight="1">
      <c r="A197" s="180"/>
      <c r="B197" s="5"/>
      <c r="C197" s="47" t="s">
        <v>557</v>
      </c>
      <c r="D197" s="14"/>
      <c r="E197" s="14"/>
      <c r="F197" s="18"/>
      <c r="G197" s="18"/>
      <c r="H197" s="291"/>
      <c r="I197" s="120"/>
      <c r="J197" s="291"/>
      <c r="K197" s="291"/>
      <c r="L197" s="14"/>
      <c r="M197" s="14"/>
      <c r="N197" s="14"/>
      <c r="O197" s="14"/>
      <c r="P197" s="14"/>
      <c r="Q197" s="120" t="s">
        <v>484</v>
      </c>
      <c r="R197" s="102" t="s">
        <v>138</v>
      </c>
      <c r="S197" s="638" t="str">
        <f>L177</f>
        <v>-</v>
      </c>
      <c r="T197" s="638"/>
      <c r="U197" s="14" t="s">
        <v>316</v>
      </c>
      <c r="V197" s="197"/>
    </row>
    <row r="198" spans="1:25" ht="18" hidden="1" customHeight="1">
      <c r="A198" s="180"/>
      <c r="B198" s="5"/>
      <c r="C198" s="47" t="s">
        <v>558</v>
      </c>
      <c r="D198" s="14"/>
      <c r="E198" s="14"/>
      <c r="F198" s="18"/>
      <c r="G198" s="18"/>
      <c r="H198" s="291"/>
      <c r="I198" s="120"/>
      <c r="J198" s="291"/>
      <c r="K198" s="291"/>
      <c r="L198" s="14"/>
      <c r="M198" s="14"/>
      <c r="N198" s="14"/>
      <c r="O198" s="14"/>
      <c r="P198" s="14"/>
      <c r="Q198" s="120" t="s">
        <v>502</v>
      </c>
      <c r="R198" s="102" t="s">
        <v>138</v>
      </c>
      <c r="S198" s="641" t="e">
        <f>P185</f>
        <v>#VALUE!</v>
      </c>
      <c r="T198" s="638"/>
      <c r="U198" s="14" t="s">
        <v>168</v>
      </c>
      <c r="V198" s="197"/>
      <c r="W198" s="291"/>
      <c r="X198" s="291"/>
      <c r="Y198" s="291"/>
    </row>
    <row r="199" spans="1:25" ht="18" hidden="1" customHeight="1">
      <c r="A199" s="180"/>
      <c r="B199" s="5"/>
      <c r="C199" s="47" t="s">
        <v>559</v>
      </c>
      <c r="D199" s="14"/>
      <c r="E199" s="14"/>
      <c r="F199" s="18"/>
      <c r="G199" s="18"/>
      <c r="H199" s="291"/>
      <c r="I199" s="120"/>
      <c r="J199" s="291"/>
      <c r="K199" s="291"/>
      <c r="L199" s="14"/>
      <c r="M199" s="14"/>
      <c r="N199" s="14"/>
      <c r="O199" s="14"/>
      <c r="P199" s="14"/>
      <c r="Q199" s="120" t="s">
        <v>523</v>
      </c>
      <c r="R199" s="102" t="s">
        <v>138</v>
      </c>
      <c r="S199" s="641">
        <f>J186</f>
        <v>1.45186744</v>
      </c>
      <c r="T199" s="638"/>
      <c r="U199" s="14" t="s">
        <v>168</v>
      </c>
      <c r="V199" s="197"/>
      <c r="X199" s="291"/>
      <c r="Y199" s="291"/>
    </row>
    <row r="200" spans="1:25" ht="18" hidden="1" customHeight="1">
      <c r="A200" s="180"/>
      <c r="B200" s="5"/>
      <c r="C200" s="47" t="s">
        <v>560</v>
      </c>
      <c r="D200" s="14"/>
      <c r="E200" s="14"/>
      <c r="F200" s="14"/>
      <c r="G200" s="14"/>
      <c r="H200" s="291"/>
      <c r="I200" s="120"/>
      <c r="J200" s="291"/>
      <c r="K200" s="291"/>
      <c r="L200" s="14"/>
      <c r="M200" s="14"/>
      <c r="N200" s="14"/>
      <c r="O200" s="14"/>
      <c r="P200" s="14"/>
      <c r="Q200" s="120" t="s">
        <v>522</v>
      </c>
      <c r="R200" s="102" t="s">
        <v>138</v>
      </c>
      <c r="S200" s="638">
        <f>O174</f>
        <v>1</v>
      </c>
      <c r="T200" s="638"/>
      <c r="U200" s="14" t="s">
        <v>9</v>
      </c>
      <c r="V200" s="197"/>
      <c r="X200" s="291"/>
      <c r="Y200" s="291"/>
    </row>
    <row r="201" spans="1:25" ht="18" hidden="1" customHeight="1">
      <c r="A201" s="180"/>
      <c r="B201" s="5"/>
      <c r="C201" s="47" t="s">
        <v>561</v>
      </c>
      <c r="D201" s="14"/>
      <c r="E201" s="14"/>
      <c r="F201" s="14"/>
      <c r="G201" s="14"/>
      <c r="H201" s="291"/>
      <c r="I201" s="120"/>
      <c r="J201" s="291"/>
      <c r="K201" s="291"/>
      <c r="L201" s="14"/>
      <c r="M201" s="14"/>
      <c r="N201" s="14"/>
      <c r="O201" s="14"/>
      <c r="P201" s="14"/>
      <c r="Q201" s="120" t="s">
        <v>506</v>
      </c>
      <c r="R201" s="102" t="s">
        <v>138</v>
      </c>
      <c r="S201" s="638">
        <v>20</v>
      </c>
      <c r="T201" s="638"/>
      <c r="U201" s="47"/>
      <c r="V201" s="197"/>
    </row>
    <row r="202" spans="1:25" ht="18" hidden="1" customHeight="1">
      <c r="A202" s="311"/>
      <c r="B202" s="291"/>
      <c r="C202" s="47" t="s">
        <v>562</v>
      </c>
      <c r="D202" s="14"/>
      <c r="E202" s="14"/>
      <c r="F202" s="14"/>
      <c r="G202" s="14"/>
      <c r="H202" s="291"/>
      <c r="I202" s="120"/>
      <c r="J202" s="291"/>
      <c r="K202" s="291"/>
      <c r="L202" s="14"/>
      <c r="M202" s="14"/>
      <c r="N202" s="291"/>
      <c r="O202" s="291"/>
      <c r="P202" s="14"/>
      <c r="Q202" s="120" t="s">
        <v>504</v>
      </c>
      <c r="R202" s="14"/>
      <c r="S202" s="291"/>
      <c r="T202" s="291"/>
      <c r="U202" s="291"/>
      <c r="V202" s="312"/>
      <c r="W202" s="291"/>
      <c r="X202" s="291"/>
      <c r="Y202" s="291"/>
    </row>
    <row r="203" spans="1:25" ht="18" hidden="1" customHeight="1">
      <c r="A203" s="196"/>
      <c r="C203" s="14"/>
      <c r="D203" s="14"/>
      <c r="E203" s="14"/>
      <c r="F203" s="14"/>
      <c r="G203" s="14"/>
      <c r="H203" s="14"/>
      <c r="I203" s="14"/>
      <c r="J203" s="14"/>
      <c r="K203" s="14"/>
      <c r="L203" s="14"/>
      <c r="M203" s="14"/>
      <c r="N203" s="14"/>
      <c r="O203" s="14"/>
      <c r="P203" s="14"/>
      <c r="Q203" s="14"/>
      <c r="R203" s="14"/>
      <c r="S203" s="14"/>
      <c r="T203" s="14"/>
      <c r="U203" s="14"/>
      <c r="V203" s="197"/>
    </row>
    <row r="204" spans="1:25" ht="18" hidden="1" customHeight="1">
      <c r="A204" s="196"/>
      <c r="C204" s="28" t="s">
        <v>504</v>
      </c>
      <c r="D204" s="28" t="s">
        <v>138</v>
      </c>
      <c r="E204" s="28" t="s">
        <v>548</v>
      </c>
      <c r="F204" s="28">
        <v>1.3</v>
      </c>
      <c r="G204" s="28" t="s">
        <v>326</v>
      </c>
      <c r="H204" s="638" t="s">
        <v>484</v>
      </c>
      <c r="I204" s="920"/>
      <c r="J204" s="28" t="s">
        <v>326</v>
      </c>
      <c r="K204" s="28" t="s">
        <v>522</v>
      </c>
      <c r="L204" s="28" t="s">
        <v>552</v>
      </c>
      <c r="M204" s="28" t="s">
        <v>506</v>
      </c>
      <c r="N204" s="47" t="s">
        <v>553</v>
      </c>
      <c r="O204" s="28" t="s">
        <v>502</v>
      </c>
      <c r="V204" s="197"/>
    </row>
    <row r="205" spans="1:25" ht="18" hidden="1" customHeight="1">
      <c r="A205" s="196"/>
      <c r="D205" s="27" t="s">
        <v>138</v>
      </c>
      <c r="E205" s="27" t="s">
        <v>548</v>
      </c>
      <c r="F205" s="27">
        <v>1.3</v>
      </c>
      <c r="G205" s="27" t="s">
        <v>326</v>
      </c>
      <c r="H205" s="639" t="str">
        <f>S197</f>
        <v>-</v>
      </c>
      <c r="I205" s="985"/>
      <c r="J205" s="27" t="s">
        <v>326</v>
      </c>
      <c r="K205" s="27">
        <f>S200</f>
        <v>1</v>
      </c>
      <c r="L205" s="27" t="s">
        <v>552</v>
      </c>
      <c r="M205" s="27">
        <f>S201</f>
        <v>20</v>
      </c>
      <c r="N205" s="308" t="s">
        <v>553</v>
      </c>
      <c r="O205" s="234" t="e">
        <f>S198</f>
        <v>#VALUE!</v>
      </c>
      <c r="V205" s="197"/>
    </row>
    <row r="206" spans="1:25" ht="18" hidden="1" customHeight="1">
      <c r="A206" s="196"/>
      <c r="D206" s="27" t="s">
        <v>138</v>
      </c>
      <c r="E206" s="639" t="e">
        <f>((F205*H205*K205)/M205)-O205</f>
        <v>#VALUE!</v>
      </c>
      <c r="F206" s="639"/>
      <c r="G206" s="27" t="s">
        <v>168</v>
      </c>
      <c r="V206" s="197"/>
    </row>
    <row r="207" spans="1:25" ht="18" hidden="1" customHeight="1">
      <c r="A207" s="196"/>
      <c r="D207" s="27"/>
      <c r="E207" s="27"/>
      <c r="F207" s="27"/>
      <c r="G207" s="27"/>
      <c r="V207" s="197"/>
    </row>
    <row r="208" spans="1:25" ht="18" hidden="1" customHeight="1">
      <c r="A208" s="196"/>
      <c r="D208" s="27"/>
      <c r="E208" s="27"/>
      <c r="F208" s="27"/>
      <c r="G208" s="27"/>
      <c r="V208" s="197"/>
    </row>
    <row r="209" spans="1:22" ht="18" hidden="1" customHeight="1">
      <c r="A209" s="196"/>
      <c r="D209" s="27"/>
      <c r="E209" s="27"/>
      <c r="F209" s="27"/>
      <c r="G209" s="27"/>
      <c r="V209" s="197"/>
    </row>
    <row r="210" spans="1:22" ht="18" hidden="1" customHeight="1">
      <c r="A210" s="196"/>
      <c r="D210" s="27"/>
      <c r="E210" s="27"/>
      <c r="F210" s="27"/>
      <c r="G210" s="27"/>
      <c r="V210" s="197"/>
    </row>
    <row r="211" spans="1:22" ht="18" hidden="1" customHeight="1">
      <c r="A211" s="196"/>
      <c r="D211" s="27"/>
      <c r="E211" s="27"/>
      <c r="F211" s="27"/>
      <c r="G211" s="27"/>
      <c r="V211" s="197"/>
    </row>
    <row r="212" spans="1:22" ht="18" hidden="1" customHeight="1">
      <c r="A212" s="196"/>
      <c r="V212" s="197"/>
    </row>
    <row r="213" spans="1:22" s="14" customFormat="1" ht="18" hidden="1" customHeight="1">
      <c r="A213" s="206"/>
      <c r="B213" s="207"/>
      <c r="C213" s="207"/>
      <c r="D213" s="207"/>
      <c r="E213" s="207"/>
      <c r="F213" s="207"/>
      <c r="G213" s="207"/>
      <c r="H213" s="207"/>
      <c r="I213" s="207"/>
      <c r="J213" s="207"/>
      <c r="K213" s="207"/>
      <c r="L213" s="207"/>
      <c r="M213" s="207"/>
      <c r="N213" s="207"/>
      <c r="O213" s="207"/>
      <c r="P213" s="207"/>
      <c r="Q213" s="236"/>
      <c r="R213" s="194"/>
      <c r="S213" s="237"/>
      <c r="T213" s="207"/>
      <c r="U213" s="207"/>
      <c r="V213" s="140"/>
    </row>
    <row r="214" spans="1:22" ht="18" hidden="1" customHeight="1">
      <c r="A214" s="238"/>
      <c r="B214" s="239"/>
      <c r="C214" s="239"/>
      <c r="D214" s="239"/>
      <c r="E214" s="239"/>
      <c r="F214" s="239"/>
      <c r="G214" s="239"/>
      <c r="H214" s="239"/>
      <c r="I214" s="239"/>
      <c r="J214" s="239"/>
      <c r="K214" s="239"/>
      <c r="L214" s="239"/>
      <c r="M214" s="239"/>
      <c r="N214" s="239"/>
      <c r="O214" s="239"/>
      <c r="P214" s="239"/>
      <c r="Q214" s="239"/>
      <c r="R214" s="239"/>
      <c r="S214" s="239"/>
      <c r="T214" s="239"/>
      <c r="U214" s="239"/>
      <c r="V214" s="240"/>
    </row>
    <row r="215" spans="1:22" ht="18" hidden="1" customHeight="1">
      <c r="A215" s="96" t="s">
        <v>766</v>
      </c>
      <c r="B215" s="14"/>
      <c r="C215" s="14"/>
      <c r="D215" s="14"/>
      <c r="E215" s="14"/>
      <c r="F215" s="14"/>
      <c r="G215" s="14"/>
      <c r="H215" s="14"/>
      <c r="I215" s="14"/>
      <c r="J215" s="14"/>
      <c r="K215" s="14"/>
      <c r="L215" s="14"/>
      <c r="M215" s="14"/>
      <c r="N215" s="14"/>
      <c r="O215" s="14"/>
      <c r="P215" s="28"/>
      <c r="Q215" s="120"/>
      <c r="R215" s="14"/>
      <c r="S215" s="14"/>
      <c r="T215" s="14"/>
      <c r="U215" s="14"/>
      <c r="V215" s="197"/>
    </row>
    <row r="216" spans="1:22" ht="18" hidden="1" customHeight="1">
      <c r="A216" s="96"/>
      <c r="B216" s="14"/>
      <c r="C216" s="14"/>
      <c r="D216" s="14"/>
      <c r="E216" s="14"/>
      <c r="F216" s="14"/>
      <c r="G216" s="14"/>
      <c r="H216" s="14"/>
      <c r="K216" s="14" t="s">
        <v>767</v>
      </c>
      <c r="L216" s="28"/>
      <c r="M216" s="47"/>
      <c r="N216" s="14"/>
      <c r="O216" s="14"/>
      <c r="P216" s="14"/>
      <c r="Q216" s="14"/>
      <c r="R216" s="14"/>
      <c r="S216" s="14"/>
      <c r="T216" s="14"/>
      <c r="U216" s="14"/>
      <c r="V216" s="197"/>
    </row>
    <row r="217" spans="1:22" ht="18" hidden="1" customHeight="1">
      <c r="A217" s="96"/>
      <c r="B217" s="28" t="s">
        <v>756</v>
      </c>
      <c r="C217" s="290" t="s">
        <v>663</v>
      </c>
      <c r="D217" s="14" t="s">
        <v>768</v>
      </c>
      <c r="E217" s="14"/>
      <c r="F217" s="280" t="s">
        <v>769</v>
      </c>
      <c r="K217" s="28" t="s">
        <v>756</v>
      </c>
      <c r="L217" s="28" t="s">
        <v>138</v>
      </c>
      <c r="M217" s="293" t="s">
        <v>770</v>
      </c>
      <c r="N217" s="28"/>
      <c r="O217" s="47"/>
      <c r="P217" s="14"/>
      <c r="Q217" s="14"/>
      <c r="R217" s="14"/>
      <c r="S217" s="14"/>
      <c r="T217" s="14"/>
      <c r="U217" s="14"/>
      <c r="V217" s="197"/>
    </row>
    <row r="218" spans="1:22" ht="18" hidden="1" customHeight="1">
      <c r="A218" s="96"/>
      <c r="B218" s="28" t="s">
        <v>756</v>
      </c>
      <c r="C218" s="290" t="s">
        <v>663</v>
      </c>
      <c r="D218" s="47" t="s">
        <v>771</v>
      </c>
      <c r="E218" s="14"/>
      <c r="F218" s="280" t="s">
        <v>772</v>
      </c>
      <c r="K218" s="28"/>
      <c r="L218" s="28" t="s">
        <v>138</v>
      </c>
      <c r="M218" s="14" t="s">
        <v>773</v>
      </c>
      <c r="N218" s="14"/>
      <c r="O218" s="14"/>
      <c r="P218" s="14"/>
      <c r="Q218" s="14"/>
      <c r="R218" s="14"/>
      <c r="S218" s="14"/>
      <c r="T218" s="14"/>
      <c r="U218" s="14"/>
      <c r="V218" s="197"/>
    </row>
    <row r="219" spans="1:22" ht="18" hidden="1" customHeight="1">
      <c r="A219" s="96"/>
      <c r="B219" s="14"/>
      <c r="C219" s="14"/>
      <c r="D219" s="14"/>
      <c r="E219" s="14"/>
      <c r="F219" s="14"/>
      <c r="G219" s="14"/>
      <c r="H219" s="14"/>
      <c r="K219" s="28" t="s">
        <v>768</v>
      </c>
      <c r="L219" s="28" t="s">
        <v>138</v>
      </c>
      <c r="M219" s="47" t="s">
        <v>774</v>
      </c>
      <c r="N219" s="14"/>
      <c r="O219" s="14"/>
      <c r="P219" s="14"/>
      <c r="Q219" s="14"/>
      <c r="R219" s="14"/>
      <c r="S219" s="14"/>
      <c r="T219" s="14"/>
      <c r="U219" s="14"/>
      <c r="V219" s="197"/>
    </row>
    <row r="220" spans="1:22" ht="18" hidden="1" customHeight="1">
      <c r="A220" s="96"/>
      <c r="B220" s="14"/>
      <c r="C220" s="14"/>
      <c r="K220" s="28" t="s">
        <v>771</v>
      </c>
      <c r="L220" s="28" t="s">
        <v>138</v>
      </c>
      <c r="M220" s="28">
        <v>10</v>
      </c>
      <c r="O220" s="14" t="s">
        <v>775</v>
      </c>
      <c r="P220" s="28" t="s">
        <v>776</v>
      </c>
      <c r="Q220" s="290" t="s">
        <v>777</v>
      </c>
      <c r="R220" s="28">
        <v>120</v>
      </c>
      <c r="S220" s="14" t="s">
        <v>778</v>
      </c>
      <c r="T220" s="14"/>
      <c r="U220" s="14"/>
      <c r="V220" s="197"/>
    </row>
    <row r="221" spans="1:22" ht="18" hidden="1" customHeight="1">
      <c r="A221" s="96"/>
      <c r="B221" s="14"/>
      <c r="C221" s="14"/>
      <c r="L221" s="28" t="s">
        <v>138</v>
      </c>
      <c r="M221" s="27">
        <v>20</v>
      </c>
      <c r="N221" s="14"/>
      <c r="O221" s="14" t="s">
        <v>775</v>
      </c>
      <c r="P221" s="28" t="s">
        <v>776</v>
      </c>
      <c r="Q221" s="290" t="s">
        <v>777</v>
      </c>
      <c r="R221" s="28">
        <v>300</v>
      </c>
      <c r="S221" s="14" t="s">
        <v>778</v>
      </c>
      <c r="T221" s="14"/>
      <c r="U221" s="14"/>
      <c r="V221" s="197"/>
    </row>
    <row r="222" spans="1:22" ht="18" hidden="1" customHeight="1">
      <c r="A222" s="96"/>
      <c r="B222" s="14"/>
      <c r="C222" s="14"/>
      <c r="N222" s="14"/>
      <c r="O222" s="14"/>
      <c r="P222" s="28"/>
      <c r="Q222" s="120"/>
      <c r="R222" s="14"/>
      <c r="S222" s="14"/>
      <c r="T222" s="14"/>
      <c r="U222" s="14"/>
      <c r="V222" s="197"/>
    </row>
    <row r="223" spans="1:22" ht="18" hidden="1" customHeight="1">
      <c r="A223" s="96" t="s">
        <v>779</v>
      </c>
      <c r="B223" s="14"/>
      <c r="C223" s="14"/>
      <c r="K223" s="27" t="s">
        <v>768</v>
      </c>
      <c r="L223" s="27" t="s">
        <v>138</v>
      </c>
      <c r="M223" s="639" t="s">
        <v>436</v>
      </c>
      <c r="N223" s="639"/>
      <c r="O223" s="27" t="s">
        <v>780</v>
      </c>
      <c r="P223" s="27">
        <v>5</v>
      </c>
      <c r="Q223" s="28" t="s">
        <v>326</v>
      </c>
      <c r="R223" s="639" t="s">
        <v>434</v>
      </c>
      <c r="S223" s="639"/>
      <c r="T223" s="14" t="s">
        <v>361</v>
      </c>
      <c r="U223" s="14"/>
      <c r="V223" s="197"/>
    </row>
    <row r="224" spans="1:22" ht="18" hidden="1" customHeight="1">
      <c r="A224" s="96"/>
      <c r="B224" s="14"/>
      <c r="C224" s="14"/>
      <c r="L224" s="27" t="s">
        <v>138</v>
      </c>
      <c r="M224" s="639">
        <f>S195</f>
        <v>1</v>
      </c>
      <c r="N224" s="639"/>
      <c r="O224" s="27" t="s">
        <v>780</v>
      </c>
      <c r="P224" s="27">
        <v>5</v>
      </c>
      <c r="Q224" s="28" t="s">
        <v>326</v>
      </c>
      <c r="R224" s="639" t="str">
        <f>S196</f>
        <v>-</v>
      </c>
      <c r="S224" s="639"/>
      <c r="T224" s="14" t="s">
        <v>361</v>
      </c>
      <c r="U224" s="14"/>
      <c r="V224" s="197"/>
    </row>
    <row r="225" spans="1:22" ht="18" hidden="1" customHeight="1">
      <c r="A225" s="96"/>
      <c r="B225" s="14"/>
      <c r="C225" s="14"/>
      <c r="D225" s="14"/>
      <c r="E225" s="120"/>
      <c r="F225" s="28"/>
      <c r="L225" s="27" t="s">
        <v>138</v>
      </c>
      <c r="M225" s="638" t="e">
        <f>M224/(P224*R224)</f>
        <v>#VALUE!</v>
      </c>
      <c r="N225" s="639"/>
      <c r="O225" s="14"/>
      <c r="P225" s="14"/>
      <c r="Q225" s="14"/>
      <c r="R225" s="14"/>
      <c r="S225" s="14"/>
      <c r="T225" s="14"/>
      <c r="U225" s="14"/>
      <c r="V225" s="197"/>
    </row>
    <row r="226" spans="1:22" ht="18" hidden="1" customHeight="1">
      <c r="A226" s="96"/>
      <c r="B226" s="14"/>
      <c r="C226" s="14"/>
      <c r="D226" s="14"/>
      <c r="E226" s="14"/>
      <c r="F226" s="28"/>
      <c r="G226" s="14"/>
      <c r="H226" s="14"/>
      <c r="I226" s="102"/>
      <c r="J226" s="47"/>
      <c r="K226" s="47"/>
      <c r="L226" s="14"/>
      <c r="M226" s="14"/>
      <c r="N226" s="14"/>
      <c r="O226" s="14"/>
      <c r="P226" s="14"/>
      <c r="Q226" s="14"/>
      <c r="R226" s="14"/>
      <c r="S226" s="14"/>
      <c r="T226" s="14"/>
      <c r="U226" s="14"/>
      <c r="V226" s="197"/>
    </row>
    <row r="227" spans="1:22" ht="18" hidden="1" customHeight="1">
      <c r="A227" s="96" t="s">
        <v>781</v>
      </c>
      <c r="B227" s="14"/>
      <c r="C227" s="14"/>
      <c r="D227" s="14"/>
      <c r="E227" s="269" t="s">
        <v>782</v>
      </c>
      <c r="F227" s="14"/>
      <c r="G227" s="28" t="s">
        <v>138</v>
      </c>
      <c r="H227" s="641" t="e">
        <f>'[2]Parameters &amp; Fault Cal.'!Q184</f>
        <v>#REF!</v>
      </c>
      <c r="I227" s="639"/>
      <c r="J227" s="30" t="s">
        <v>542</v>
      </c>
      <c r="K227" s="28" t="s">
        <v>771</v>
      </c>
      <c r="L227" s="230" t="s">
        <v>138</v>
      </c>
      <c r="M227" s="641" t="e">
        <f>IF(H227&lt;=120,M220,M221)</f>
        <v>#REF!</v>
      </c>
      <c r="N227" s="639"/>
      <c r="O227" s="14"/>
      <c r="P227" s="14"/>
      <c r="Q227" s="14"/>
      <c r="R227" s="14"/>
      <c r="S227" s="14"/>
      <c r="T227" s="14"/>
      <c r="U227" s="14"/>
      <c r="V227" s="197"/>
    </row>
    <row r="228" spans="1:22" ht="18" hidden="1" customHeight="1">
      <c r="A228" s="196"/>
      <c r="J228" s="14"/>
      <c r="K228" s="269"/>
      <c r="M228" s="14"/>
      <c r="N228" s="14"/>
      <c r="O228" s="14"/>
      <c r="P228" s="14"/>
      <c r="Q228" s="14"/>
      <c r="R228" s="14"/>
      <c r="S228" s="14"/>
      <c r="T228" s="14"/>
      <c r="U228" s="14"/>
      <c r="V228" s="197"/>
    </row>
    <row r="229" spans="1:22" ht="18" hidden="1" customHeight="1">
      <c r="A229" s="96" t="s">
        <v>783</v>
      </c>
      <c r="E229" s="211"/>
      <c r="G229" s="27" t="s">
        <v>138</v>
      </c>
      <c r="H229" s="27" t="s">
        <v>506</v>
      </c>
      <c r="I229" s="27" t="s">
        <v>565</v>
      </c>
      <c r="J229" s="120" t="s">
        <v>502</v>
      </c>
      <c r="K229" s="28" t="s">
        <v>358</v>
      </c>
      <c r="L229" s="120" t="s">
        <v>504</v>
      </c>
      <c r="M229" s="28" t="s">
        <v>550</v>
      </c>
      <c r="N229" s="120" t="s">
        <v>502</v>
      </c>
      <c r="O229" s="28" t="s">
        <v>358</v>
      </c>
      <c r="P229" s="120" t="s">
        <v>523</v>
      </c>
      <c r="Q229" s="308" t="s">
        <v>361</v>
      </c>
      <c r="V229" s="197"/>
    </row>
    <row r="230" spans="1:22" ht="18" hidden="1" customHeight="1">
      <c r="A230" s="196"/>
      <c r="G230" s="27" t="s">
        <v>138</v>
      </c>
      <c r="H230" s="254">
        <f>S201</f>
        <v>20</v>
      </c>
      <c r="I230" s="257" t="s">
        <v>565</v>
      </c>
      <c r="J230" s="313" t="e">
        <f>S198</f>
        <v>#VALUE!</v>
      </c>
      <c r="K230" s="257" t="s">
        <v>358</v>
      </c>
      <c r="L230" s="313" t="e">
        <f>E206</f>
        <v>#VALUE!</v>
      </c>
      <c r="M230" s="257" t="s">
        <v>550</v>
      </c>
      <c r="N230" s="313" t="e">
        <f>S198</f>
        <v>#VALUE!</v>
      </c>
      <c r="O230" s="257" t="s">
        <v>358</v>
      </c>
      <c r="P230" s="313">
        <f>S199</f>
        <v>1.45186744</v>
      </c>
      <c r="Q230" s="474" t="s">
        <v>361</v>
      </c>
      <c r="V230" s="197"/>
    </row>
    <row r="231" spans="1:22" ht="18" hidden="1" customHeight="1">
      <c r="A231" s="196"/>
      <c r="G231" s="27" t="s">
        <v>138</v>
      </c>
      <c r="H231" s="637" t="e">
        <f>H230*((J230+L230)/(N230+P230))</f>
        <v>#VALUE!</v>
      </c>
      <c r="I231" s="637"/>
      <c r="V231" s="197"/>
    </row>
    <row r="232" spans="1:22" ht="18" hidden="1" customHeight="1">
      <c r="A232" s="196"/>
      <c r="V232" s="197"/>
    </row>
    <row r="233" spans="1:22" ht="18" hidden="1" customHeight="1">
      <c r="A233" s="196" t="s">
        <v>784</v>
      </c>
      <c r="E233" s="256"/>
      <c r="F233" s="27"/>
      <c r="G233" s="308"/>
      <c r="V233" s="197"/>
    </row>
    <row r="234" spans="1:22" ht="18" hidden="1" customHeight="1">
      <c r="A234" s="196"/>
      <c r="D234" s="223"/>
      <c r="E234" s="223"/>
      <c r="F234" s="27"/>
      <c r="G234" s="223"/>
      <c r="H234" s="223"/>
      <c r="V234" s="197"/>
    </row>
    <row r="235" spans="1:22" ht="18" hidden="1" customHeight="1">
      <c r="A235" s="196"/>
      <c r="D235" s="637" t="e">
        <f>H231</f>
        <v>#VALUE!</v>
      </c>
      <c r="E235" s="639"/>
      <c r="F235" s="27" t="e">
        <f>IF(D235&gt;=G235,"&gt;","&lt;")</f>
        <v>#VALUE!</v>
      </c>
      <c r="G235" s="637" t="e">
        <f>M225</f>
        <v>#VALUE!</v>
      </c>
      <c r="H235" s="639"/>
      <c r="I235" s="18"/>
      <c r="J235" s="280" t="s">
        <v>769</v>
      </c>
      <c r="V235" s="197"/>
    </row>
    <row r="236" spans="1:22" ht="18" hidden="1" customHeight="1">
      <c r="A236" s="196"/>
      <c r="D236" s="637" t="e">
        <f>H231</f>
        <v>#VALUE!</v>
      </c>
      <c r="E236" s="639"/>
      <c r="F236" s="27" t="e">
        <f>IF(D236&gt;=G236,"&gt;","&lt;")</f>
        <v>#VALUE!</v>
      </c>
      <c r="G236" s="637" t="e">
        <f>M227</f>
        <v>#REF!</v>
      </c>
      <c r="H236" s="639"/>
      <c r="J236" s="280" t="s">
        <v>772</v>
      </c>
      <c r="V236" s="197"/>
    </row>
    <row r="237" spans="1:22" ht="18" hidden="1" customHeight="1">
      <c r="A237" s="196"/>
      <c r="E237" s="256" t="s">
        <v>489</v>
      </c>
      <c r="G237" s="18" t="e">
        <f>IF(AND(F235="&gt;",F236="&gt;")=TRUE,"Suitably Dimensioned","Under Dimensioned")</f>
        <v>#VALUE!</v>
      </c>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s="14" customFormat="1" ht="18" hidden="1" customHeight="1">
      <c r="A257" s="206"/>
      <c r="B257" s="207"/>
      <c r="C257" s="207"/>
      <c r="D257" s="207"/>
      <c r="E257" s="207"/>
      <c r="F257" s="207"/>
      <c r="G257" s="207"/>
      <c r="H257" s="207"/>
      <c r="I257" s="207"/>
      <c r="J257" s="207"/>
      <c r="K257" s="207"/>
      <c r="L257" s="207"/>
      <c r="M257" s="207"/>
      <c r="N257" s="207"/>
      <c r="O257" s="207"/>
      <c r="P257" s="207"/>
      <c r="Q257" s="236"/>
      <c r="R257" s="194"/>
      <c r="S257" s="237"/>
      <c r="T257" s="207"/>
      <c r="U257" s="207"/>
      <c r="V257" s="140"/>
    </row>
    <row r="258" spans="1:22" ht="18" customHeight="1">
      <c r="A258" s="238"/>
      <c r="B258" s="239"/>
      <c r="C258" s="239"/>
      <c r="D258" s="239"/>
      <c r="E258" s="239"/>
      <c r="F258" s="239"/>
      <c r="G258" s="239"/>
      <c r="H258" s="239"/>
      <c r="I258" s="239"/>
      <c r="J258" s="239"/>
      <c r="K258" s="239"/>
      <c r="L258" s="239"/>
      <c r="M258" s="239"/>
      <c r="N258" s="239"/>
      <c r="O258" s="239"/>
      <c r="P258" s="239"/>
      <c r="Q258" s="239"/>
      <c r="R258" s="239"/>
      <c r="S258" s="239"/>
      <c r="T258" s="239"/>
      <c r="U258" s="239"/>
      <c r="V258" s="240"/>
    </row>
    <row r="259" spans="1:22" ht="18" customHeight="1">
      <c r="A259" s="274" t="s">
        <v>512</v>
      </c>
      <c r="B259" s="14"/>
      <c r="C259" s="14"/>
      <c r="D259" s="120"/>
      <c r="E259" s="120"/>
      <c r="F259" s="18"/>
      <c r="G259" s="18"/>
      <c r="H259" s="14"/>
      <c r="I259" s="14"/>
      <c r="J259" s="14"/>
      <c r="K259" s="14"/>
      <c r="L259" s="14"/>
      <c r="M259" s="14"/>
      <c r="N259" s="14"/>
      <c r="O259" s="14"/>
      <c r="P259" s="28"/>
      <c r="Q259" s="120"/>
      <c r="R259" s="47"/>
      <c r="S259" s="218"/>
      <c r="T259" s="271"/>
      <c r="U259" s="14"/>
      <c r="V259" s="97"/>
    </row>
    <row r="260" spans="1:22" ht="18" customHeight="1">
      <c r="A260" s="614" t="s">
        <v>97</v>
      </c>
      <c r="B260" s="620"/>
      <c r="C260" s="615"/>
      <c r="D260" s="614" t="s">
        <v>98</v>
      </c>
      <c r="E260" s="620"/>
      <c r="F260" s="615"/>
      <c r="G260" s="614" t="s">
        <v>99</v>
      </c>
      <c r="H260" s="615"/>
      <c r="I260" s="614" t="s">
        <v>100</v>
      </c>
      <c r="J260" s="615"/>
      <c r="K260" s="614" t="s">
        <v>513</v>
      </c>
      <c r="L260" s="615"/>
      <c r="M260" s="614" t="s">
        <v>514</v>
      </c>
      <c r="N260" s="615"/>
      <c r="O260" s="614" t="s">
        <v>515</v>
      </c>
      <c r="P260" s="615"/>
      <c r="Q260" s="614" t="s">
        <v>516</v>
      </c>
      <c r="R260" s="615"/>
      <c r="S260" s="614" t="s">
        <v>105</v>
      </c>
      <c r="T260" s="620"/>
      <c r="U260" s="620"/>
      <c r="V260" s="615"/>
    </row>
    <row r="261" spans="1:22" ht="18" customHeight="1">
      <c r="A261" s="616"/>
      <c r="B261" s="621"/>
      <c r="C261" s="617"/>
      <c r="D261" s="616"/>
      <c r="E261" s="621"/>
      <c r="F261" s="617"/>
      <c r="G261" s="616"/>
      <c r="H261" s="617"/>
      <c r="I261" s="616"/>
      <c r="J261" s="617"/>
      <c r="K261" s="616"/>
      <c r="L261" s="617"/>
      <c r="M261" s="616"/>
      <c r="N261" s="617"/>
      <c r="O261" s="616"/>
      <c r="P261" s="617"/>
      <c r="Q261" s="616"/>
      <c r="R261" s="617"/>
      <c r="S261" s="616"/>
      <c r="T261" s="621"/>
      <c r="U261" s="621"/>
      <c r="V261" s="617"/>
    </row>
    <row r="262" spans="1:22" ht="18" customHeight="1">
      <c r="A262" s="616"/>
      <c r="B262" s="621"/>
      <c r="C262" s="617"/>
      <c r="D262" s="616"/>
      <c r="E262" s="621"/>
      <c r="F262" s="617"/>
      <c r="G262" s="616"/>
      <c r="H262" s="617"/>
      <c r="I262" s="616"/>
      <c r="J262" s="617"/>
      <c r="K262" s="616"/>
      <c r="L262" s="617"/>
      <c r="M262" s="616"/>
      <c r="N262" s="617"/>
      <c r="O262" s="616"/>
      <c r="P262" s="617"/>
      <c r="Q262" s="616"/>
      <c r="R262" s="617"/>
      <c r="S262" s="616"/>
      <c r="T262" s="621"/>
      <c r="U262" s="621"/>
      <c r="V262" s="617"/>
    </row>
    <row r="263" spans="1:22" ht="18" customHeight="1">
      <c r="A263" s="618"/>
      <c r="B263" s="622"/>
      <c r="C263" s="619"/>
      <c r="D263" s="618"/>
      <c r="E263" s="622"/>
      <c r="F263" s="619"/>
      <c r="G263" s="618"/>
      <c r="H263" s="619"/>
      <c r="I263" s="618"/>
      <c r="J263" s="619"/>
      <c r="K263" s="618"/>
      <c r="L263" s="619"/>
      <c r="M263" s="618"/>
      <c r="N263" s="619"/>
      <c r="O263" s="618"/>
      <c r="P263" s="619"/>
      <c r="Q263" s="618"/>
      <c r="R263" s="619"/>
      <c r="S263" s="618"/>
      <c r="T263" s="622"/>
      <c r="U263" s="622"/>
      <c r="V263" s="619"/>
    </row>
    <row r="264" spans="1:22" ht="18" customHeight="1">
      <c r="A264" s="623" t="str">
        <f>B7</f>
        <v>T1</v>
      </c>
      <c r="B264" s="623" t="str">
        <f>D7</f>
        <v>Core4</v>
      </c>
      <c r="C264" s="623"/>
      <c r="D264" s="613">
        <f>H10</f>
        <v>2500</v>
      </c>
      <c r="E264" s="613"/>
      <c r="F264" s="624">
        <f>O10</f>
        <v>1</v>
      </c>
      <c r="G264" s="613">
        <f>'CT-VT Burdens'!S19</f>
        <v>80</v>
      </c>
      <c r="H264" s="783">
        <f>'CT-VT Burdens'!S10</f>
        <v>2.5</v>
      </c>
      <c r="I264" s="783" t="str">
        <f>H11</f>
        <v>PX-B</v>
      </c>
      <c r="J264" s="783" t="e">
        <f>#REF!</f>
        <v>#REF!</v>
      </c>
      <c r="K264" s="612">
        <f>H12</f>
        <v>5</v>
      </c>
      <c r="L264" s="612"/>
      <c r="M264" s="612">
        <f>H13</f>
        <v>750</v>
      </c>
      <c r="N264" s="612"/>
      <c r="O264" s="613">
        <f>H14</f>
        <v>60</v>
      </c>
      <c r="P264" s="613"/>
      <c r="Q264" s="629" t="str">
        <f>IF(T8="",T7,IF(T9="",T7&amp;"+"&amp;T8,T7&amp;"+"&amp;T8&amp;"+"&amp;T9))</f>
        <v>REB500</v>
      </c>
      <c r="R264" s="629"/>
      <c r="S264" s="628" t="str">
        <f>M83</f>
        <v>Suitable Dimensions</v>
      </c>
      <c r="T264" s="628"/>
      <c r="U264" s="628"/>
      <c r="V264" s="628"/>
    </row>
    <row r="265" spans="1:22" ht="18" customHeight="1">
      <c r="A265" s="623"/>
      <c r="B265" s="623"/>
      <c r="C265" s="623"/>
      <c r="D265" s="613">
        <f>J10</f>
        <v>0</v>
      </c>
      <c r="E265" s="613"/>
      <c r="F265" s="625"/>
      <c r="G265" s="613"/>
      <c r="H265" s="613"/>
      <c r="I265" s="783"/>
      <c r="J265" s="783"/>
      <c r="K265" s="785" t="s">
        <v>7</v>
      </c>
      <c r="L265" s="612"/>
      <c r="M265" s="785" t="s">
        <v>7</v>
      </c>
      <c r="N265" s="612"/>
      <c r="O265" s="786" t="s">
        <v>7</v>
      </c>
      <c r="P265" s="613"/>
      <c r="Q265" s="629"/>
      <c r="R265" s="629"/>
      <c r="S265" s="961" t="s">
        <v>7</v>
      </c>
      <c r="T265" s="628"/>
      <c r="U265" s="628"/>
      <c r="V265" s="628"/>
    </row>
    <row r="266" spans="1:22" ht="18" customHeight="1">
      <c r="A266" s="623"/>
      <c r="B266" s="623"/>
      <c r="C266" s="623"/>
      <c r="D266" s="613" t="str">
        <f>L10</f>
        <v>-</v>
      </c>
      <c r="E266" s="613"/>
      <c r="F266" s="626"/>
      <c r="G266" s="613"/>
      <c r="H266" s="613"/>
      <c r="I266" s="783"/>
      <c r="J266" s="783"/>
      <c r="K266" s="612" t="str">
        <f>L176</f>
        <v>-</v>
      </c>
      <c r="L266" s="612"/>
      <c r="M266" s="612" t="str">
        <f>L177</f>
        <v>-</v>
      </c>
      <c r="N266" s="612"/>
      <c r="O266" s="613" t="str">
        <f>L178</f>
        <v>-</v>
      </c>
      <c r="P266" s="613"/>
      <c r="Q266" s="629"/>
      <c r="R266" s="629"/>
      <c r="S266" s="628" t="s">
        <v>7</v>
      </c>
      <c r="T266" s="628"/>
      <c r="U266" s="628"/>
      <c r="V266" s="628"/>
    </row>
    <row r="267" spans="1:22" ht="18" customHeight="1">
      <c r="A267" s="196"/>
      <c r="V267" s="197"/>
    </row>
    <row r="268" spans="1:22" ht="18" customHeight="1">
      <c r="A268" s="196"/>
      <c r="V268" s="197"/>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s="14" customFormat="1" ht="18" customHeight="1">
      <c r="A298" s="206"/>
      <c r="B298" s="207"/>
      <c r="C298" s="207"/>
      <c r="D298" s="207"/>
      <c r="E298" s="207"/>
      <c r="F298" s="207"/>
      <c r="G298" s="207"/>
      <c r="H298" s="207"/>
      <c r="I298" s="207"/>
      <c r="J298" s="207"/>
      <c r="K298" s="207"/>
      <c r="L298" s="207"/>
      <c r="M298" s="207"/>
      <c r="N298" s="207"/>
      <c r="O298" s="207"/>
      <c r="P298" s="207"/>
      <c r="Q298" s="236"/>
      <c r="R298" s="194"/>
      <c r="S298" s="237"/>
      <c r="T298" s="207"/>
      <c r="U298" s="207"/>
      <c r="V298" s="140"/>
    </row>
  </sheetData>
  <mergeCells count="195">
    <mergeCell ref="Q264:R266"/>
    <mergeCell ref="S264:V264"/>
    <mergeCell ref="D265:E265"/>
    <mergeCell ref="K265:L265"/>
    <mergeCell ref="M265:N265"/>
    <mergeCell ref="O265:P265"/>
    <mergeCell ref="S265:V265"/>
    <mergeCell ref="O260:P263"/>
    <mergeCell ref="Q260:R263"/>
    <mergeCell ref="S260:V263"/>
    <mergeCell ref="K260:L263"/>
    <mergeCell ref="M260:N263"/>
    <mergeCell ref="K266:L266"/>
    <mergeCell ref="M266:N266"/>
    <mergeCell ref="O266:P266"/>
    <mergeCell ref="S266:V266"/>
    <mergeCell ref="K264:L264"/>
    <mergeCell ref="M264:N264"/>
    <mergeCell ref="O264:P264"/>
    <mergeCell ref="A264:A266"/>
    <mergeCell ref="B264:C266"/>
    <mergeCell ref="D264:E264"/>
    <mergeCell ref="F264:F266"/>
    <mergeCell ref="G264:G266"/>
    <mergeCell ref="H264:H266"/>
    <mergeCell ref="I264:J266"/>
    <mergeCell ref="A260:C263"/>
    <mergeCell ref="D260:F263"/>
    <mergeCell ref="G260:H263"/>
    <mergeCell ref="I260:J263"/>
    <mergeCell ref="D266:E266"/>
    <mergeCell ref="H227:I227"/>
    <mergeCell ref="M227:N227"/>
    <mergeCell ref="H231:I231"/>
    <mergeCell ref="D235:E235"/>
    <mergeCell ref="G235:H235"/>
    <mergeCell ref="D236:E236"/>
    <mergeCell ref="G236:H236"/>
    <mergeCell ref="E206:F206"/>
    <mergeCell ref="M223:N223"/>
    <mergeCell ref="R223:S223"/>
    <mergeCell ref="M224:N224"/>
    <mergeCell ref="R224:S224"/>
    <mergeCell ref="M225:N225"/>
    <mergeCell ref="S198:T198"/>
    <mergeCell ref="S199:T199"/>
    <mergeCell ref="S200:T200"/>
    <mergeCell ref="S201:T201"/>
    <mergeCell ref="H204:I204"/>
    <mergeCell ref="H205:I205"/>
    <mergeCell ref="J186:K186"/>
    <mergeCell ref="A188:V189"/>
    <mergeCell ref="H193:I193"/>
    <mergeCell ref="S195:T195"/>
    <mergeCell ref="S196:T196"/>
    <mergeCell ref="S197:T197"/>
    <mergeCell ref="L178:M178"/>
    <mergeCell ref="J182:K182"/>
    <mergeCell ref="J183:K183"/>
    <mergeCell ref="J184:K184"/>
    <mergeCell ref="J185:K185"/>
    <mergeCell ref="P185:Q185"/>
    <mergeCell ref="H174:I174"/>
    <mergeCell ref="J174:K174"/>
    <mergeCell ref="L174:M174"/>
    <mergeCell ref="L175:M175"/>
    <mergeCell ref="L176:M176"/>
    <mergeCell ref="L177:M177"/>
    <mergeCell ref="T171:U171"/>
    <mergeCell ref="T172:U172"/>
    <mergeCell ref="H173:I173"/>
    <mergeCell ref="J173:K173"/>
    <mergeCell ref="L173:M173"/>
    <mergeCell ref="T173:U173"/>
    <mergeCell ref="F156:G156"/>
    <mergeCell ref="N160:O160"/>
    <mergeCell ref="N161:O161"/>
    <mergeCell ref="J163:K163"/>
    <mergeCell ref="M163:N163"/>
    <mergeCell ref="B171:C171"/>
    <mergeCell ref="D171:E171"/>
    <mergeCell ref="H171:M171"/>
    <mergeCell ref="F143:H143"/>
    <mergeCell ref="J143:J144"/>
    <mergeCell ref="K143:K144"/>
    <mergeCell ref="F145:G145"/>
    <mergeCell ref="F146:G146"/>
    <mergeCell ref="E152:F152"/>
    <mergeCell ref="E132:F132"/>
    <mergeCell ref="E133:F133"/>
    <mergeCell ref="E135:F135"/>
    <mergeCell ref="E138:E139"/>
    <mergeCell ref="F138:G138"/>
    <mergeCell ref="H138:H139"/>
    <mergeCell ref="S112:T112"/>
    <mergeCell ref="S113:T113"/>
    <mergeCell ref="S114:T114"/>
    <mergeCell ref="I118:I119"/>
    <mergeCell ref="J118:J119"/>
    <mergeCell ref="K118:L118"/>
    <mergeCell ref="K119:L119"/>
    <mergeCell ref="J104:K104"/>
    <mergeCell ref="S107:T107"/>
    <mergeCell ref="S108:T108"/>
    <mergeCell ref="S109:T109"/>
    <mergeCell ref="S110:T110"/>
    <mergeCell ref="S111:T111"/>
    <mergeCell ref="J96:K96"/>
    <mergeCell ref="J100:K100"/>
    <mergeCell ref="J101:K101"/>
    <mergeCell ref="J102:K102"/>
    <mergeCell ref="J103:K103"/>
    <mergeCell ref="P103:Q103"/>
    <mergeCell ref="H92:I92"/>
    <mergeCell ref="J92:K92"/>
    <mergeCell ref="L92:M92"/>
    <mergeCell ref="J93:K93"/>
    <mergeCell ref="J94:K94"/>
    <mergeCell ref="J95:K95"/>
    <mergeCell ref="T89:U89"/>
    <mergeCell ref="T90:U90"/>
    <mergeCell ref="H91:I91"/>
    <mergeCell ref="J91:K91"/>
    <mergeCell ref="L91:M91"/>
    <mergeCell ref="T91:U91"/>
    <mergeCell ref="N79:O79"/>
    <mergeCell ref="N80:O80"/>
    <mergeCell ref="I82:J82"/>
    <mergeCell ref="M82:N82"/>
    <mergeCell ref="B89:C89"/>
    <mergeCell ref="D89:E89"/>
    <mergeCell ref="H89:M89"/>
    <mergeCell ref="F59:H59"/>
    <mergeCell ref="J59:J60"/>
    <mergeCell ref="K59:K60"/>
    <mergeCell ref="F62:G62"/>
    <mergeCell ref="F63:G63"/>
    <mergeCell ref="F75:G75"/>
    <mergeCell ref="E50:F50"/>
    <mergeCell ref="E51:F51"/>
    <mergeCell ref="E53:F53"/>
    <mergeCell ref="E56:E57"/>
    <mergeCell ref="F56:G56"/>
    <mergeCell ref="H56:H57"/>
    <mergeCell ref="S30:T30"/>
    <mergeCell ref="S31:T31"/>
    <mergeCell ref="S32:T32"/>
    <mergeCell ref="I36:I37"/>
    <mergeCell ref="J36:J37"/>
    <mergeCell ref="K36:L36"/>
    <mergeCell ref="K37:L37"/>
    <mergeCell ref="J22:K22"/>
    <mergeCell ref="S25:T25"/>
    <mergeCell ref="S26:T26"/>
    <mergeCell ref="S27:T27"/>
    <mergeCell ref="S28:T28"/>
    <mergeCell ref="S29:T29"/>
    <mergeCell ref="H14:I14"/>
    <mergeCell ref="J18:K18"/>
    <mergeCell ref="J19:K19"/>
    <mergeCell ref="J20:K20"/>
    <mergeCell ref="J21:K21"/>
    <mergeCell ref="P21:Q21"/>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235 G237">
    <cfRule type="cellIs" dxfId="20" priority="3" stopIfTrue="1" operator="equal">
      <formula>"Under Dimentioned"</formula>
    </cfRule>
  </conditionalFormatting>
  <conditionalFormatting sqref="O81 M83:M85">
    <cfRule type="cellIs" dxfId="19" priority="1" stopIfTrue="1" operator="equal">
      <formula>"Under Dimentioned"</formula>
    </cfRule>
  </conditionalFormatting>
  <conditionalFormatting sqref="O162 M164">
    <cfRule type="cellIs" dxfId="18" priority="2" stopIfTrue="1" operator="equal">
      <formula>"Under Dimentioned"</formula>
    </cfRule>
  </conditionalFormatting>
  <dataValidations count="2">
    <dataValidation type="list" allowBlank="1" showInputMessage="1" showErrorMessage="1" sqref="D171 IZ171 SV171 ACR171 AMN171 AWJ171 BGF171 BQB171 BZX171 CJT171 CTP171 DDL171 DNH171 DXD171 EGZ171 EQV171 FAR171 FKN171 FUJ171 GEF171 GOB171 GXX171 HHT171 HRP171 IBL171 ILH171 IVD171 JEZ171 JOV171 JYR171 KIN171 KSJ171 LCF171 LMB171 LVX171 MFT171 MPP171 MZL171 NJH171 NTD171 OCZ171 OMV171 OWR171 PGN171 PQJ171 QAF171 QKB171 QTX171 RDT171 RNP171 RXL171 SHH171 SRD171 TAZ171 TKV171 TUR171 UEN171 UOJ171 UYF171 VIB171 VRX171 WBT171 WLP171 WVL171 D65707 IZ65707 SV65707 ACR65707 AMN65707 AWJ65707 BGF65707 BQB65707 BZX65707 CJT65707 CTP65707 DDL65707 DNH65707 DXD65707 EGZ65707 EQV65707 FAR65707 FKN65707 FUJ65707 GEF65707 GOB65707 GXX65707 HHT65707 HRP65707 IBL65707 ILH65707 IVD65707 JEZ65707 JOV65707 JYR65707 KIN65707 KSJ65707 LCF65707 LMB65707 LVX65707 MFT65707 MPP65707 MZL65707 NJH65707 NTD65707 OCZ65707 OMV65707 OWR65707 PGN65707 PQJ65707 QAF65707 QKB65707 QTX65707 RDT65707 RNP65707 RXL65707 SHH65707 SRD65707 TAZ65707 TKV65707 TUR65707 UEN65707 UOJ65707 UYF65707 VIB65707 VRX65707 WBT65707 WLP65707 WVL65707 D131243 IZ131243 SV131243 ACR131243 AMN131243 AWJ131243 BGF131243 BQB131243 BZX131243 CJT131243 CTP131243 DDL131243 DNH131243 DXD131243 EGZ131243 EQV131243 FAR131243 FKN131243 FUJ131243 GEF131243 GOB131243 GXX131243 HHT131243 HRP131243 IBL131243 ILH131243 IVD131243 JEZ131243 JOV131243 JYR131243 KIN131243 KSJ131243 LCF131243 LMB131243 LVX131243 MFT131243 MPP131243 MZL131243 NJH131243 NTD131243 OCZ131243 OMV131243 OWR131243 PGN131243 PQJ131243 QAF131243 QKB131243 QTX131243 RDT131243 RNP131243 RXL131243 SHH131243 SRD131243 TAZ131243 TKV131243 TUR131243 UEN131243 UOJ131243 UYF131243 VIB131243 VRX131243 WBT131243 WLP131243 WVL131243 D196779 IZ196779 SV196779 ACR196779 AMN196779 AWJ196779 BGF196779 BQB196779 BZX196779 CJT196779 CTP196779 DDL196779 DNH196779 DXD196779 EGZ196779 EQV196779 FAR196779 FKN196779 FUJ196779 GEF196779 GOB196779 GXX196779 HHT196779 HRP196779 IBL196779 ILH196779 IVD196779 JEZ196779 JOV196779 JYR196779 KIN196779 KSJ196779 LCF196779 LMB196779 LVX196779 MFT196779 MPP196779 MZL196779 NJH196779 NTD196779 OCZ196779 OMV196779 OWR196779 PGN196779 PQJ196779 QAF196779 QKB196779 QTX196779 RDT196779 RNP196779 RXL196779 SHH196779 SRD196779 TAZ196779 TKV196779 TUR196779 UEN196779 UOJ196779 UYF196779 VIB196779 VRX196779 WBT196779 WLP196779 WVL196779 D262315 IZ262315 SV262315 ACR262315 AMN262315 AWJ262315 BGF262315 BQB262315 BZX262315 CJT262315 CTP262315 DDL262315 DNH262315 DXD262315 EGZ262315 EQV262315 FAR262315 FKN262315 FUJ262315 GEF262315 GOB262315 GXX262315 HHT262315 HRP262315 IBL262315 ILH262315 IVD262315 JEZ262315 JOV262315 JYR262315 KIN262315 KSJ262315 LCF262315 LMB262315 LVX262315 MFT262315 MPP262315 MZL262315 NJH262315 NTD262315 OCZ262315 OMV262315 OWR262315 PGN262315 PQJ262315 QAF262315 QKB262315 QTX262315 RDT262315 RNP262315 RXL262315 SHH262315 SRD262315 TAZ262315 TKV262315 TUR262315 UEN262315 UOJ262315 UYF262315 VIB262315 VRX262315 WBT262315 WLP262315 WVL262315 D327851 IZ327851 SV327851 ACR327851 AMN327851 AWJ327851 BGF327851 BQB327851 BZX327851 CJT327851 CTP327851 DDL327851 DNH327851 DXD327851 EGZ327851 EQV327851 FAR327851 FKN327851 FUJ327851 GEF327851 GOB327851 GXX327851 HHT327851 HRP327851 IBL327851 ILH327851 IVD327851 JEZ327851 JOV327851 JYR327851 KIN327851 KSJ327851 LCF327851 LMB327851 LVX327851 MFT327851 MPP327851 MZL327851 NJH327851 NTD327851 OCZ327851 OMV327851 OWR327851 PGN327851 PQJ327851 QAF327851 QKB327851 QTX327851 RDT327851 RNP327851 RXL327851 SHH327851 SRD327851 TAZ327851 TKV327851 TUR327851 UEN327851 UOJ327851 UYF327851 VIB327851 VRX327851 WBT327851 WLP327851 WVL327851 D393387 IZ393387 SV393387 ACR393387 AMN393387 AWJ393387 BGF393387 BQB393387 BZX393387 CJT393387 CTP393387 DDL393387 DNH393387 DXD393387 EGZ393387 EQV393387 FAR393387 FKN393387 FUJ393387 GEF393387 GOB393387 GXX393387 HHT393387 HRP393387 IBL393387 ILH393387 IVD393387 JEZ393387 JOV393387 JYR393387 KIN393387 KSJ393387 LCF393387 LMB393387 LVX393387 MFT393387 MPP393387 MZL393387 NJH393387 NTD393387 OCZ393387 OMV393387 OWR393387 PGN393387 PQJ393387 QAF393387 QKB393387 QTX393387 RDT393387 RNP393387 RXL393387 SHH393387 SRD393387 TAZ393387 TKV393387 TUR393387 UEN393387 UOJ393387 UYF393387 VIB393387 VRX393387 WBT393387 WLP393387 WVL393387 D458923 IZ458923 SV458923 ACR458923 AMN458923 AWJ458923 BGF458923 BQB458923 BZX458923 CJT458923 CTP458923 DDL458923 DNH458923 DXD458923 EGZ458923 EQV458923 FAR458923 FKN458923 FUJ458923 GEF458923 GOB458923 GXX458923 HHT458923 HRP458923 IBL458923 ILH458923 IVD458923 JEZ458923 JOV458923 JYR458923 KIN458923 KSJ458923 LCF458923 LMB458923 LVX458923 MFT458923 MPP458923 MZL458923 NJH458923 NTD458923 OCZ458923 OMV458923 OWR458923 PGN458923 PQJ458923 QAF458923 QKB458923 QTX458923 RDT458923 RNP458923 RXL458923 SHH458923 SRD458923 TAZ458923 TKV458923 TUR458923 UEN458923 UOJ458923 UYF458923 VIB458923 VRX458923 WBT458923 WLP458923 WVL458923 D524459 IZ524459 SV524459 ACR524459 AMN524459 AWJ524459 BGF524459 BQB524459 BZX524459 CJT524459 CTP524459 DDL524459 DNH524459 DXD524459 EGZ524459 EQV524459 FAR524459 FKN524459 FUJ524459 GEF524459 GOB524459 GXX524459 HHT524459 HRP524459 IBL524459 ILH524459 IVD524459 JEZ524459 JOV524459 JYR524459 KIN524459 KSJ524459 LCF524459 LMB524459 LVX524459 MFT524459 MPP524459 MZL524459 NJH524459 NTD524459 OCZ524459 OMV524459 OWR524459 PGN524459 PQJ524459 QAF524459 QKB524459 QTX524459 RDT524459 RNP524459 RXL524459 SHH524459 SRD524459 TAZ524459 TKV524459 TUR524459 UEN524459 UOJ524459 UYF524459 VIB524459 VRX524459 WBT524459 WLP524459 WVL524459 D589995 IZ589995 SV589995 ACR589995 AMN589995 AWJ589995 BGF589995 BQB589995 BZX589995 CJT589995 CTP589995 DDL589995 DNH589995 DXD589995 EGZ589995 EQV589995 FAR589995 FKN589995 FUJ589995 GEF589995 GOB589995 GXX589995 HHT589995 HRP589995 IBL589995 ILH589995 IVD589995 JEZ589995 JOV589995 JYR589995 KIN589995 KSJ589995 LCF589995 LMB589995 LVX589995 MFT589995 MPP589995 MZL589995 NJH589995 NTD589995 OCZ589995 OMV589995 OWR589995 PGN589995 PQJ589995 QAF589995 QKB589995 QTX589995 RDT589995 RNP589995 RXL589995 SHH589995 SRD589995 TAZ589995 TKV589995 TUR589995 UEN589995 UOJ589995 UYF589995 VIB589995 VRX589995 WBT589995 WLP589995 WVL589995 D655531 IZ655531 SV655531 ACR655531 AMN655531 AWJ655531 BGF655531 BQB655531 BZX655531 CJT655531 CTP655531 DDL655531 DNH655531 DXD655531 EGZ655531 EQV655531 FAR655531 FKN655531 FUJ655531 GEF655531 GOB655531 GXX655531 HHT655531 HRP655531 IBL655531 ILH655531 IVD655531 JEZ655531 JOV655531 JYR655531 KIN655531 KSJ655531 LCF655531 LMB655531 LVX655531 MFT655531 MPP655531 MZL655531 NJH655531 NTD655531 OCZ655531 OMV655531 OWR655531 PGN655531 PQJ655531 QAF655531 QKB655531 QTX655531 RDT655531 RNP655531 RXL655531 SHH655531 SRD655531 TAZ655531 TKV655531 TUR655531 UEN655531 UOJ655531 UYF655531 VIB655531 VRX655531 WBT655531 WLP655531 WVL655531 D721067 IZ721067 SV721067 ACR721067 AMN721067 AWJ721067 BGF721067 BQB721067 BZX721067 CJT721067 CTP721067 DDL721067 DNH721067 DXD721067 EGZ721067 EQV721067 FAR721067 FKN721067 FUJ721067 GEF721067 GOB721067 GXX721067 HHT721067 HRP721067 IBL721067 ILH721067 IVD721067 JEZ721067 JOV721067 JYR721067 KIN721067 KSJ721067 LCF721067 LMB721067 LVX721067 MFT721067 MPP721067 MZL721067 NJH721067 NTD721067 OCZ721067 OMV721067 OWR721067 PGN721067 PQJ721067 QAF721067 QKB721067 QTX721067 RDT721067 RNP721067 RXL721067 SHH721067 SRD721067 TAZ721067 TKV721067 TUR721067 UEN721067 UOJ721067 UYF721067 VIB721067 VRX721067 WBT721067 WLP721067 WVL721067 D786603 IZ786603 SV786603 ACR786603 AMN786603 AWJ786603 BGF786603 BQB786603 BZX786603 CJT786603 CTP786603 DDL786603 DNH786603 DXD786603 EGZ786603 EQV786603 FAR786603 FKN786603 FUJ786603 GEF786603 GOB786603 GXX786603 HHT786603 HRP786603 IBL786603 ILH786603 IVD786603 JEZ786603 JOV786603 JYR786603 KIN786603 KSJ786603 LCF786603 LMB786603 LVX786603 MFT786603 MPP786603 MZL786603 NJH786603 NTD786603 OCZ786603 OMV786603 OWR786603 PGN786603 PQJ786603 QAF786603 QKB786603 QTX786603 RDT786603 RNP786603 RXL786603 SHH786603 SRD786603 TAZ786603 TKV786603 TUR786603 UEN786603 UOJ786603 UYF786603 VIB786603 VRX786603 WBT786603 WLP786603 WVL786603 D852139 IZ852139 SV852139 ACR852139 AMN852139 AWJ852139 BGF852139 BQB852139 BZX852139 CJT852139 CTP852139 DDL852139 DNH852139 DXD852139 EGZ852139 EQV852139 FAR852139 FKN852139 FUJ852139 GEF852139 GOB852139 GXX852139 HHT852139 HRP852139 IBL852139 ILH852139 IVD852139 JEZ852139 JOV852139 JYR852139 KIN852139 KSJ852139 LCF852139 LMB852139 LVX852139 MFT852139 MPP852139 MZL852139 NJH852139 NTD852139 OCZ852139 OMV852139 OWR852139 PGN852139 PQJ852139 QAF852139 QKB852139 QTX852139 RDT852139 RNP852139 RXL852139 SHH852139 SRD852139 TAZ852139 TKV852139 TUR852139 UEN852139 UOJ852139 UYF852139 VIB852139 VRX852139 WBT852139 WLP852139 WVL852139 D917675 IZ917675 SV917675 ACR917675 AMN917675 AWJ917675 BGF917675 BQB917675 BZX917675 CJT917675 CTP917675 DDL917675 DNH917675 DXD917675 EGZ917675 EQV917675 FAR917675 FKN917675 FUJ917675 GEF917675 GOB917675 GXX917675 HHT917675 HRP917675 IBL917675 ILH917675 IVD917675 JEZ917675 JOV917675 JYR917675 KIN917675 KSJ917675 LCF917675 LMB917675 LVX917675 MFT917675 MPP917675 MZL917675 NJH917675 NTD917675 OCZ917675 OMV917675 OWR917675 PGN917675 PQJ917675 QAF917675 QKB917675 QTX917675 RDT917675 RNP917675 RXL917675 SHH917675 SRD917675 TAZ917675 TKV917675 TUR917675 UEN917675 UOJ917675 UYF917675 VIB917675 VRX917675 WBT917675 WLP917675 WVL917675 D983211 IZ983211 SV983211 ACR983211 AMN983211 AWJ983211 BGF983211 BQB983211 BZX983211 CJT983211 CTP983211 DDL983211 DNH983211 DXD983211 EGZ983211 EQV983211 FAR983211 FKN983211 FUJ983211 GEF983211 GOB983211 GXX983211 HHT983211 HRP983211 IBL983211 ILH983211 IVD983211 JEZ983211 JOV983211 JYR983211 KIN983211 KSJ983211 LCF983211 LMB983211 LVX983211 MFT983211 MPP983211 MZL983211 NJH983211 NTD983211 OCZ983211 OMV983211 OWR983211 PGN983211 PQJ983211 QAF983211 QKB983211 QTX983211 RDT983211 RNP983211 RXL983211 SHH983211 SRD983211 TAZ983211 TKV983211 TUR983211 UEN983211 UOJ983211 UYF983211 VIB983211 VRX983211 WBT983211 WLP983211 WVL983211 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5 IZ65625 SV65625 ACR65625 AMN65625 AWJ65625 BGF65625 BQB65625 BZX65625 CJT65625 CTP65625 DDL65625 DNH65625 DXD65625 EGZ65625 EQV65625 FAR65625 FKN65625 FUJ65625 GEF65625 GOB65625 GXX65625 HHT65625 HRP65625 IBL65625 ILH65625 IVD65625 JEZ65625 JOV65625 JYR65625 KIN65625 KSJ65625 LCF65625 LMB65625 LVX65625 MFT65625 MPP65625 MZL65625 NJH65625 NTD65625 OCZ65625 OMV65625 OWR65625 PGN65625 PQJ65625 QAF65625 QKB65625 QTX65625 RDT65625 RNP65625 RXL65625 SHH65625 SRD65625 TAZ65625 TKV65625 TUR65625 UEN65625 UOJ65625 UYF65625 VIB65625 VRX65625 WBT65625 WLP65625 WVL65625 D131161 IZ131161 SV131161 ACR131161 AMN131161 AWJ131161 BGF131161 BQB131161 BZX131161 CJT131161 CTP131161 DDL131161 DNH131161 DXD131161 EGZ131161 EQV131161 FAR131161 FKN131161 FUJ131161 GEF131161 GOB131161 GXX131161 HHT131161 HRP131161 IBL131161 ILH131161 IVD131161 JEZ131161 JOV131161 JYR131161 KIN131161 KSJ131161 LCF131161 LMB131161 LVX131161 MFT131161 MPP131161 MZL131161 NJH131161 NTD131161 OCZ131161 OMV131161 OWR131161 PGN131161 PQJ131161 QAF131161 QKB131161 QTX131161 RDT131161 RNP131161 RXL131161 SHH131161 SRD131161 TAZ131161 TKV131161 TUR131161 UEN131161 UOJ131161 UYF131161 VIB131161 VRX131161 WBT131161 WLP131161 WVL131161 D196697 IZ196697 SV196697 ACR196697 AMN196697 AWJ196697 BGF196697 BQB196697 BZX196697 CJT196697 CTP196697 DDL196697 DNH196697 DXD196697 EGZ196697 EQV196697 FAR196697 FKN196697 FUJ196697 GEF196697 GOB196697 GXX196697 HHT196697 HRP196697 IBL196697 ILH196697 IVD196697 JEZ196697 JOV196697 JYR196697 KIN196697 KSJ196697 LCF196697 LMB196697 LVX196697 MFT196697 MPP196697 MZL196697 NJH196697 NTD196697 OCZ196697 OMV196697 OWR196697 PGN196697 PQJ196697 QAF196697 QKB196697 QTX196697 RDT196697 RNP196697 RXL196697 SHH196697 SRD196697 TAZ196697 TKV196697 TUR196697 UEN196697 UOJ196697 UYF196697 VIB196697 VRX196697 WBT196697 WLP196697 WVL196697 D262233 IZ262233 SV262233 ACR262233 AMN262233 AWJ262233 BGF262233 BQB262233 BZX262233 CJT262233 CTP262233 DDL262233 DNH262233 DXD262233 EGZ262233 EQV262233 FAR262233 FKN262233 FUJ262233 GEF262233 GOB262233 GXX262233 HHT262233 HRP262233 IBL262233 ILH262233 IVD262233 JEZ262233 JOV262233 JYR262233 KIN262233 KSJ262233 LCF262233 LMB262233 LVX262233 MFT262233 MPP262233 MZL262233 NJH262233 NTD262233 OCZ262233 OMV262233 OWR262233 PGN262233 PQJ262233 QAF262233 QKB262233 QTX262233 RDT262233 RNP262233 RXL262233 SHH262233 SRD262233 TAZ262233 TKV262233 TUR262233 UEN262233 UOJ262233 UYF262233 VIB262233 VRX262233 WBT262233 WLP262233 WVL262233 D327769 IZ327769 SV327769 ACR327769 AMN327769 AWJ327769 BGF327769 BQB327769 BZX327769 CJT327769 CTP327769 DDL327769 DNH327769 DXD327769 EGZ327769 EQV327769 FAR327769 FKN327769 FUJ327769 GEF327769 GOB327769 GXX327769 HHT327769 HRP327769 IBL327769 ILH327769 IVD327769 JEZ327769 JOV327769 JYR327769 KIN327769 KSJ327769 LCF327769 LMB327769 LVX327769 MFT327769 MPP327769 MZL327769 NJH327769 NTD327769 OCZ327769 OMV327769 OWR327769 PGN327769 PQJ327769 QAF327769 QKB327769 QTX327769 RDT327769 RNP327769 RXL327769 SHH327769 SRD327769 TAZ327769 TKV327769 TUR327769 UEN327769 UOJ327769 UYF327769 VIB327769 VRX327769 WBT327769 WLP327769 WVL327769 D393305 IZ393305 SV393305 ACR393305 AMN393305 AWJ393305 BGF393305 BQB393305 BZX393305 CJT393305 CTP393305 DDL393305 DNH393305 DXD393305 EGZ393305 EQV393305 FAR393305 FKN393305 FUJ393305 GEF393305 GOB393305 GXX393305 HHT393305 HRP393305 IBL393305 ILH393305 IVD393305 JEZ393305 JOV393305 JYR393305 KIN393305 KSJ393305 LCF393305 LMB393305 LVX393305 MFT393305 MPP393305 MZL393305 NJH393305 NTD393305 OCZ393305 OMV393305 OWR393305 PGN393305 PQJ393305 QAF393305 QKB393305 QTX393305 RDT393305 RNP393305 RXL393305 SHH393305 SRD393305 TAZ393305 TKV393305 TUR393305 UEN393305 UOJ393305 UYF393305 VIB393305 VRX393305 WBT393305 WLP393305 WVL393305 D458841 IZ458841 SV458841 ACR458841 AMN458841 AWJ458841 BGF458841 BQB458841 BZX458841 CJT458841 CTP458841 DDL458841 DNH458841 DXD458841 EGZ458841 EQV458841 FAR458841 FKN458841 FUJ458841 GEF458841 GOB458841 GXX458841 HHT458841 HRP458841 IBL458841 ILH458841 IVD458841 JEZ458841 JOV458841 JYR458841 KIN458841 KSJ458841 LCF458841 LMB458841 LVX458841 MFT458841 MPP458841 MZL458841 NJH458841 NTD458841 OCZ458841 OMV458841 OWR458841 PGN458841 PQJ458841 QAF458841 QKB458841 QTX458841 RDT458841 RNP458841 RXL458841 SHH458841 SRD458841 TAZ458841 TKV458841 TUR458841 UEN458841 UOJ458841 UYF458841 VIB458841 VRX458841 WBT458841 WLP458841 WVL458841 D524377 IZ524377 SV524377 ACR524377 AMN524377 AWJ524377 BGF524377 BQB524377 BZX524377 CJT524377 CTP524377 DDL524377 DNH524377 DXD524377 EGZ524377 EQV524377 FAR524377 FKN524377 FUJ524377 GEF524377 GOB524377 GXX524377 HHT524377 HRP524377 IBL524377 ILH524377 IVD524377 JEZ524377 JOV524377 JYR524377 KIN524377 KSJ524377 LCF524377 LMB524377 LVX524377 MFT524377 MPP524377 MZL524377 NJH524377 NTD524377 OCZ524377 OMV524377 OWR524377 PGN524377 PQJ524377 QAF524377 QKB524377 QTX524377 RDT524377 RNP524377 RXL524377 SHH524377 SRD524377 TAZ524377 TKV524377 TUR524377 UEN524377 UOJ524377 UYF524377 VIB524377 VRX524377 WBT524377 WLP524377 WVL524377 D589913 IZ589913 SV589913 ACR589913 AMN589913 AWJ589913 BGF589913 BQB589913 BZX589913 CJT589913 CTP589913 DDL589913 DNH589913 DXD589913 EGZ589913 EQV589913 FAR589913 FKN589913 FUJ589913 GEF589913 GOB589913 GXX589913 HHT589913 HRP589913 IBL589913 ILH589913 IVD589913 JEZ589913 JOV589913 JYR589913 KIN589913 KSJ589913 LCF589913 LMB589913 LVX589913 MFT589913 MPP589913 MZL589913 NJH589913 NTD589913 OCZ589913 OMV589913 OWR589913 PGN589913 PQJ589913 QAF589913 QKB589913 QTX589913 RDT589913 RNP589913 RXL589913 SHH589913 SRD589913 TAZ589913 TKV589913 TUR589913 UEN589913 UOJ589913 UYF589913 VIB589913 VRX589913 WBT589913 WLP589913 WVL589913 D655449 IZ655449 SV655449 ACR655449 AMN655449 AWJ655449 BGF655449 BQB655449 BZX655449 CJT655449 CTP655449 DDL655449 DNH655449 DXD655449 EGZ655449 EQV655449 FAR655449 FKN655449 FUJ655449 GEF655449 GOB655449 GXX655449 HHT655449 HRP655449 IBL655449 ILH655449 IVD655449 JEZ655449 JOV655449 JYR655449 KIN655449 KSJ655449 LCF655449 LMB655449 LVX655449 MFT655449 MPP655449 MZL655449 NJH655449 NTD655449 OCZ655449 OMV655449 OWR655449 PGN655449 PQJ655449 QAF655449 QKB655449 QTX655449 RDT655449 RNP655449 RXL655449 SHH655449 SRD655449 TAZ655449 TKV655449 TUR655449 UEN655449 UOJ655449 UYF655449 VIB655449 VRX655449 WBT655449 WLP655449 WVL655449 D720985 IZ720985 SV720985 ACR720985 AMN720985 AWJ720985 BGF720985 BQB720985 BZX720985 CJT720985 CTP720985 DDL720985 DNH720985 DXD720985 EGZ720985 EQV720985 FAR720985 FKN720985 FUJ720985 GEF720985 GOB720985 GXX720985 HHT720985 HRP720985 IBL720985 ILH720985 IVD720985 JEZ720985 JOV720985 JYR720985 KIN720985 KSJ720985 LCF720985 LMB720985 LVX720985 MFT720985 MPP720985 MZL720985 NJH720985 NTD720985 OCZ720985 OMV720985 OWR720985 PGN720985 PQJ720985 QAF720985 QKB720985 QTX720985 RDT720985 RNP720985 RXL720985 SHH720985 SRD720985 TAZ720985 TKV720985 TUR720985 UEN720985 UOJ720985 UYF720985 VIB720985 VRX720985 WBT720985 WLP720985 WVL720985 D786521 IZ786521 SV786521 ACR786521 AMN786521 AWJ786521 BGF786521 BQB786521 BZX786521 CJT786521 CTP786521 DDL786521 DNH786521 DXD786521 EGZ786521 EQV786521 FAR786521 FKN786521 FUJ786521 GEF786521 GOB786521 GXX786521 HHT786521 HRP786521 IBL786521 ILH786521 IVD786521 JEZ786521 JOV786521 JYR786521 KIN786521 KSJ786521 LCF786521 LMB786521 LVX786521 MFT786521 MPP786521 MZL786521 NJH786521 NTD786521 OCZ786521 OMV786521 OWR786521 PGN786521 PQJ786521 QAF786521 QKB786521 QTX786521 RDT786521 RNP786521 RXL786521 SHH786521 SRD786521 TAZ786521 TKV786521 TUR786521 UEN786521 UOJ786521 UYF786521 VIB786521 VRX786521 WBT786521 WLP786521 WVL786521 D852057 IZ852057 SV852057 ACR852057 AMN852057 AWJ852057 BGF852057 BQB852057 BZX852057 CJT852057 CTP852057 DDL852057 DNH852057 DXD852057 EGZ852057 EQV852057 FAR852057 FKN852057 FUJ852057 GEF852057 GOB852057 GXX852057 HHT852057 HRP852057 IBL852057 ILH852057 IVD852057 JEZ852057 JOV852057 JYR852057 KIN852057 KSJ852057 LCF852057 LMB852057 LVX852057 MFT852057 MPP852057 MZL852057 NJH852057 NTD852057 OCZ852057 OMV852057 OWR852057 PGN852057 PQJ852057 QAF852057 QKB852057 QTX852057 RDT852057 RNP852057 RXL852057 SHH852057 SRD852057 TAZ852057 TKV852057 TUR852057 UEN852057 UOJ852057 UYF852057 VIB852057 VRX852057 WBT852057 WLP852057 WVL852057 D917593 IZ917593 SV917593 ACR917593 AMN917593 AWJ917593 BGF917593 BQB917593 BZX917593 CJT917593 CTP917593 DDL917593 DNH917593 DXD917593 EGZ917593 EQV917593 FAR917593 FKN917593 FUJ917593 GEF917593 GOB917593 GXX917593 HHT917593 HRP917593 IBL917593 ILH917593 IVD917593 JEZ917593 JOV917593 JYR917593 KIN917593 KSJ917593 LCF917593 LMB917593 LVX917593 MFT917593 MPP917593 MZL917593 NJH917593 NTD917593 OCZ917593 OMV917593 OWR917593 PGN917593 PQJ917593 QAF917593 QKB917593 QTX917593 RDT917593 RNP917593 RXL917593 SHH917593 SRD917593 TAZ917593 TKV917593 TUR917593 UEN917593 UOJ917593 UYF917593 VIB917593 VRX917593 WBT917593 WLP917593 WVL917593 D983129 IZ983129 SV983129 ACR983129 AMN983129 AWJ983129 BGF983129 BQB983129 BZX983129 CJT983129 CTP983129 DDL983129 DNH983129 DXD983129 EGZ983129 EQV983129 FAR983129 FKN983129 FUJ983129 GEF983129 GOB983129 GXX983129 HHT983129 HRP983129 IBL983129 ILH983129 IVD983129 JEZ983129 JOV983129 JYR983129 KIN983129 KSJ983129 LCF983129 LMB983129 LVX983129 MFT983129 MPP983129 MZL983129 NJH983129 NTD983129 OCZ983129 OMV983129 OWR983129 PGN983129 PQJ983129 QAF983129 QKB983129 QTX983129 RDT983129 RNP983129 RXL983129 SHH983129 SRD983129 TAZ983129 TKV983129 TUR983129 UEN983129 UOJ983129 UYF983129 VIB983129 VRX983129 WBT983129 WLP983129 WVL983129" xr:uid="{950DFFAC-C093-4DC7-899F-233C8028AE0D}">
      <formula1>"Core1,Core2,Core3"</formula1>
    </dataValidation>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42:E65542 IZ65542:JA65542 SV65542:SW65542 ACR65542:ACS65542 AMN65542:AMO65542 AWJ65542:AWK65542 BGF65542:BGG65542 BQB65542:BQC65542 BZX65542:BZY65542 CJT65542:CJU65542 CTP65542:CTQ65542 DDL65542:DDM65542 DNH65542:DNI65542 DXD65542:DXE65542 EGZ65542:EHA65542 EQV65542:EQW65542 FAR65542:FAS65542 FKN65542:FKO65542 FUJ65542:FUK65542 GEF65542:GEG65542 GOB65542:GOC65542 GXX65542:GXY65542 HHT65542:HHU65542 HRP65542:HRQ65542 IBL65542:IBM65542 ILH65542:ILI65542 IVD65542:IVE65542 JEZ65542:JFA65542 JOV65542:JOW65542 JYR65542:JYS65542 KIN65542:KIO65542 KSJ65542:KSK65542 LCF65542:LCG65542 LMB65542:LMC65542 LVX65542:LVY65542 MFT65542:MFU65542 MPP65542:MPQ65542 MZL65542:MZM65542 NJH65542:NJI65542 NTD65542:NTE65542 OCZ65542:ODA65542 OMV65542:OMW65542 OWR65542:OWS65542 PGN65542:PGO65542 PQJ65542:PQK65542 QAF65542:QAG65542 QKB65542:QKC65542 QTX65542:QTY65542 RDT65542:RDU65542 RNP65542:RNQ65542 RXL65542:RXM65542 SHH65542:SHI65542 SRD65542:SRE65542 TAZ65542:TBA65542 TKV65542:TKW65542 TUR65542:TUS65542 UEN65542:UEO65542 UOJ65542:UOK65542 UYF65542:UYG65542 VIB65542:VIC65542 VRX65542:VRY65542 WBT65542:WBU65542 WLP65542:WLQ65542 WVL65542:WVM65542 D131078:E131078 IZ131078:JA131078 SV131078:SW131078 ACR131078:ACS131078 AMN131078:AMO131078 AWJ131078:AWK131078 BGF131078:BGG131078 BQB131078:BQC131078 BZX131078:BZY131078 CJT131078:CJU131078 CTP131078:CTQ131078 DDL131078:DDM131078 DNH131078:DNI131078 DXD131078:DXE131078 EGZ131078:EHA131078 EQV131078:EQW131078 FAR131078:FAS131078 FKN131078:FKO131078 FUJ131078:FUK131078 GEF131078:GEG131078 GOB131078:GOC131078 GXX131078:GXY131078 HHT131078:HHU131078 HRP131078:HRQ131078 IBL131078:IBM131078 ILH131078:ILI131078 IVD131078:IVE131078 JEZ131078:JFA131078 JOV131078:JOW131078 JYR131078:JYS131078 KIN131078:KIO131078 KSJ131078:KSK131078 LCF131078:LCG131078 LMB131078:LMC131078 LVX131078:LVY131078 MFT131078:MFU131078 MPP131078:MPQ131078 MZL131078:MZM131078 NJH131078:NJI131078 NTD131078:NTE131078 OCZ131078:ODA131078 OMV131078:OMW131078 OWR131078:OWS131078 PGN131078:PGO131078 PQJ131078:PQK131078 QAF131078:QAG131078 QKB131078:QKC131078 QTX131078:QTY131078 RDT131078:RDU131078 RNP131078:RNQ131078 RXL131078:RXM131078 SHH131078:SHI131078 SRD131078:SRE131078 TAZ131078:TBA131078 TKV131078:TKW131078 TUR131078:TUS131078 UEN131078:UEO131078 UOJ131078:UOK131078 UYF131078:UYG131078 VIB131078:VIC131078 VRX131078:VRY131078 WBT131078:WBU131078 WLP131078:WLQ131078 WVL131078:WVM131078 D196614:E196614 IZ196614:JA196614 SV196614:SW196614 ACR196614:ACS196614 AMN196614:AMO196614 AWJ196614:AWK196614 BGF196614:BGG196614 BQB196614:BQC196614 BZX196614:BZY196614 CJT196614:CJU196614 CTP196614:CTQ196614 DDL196614:DDM196614 DNH196614:DNI196614 DXD196614:DXE196614 EGZ196614:EHA196614 EQV196614:EQW196614 FAR196614:FAS196614 FKN196614:FKO196614 FUJ196614:FUK196614 GEF196614:GEG196614 GOB196614:GOC196614 GXX196614:GXY196614 HHT196614:HHU196614 HRP196614:HRQ196614 IBL196614:IBM196614 ILH196614:ILI196614 IVD196614:IVE196614 JEZ196614:JFA196614 JOV196614:JOW196614 JYR196614:JYS196614 KIN196614:KIO196614 KSJ196614:KSK196614 LCF196614:LCG196614 LMB196614:LMC196614 LVX196614:LVY196614 MFT196614:MFU196614 MPP196614:MPQ196614 MZL196614:MZM196614 NJH196614:NJI196614 NTD196614:NTE196614 OCZ196614:ODA196614 OMV196614:OMW196614 OWR196614:OWS196614 PGN196614:PGO196614 PQJ196614:PQK196614 QAF196614:QAG196614 QKB196614:QKC196614 QTX196614:QTY196614 RDT196614:RDU196614 RNP196614:RNQ196614 RXL196614:RXM196614 SHH196614:SHI196614 SRD196614:SRE196614 TAZ196614:TBA196614 TKV196614:TKW196614 TUR196614:TUS196614 UEN196614:UEO196614 UOJ196614:UOK196614 UYF196614:UYG196614 VIB196614:VIC196614 VRX196614:VRY196614 WBT196614:WBU196614 WLP196614:WLQ196614 WVL196614:WVM196614 D262150:E262150 IZ262150:JA262150 SV262150:SW262150 ACR262150:ACS262150 AMN262150:AMO262150 AWJ262150:AWK262150 BGF262150:BGG262150 BQB262150:BQC262150 BZX262150:BZY262150 CJT262150:CJU262150 CTP262150:CTQ262150 DDL262150:DDM262150 DNH262150:DNI262150 DXD262150:DXE262150 EGZ262150:EHA262150 EQV262150:EQW262150 FAR262150:FAS262150 FKN262150:FKO262150 FUJ262150:FUK262150 GEF262150:GEG262150 GOB262150:GOC262150 GXX262150:GXY262150 HHT262150:HHU262150 HRP262150:HRQ262150 IBL262150:IBM262150 ILH262150:ILI262150 IVD262150:IVE262150 JEZ262150:JFA262150 JOV262150:JOW262150 JYR262150:JYS262150 KIN262150:KIO262150 KSJ262150:KSK262150 LCF262150:LCG262150 LMB262150:LMC262150 LVX262150:LVY262150 MFT262150:MFU262150 MPP262150:MPQ262150 MZL262150:MZM262150 NJH262150:NJI262150 NTD262150:NTE262150 OCZ262150:ODA262150 OMV262150:OMW262150 OWR262150:OWS262150 PGN262150:PGO262150 PQJ262150:PQK262150 QAF262150:QAG262150 QKB262150:QKC262150 QTX262150:QTY262150 RDT262150:RDU262150 RNP262150:RNQ262150 RXL262150:RXM262150 SHH262150:SHI262150 SRD262150:SRE262150 TAZ262150:TBA262150 TKV262150:TKW262150 TUR262150:TUS262150 UEN262150:UEO262150 UOJ262150:UOK262150 UYF262150:UYG262150 VIB262150:VIC262150 VRX262150:VRY262150 WBT262150:WBU262150 WLP262150:WLQ262150 WVL262150:WVM262150 D327686:E327686 IZ327686:JA327686 SV327686:SW327686 ACR327686:ACS327686 AMN327686:AMO327686 AWJ327686:AWK327686 BGF327686:BGG327686 BQB327686:BQC327686 BZX327686:BZY327686 CJT327686:CJU327686 CTP327686:CTQ327686 DDL327686:DDM327686 DNH327686:DNI327686 DXD327686:DXE327686 EGZ327686:EHA327686 EQV327686:EQW327686 FAR327686:FAS327686 FKN327686:FKO327686 FUJ327686:FUK327686 GEF327686:GEG327686 GOB327686:GOC327686 GXX327686:GXY327686 HHT327686:HHU327686 HRP327686:HRQ327686 IBL327686:IBM327686 ILH327686:ILI327686 IVD327686:IVE327686 JEZ327686:JFA327686 JOV327686:JOW327686 JYR327686:JYS327686 KIN327686:KIO327686 KSJ327686:KSK327686 LCF327686:LCG327686 LMB327686:LMC327686 LVX327686:LVY327686 MFT327686:MFU327686 MPP327686:MPQ327686 MZL327686:MZM327686 NJH327686:NJI327686 NTD327686:NTE327686 OCZ327686:ODA327686 OMV327686:OMW327686 OWR327686:OWS327686 PGN327686:PGO327686 PQJ327686:PQK327686 QAF327686:QAG327686 QKB327686:QKC327686 QTX327686:QTY327686 RDT327686:RDU327686 RNP327686:RNQ327686 RXL327686:RXM327686 SHH327686:SHI327686 SRD327686:SRE327686 TAZ327686:TBA327686 TKV327686:TKW327686 TUR327686:TUS327686 UEN327686:UEO327686 UOJ327686:UOK327686 UYF327686:UYG327686 VIB327686:VIC327686 VRX327686:VRY327686 WBT327686:WBU327686 WLP327686:WLQ327686 WVL327686:WVM327686 D393222:E393222 IZ393222:JA393222 SV393222:SW393222 ACR393222:ACS393222 AMN393222:AMO393222 AWJ393222:AWK393222 BGF393222:BGG393222 BQB393222:BQC393222 BZX393222:BZY393222 CJT393222:CJU393222 CTP393222:CTQ393222 DDL393222:DDM393222 DNH393222:DNI393222 DXD393222:DXE393222 EGZ393222:EHA393222 EQV393222:EQW393222 FAR393222:FAS393222 FKN393222:FKO393222 FUJ393222:FUK393222 GEF393222:GEG393222 GOB393222:GOC393222 GXX393222:GXY393222 HHT393222:HHU393222 HRP393222:HRQ393222 IBL393222:IBM393222 ILH393222:ILI393222 IVD393222:IVE393222 JEZ393222:JFA393222 JOV393222:JOW393222 JYR393222:JYS393222 KIN393222:KIO393222 KSJ393222:KSK393222 LCF393222:LCG393222 LMB393222:LMC393222 LVX393222:LVY393222 MFT393222:MFU393222 MPP393222:MPQ393222 MZL393222:MZM393222 NJH393222:NJI393222 NTD393222:NTE393222 OCZ393222:ODA393222 OMV393222:OMW393222 OWR393222:OWS393222 PGN393222:PGO393222 PQJ393222:PQK393222 QAF393222:QAG393222 QKB393222:QKC393222 QTX393222:QTY393222 RDT393222:RDU393222 RNP393222:RNQ393222 RXL393222:RXM393222 SHH393222:SHI393222 SRD393222:SRE393222 TAZ393222:TBA393222 TKV393222:TKW393222 TUR393222:TUS393222 UEN393222:UEO393222 UOJ393222:UOK393222 UYF393222:UYG393222 VIB393222:VIC393222 VRX393222:VRY393222 WBT393222:WBU393222 WLP393222:WLQ393222 WVL393222:WVM393222 D458758:E458758 IZ458758:JA458758 SV458758:SW458758 ACR458758:ACS458758 AMN458758:AMO458758 AWJ458758:AWK458758 BGF458758:BGG458758 BQB458758:BQC458758 BZX458758:BZY458758 CJT458758:CJU458758 CTP458758:CTQ458758 DDL458758:DDM458758 DNH458758:DNI458758 DXD458758:DXE458758 EGZ458758:EHA458758 EQV458758:EQW458758 FAR458758:FAS458758 FKN458758:FKO458758 FUJ458758:FUK458758 GEF458758:GEG458758 GOB458758:GOC458758 GXX458758:GXY458758 HHT458758:HHU458758 HRP458758:HRQ458758 IBL458758:IBM458758 ILH458758:ILI458758 IVD458758:IVE458758 JEZ458758:JFA458758 JOV458758:JOW458758 JYR458758:JYS458758 KIN458758:KIO458758 KSJ458758:KSK458758 LCF458758:LCG458758 LMB458758:LMC458758 LVX458758:LVY458758 MFT458758:MFU458758 MPP458758:MPQ458758 MZL458758:MZM458758 NJH458758:NJI458758 NTD458758:NTE458758 OCZ458758:ODA458758 OMV458758:OMW458758 OWR458758:OWS458758 PGN458758:PGO458758 PQJ458758:PQK458758 QAF458758:QAG458758 QKB458758:QKC458758 QTX458758:QTY458758 RDT458758:RDU458758 RNP458758:RNQ458758 RXL458758:RXM458758 SHH458758:SHI458758 SRD458758:SRE458758 TAZ458758:TBA458758 TKV458758:TKW458758 TUR458758:TUS458758 UEN458758:UEO458758 UOJ458758:UOK458758 UYF458758:UYG458758 VIB458758:VIC458758 VRX458758:VRY458758 WBT458758:WBU458758 WLP458758:WLQ458758 WVL458758:WVM458758 D524294:E524294 IZ524294:JA524294 SV524294:SW524294 ACR524294:ACS524294 AMN524294:AMO524294 AWJ524294:AWK524294 BGF524294:BGG524294 BQB524294:BQC524294 BZX524294:BZY524294 CJT524294:CJU524294 CTP524294:CTQ524294 DDL524294:DDM524294 DNH524294:DNI524294 DXD524294:DXE524294 EGZ524294:EHA524294 EQV524294:EQW524294 FAR524294:FAS524294 FKN524294:FKO524294 FUJ524294:FUK524294 GEF524294:GEG524294 GOB524294:GOC524294 GXX524294:GXY524294 HHT524294:HHU524294 HRP524294:HRQ524294 IBL524294:IBM524294 ILH524294:ILI524294 IVD524294:IVE524294 JEZ524294:JFA524294 JOV524294:JOW524294 JYR524294:JYS524294 KIN524294:KIO524294 KSJ524294:KSK524294 LCF524294:LCG524294 LMB524294:LMC524294 LVX524294:LVY524294 MFT524294:MFU524294 MPP524294:MPQ524294 MZL524294:MZM524294 NJH524294:NJI524294 NTD524294:NTE524294 OCZ524294:ODA524294 OMV524294:OMW524294 OWR524294:OWS524294 PGN524294:PGO524294 PQJ524294:PQK524294 QAF524294:QAG524294 QKB524294:QKC524294 QTX524294:QTY524294 RDT524294:RDU524294 RNP524294:RNQ524294 RXL524294:RXM524294 SHH524294:SHI524294 SRD524294:SRE524294 TAZ524294:TBA524294 TKV524294:TKW524294 TUR524294:TUS524294 UEN524294:UEO524294 UOJ524294:UOK524294 UYF524294:UYG524294 VIB524294:VIC524294 VRX524294:VRY524294 WBT524294:WBU524294 WLP524294:WLQ524294 WVL524294:WVM524294 D589830:E589830 IZ589830:JA589830 SV589830:SW589830 ACR589830:ACS589830 AMN589830:AMO589830 AWJ589830:AWK589830 BGF589830:BGG589830 BQB589830:BQC589830 BZX589830:BZY589830 CJT589830:CJU589830 CTP589830:CTQ589830 DDL589830:DDM589830 DNH589830:DNI589830 DXD589830:DXE589830 EGZ589830:EHA589830 EQV589830:EQW589830 FAR589830:FAS589830 FKN589830:FKO589830 FUJ589830:FUK589830 GEF589830:GEG589830 GOB589830:GOC589830 GXX589830:GXY589830 HHT589830:HHU589830 HRP589830:HRQ589830 IBL589830:IBM589830 ILH589830:ILI589830 IVD589830:IVE589830 JEZ589830:JFA589830 JOV589830:JOW589830 JYR589830:JYS589830 KIN589830:KIO589830 KSJ589830:KSK589830 LCF589830:LCG589830 LMB589830:LMC589830 LVX589830:LVY589830 MFT589830:MFU589830 MPP589830:MPQ589830 MZL589830:MZM589830 NJH589830:NJI589830 NTD589830:NTE589830 OCZ589830:ODA589830 OMV589830:OMW589830 OWR589830:OWS589830 PGN589830:PGO589830 PQJ589830:PQK589830 QAF589830:QAG589830 QKB589830:QKC589830 QTX589830:QTY589830 RDT589830:RDU589830 RNP589830:RNQ589830 RXL589830:RXM589830 SHH589830:SHI589830 SRD589830:SRE589830 TAZ589830:TBA589830 TKV589830:TKW589830 TUR589830:TUS589830 UEN589830:UEO589830 UOJ589830:UOK589830 UYF589830:UYG589830 VIB589830:VIC589830 VRX589830:VRY589830 WBT589830:WBU589830 WLP589830:WLQ589830 WVL589830:WVM589830 D655366:E655366 IZ655366:JA655366 SV655366:SW655366 ACR655366:ACS655366 AMN655366:AMO655366 AWJ655366:AWK655366 BGF655366:BGG655366 BQB655366:BQC655366 BZX655366:BZY655366 CJT655366:CJU655366 CTP655366:CTQ655366 DDL655366:DDM655366 DNH655366:DNI655366 DXD655366:DXE655366 EGZ655366:EHA655366 EQV655366:EQW655366 FAR655366:FAS655366 FKN655366:FKO655366 FUJ655366:FUK655366 GEF655366:GEG655366 GOB655366:GOC655366 GXX655366:GXY655366 HHT655366:HHU655366 HRP655366:HRQ655366 IBL655366:IBM655366 ILH655366:ILI655366 IVD655366:IVE655366 JEZ655366:JFA655366 JOV655366:JOW655366 JYR655366:JYS655366 KIN655366:KIO655366 KSJ655366:KSK655366 LCF655366:LCG655366 LMB655366:LMC655366 LVX655366:LVY655366 MFT655366:MFU655366 MPP655366:MPQ655366 MZL655366:MZM655366 NJH655366:NJI655366 NTD655366:NTE655366 OCZ655366:ODA655366 OMV655366:OMW655366 OWR655366:OWS655366 PGN655366:PGO655366 PQJ655366:PQK655366 QAF655366:QAG655366 QKB655366:QKC655366 QTX655366:QTY655366 RDT655366:RDU655366 RNP655366:RNQ655366 RXL655366:RXM655366 SHH655366:SHI655366 SRD655366:SRE655366 TAZ655366:TBA655366 TKV655366:TKW655366 TUR655366:TUS655366 UEN655366:UEO655366 UOJ655366:UOK655366 UYF655366:UYG655366 VIB655366:VIC655366 VRX655366:VRY655366 WBT655366:WBU655366 WLP655366:WLQ655366 WVL655366:WVM655366 D720902:E720902 IZ720902:JA720902 SV720902:SW720902 ACR720902:ACS720902 AMN720902:AMO720902 AWJ720902:AWK720902 BGF720902:BGG720902 BQB720902:BQC720902 BZX720902:BZY720902 CJT720902:CJU720902 CTP720902:CTQ720902 DDL720902:DDM720902 DNH720902:DNI720902 DXD720902:DXE720902 EGZ720902:EHA720902 EQV720902:EQW720902 FAR720902:FAS720902 FKN720902:FKO720902 FUJ720902:FUK720902 GEF720902:GEG720902 GOB720902:GOC720902 GXX720902:GXY720902 HHT720902:HHU720902 HRP720902:HRQ720902 IBL720902:IBM720902 ILH720902:ILI720902 IVD720902:IVE720902 JEZ720902:JFA720902 JOV720902:JOW720902 JYR720902:JYS720902 KIN720902:KIO720902 KSJ720902:KSK720902 LCF720902:LCG720902 LMB720902:LMC720902 LVX720902:LVY720902 MFT720902:MFU720902 MPP720902:MPQ720902 MZL720902:MZM720902 NJH720902:NJI720902 NTD720902:NTE720902 OCZ720902:ODA720902 OMV720902:OMW720902 OWR720902:OWS720902 PGN720902:PGO720902 PQJ720902:PQK720902 QAF720902:QAG720902 QKB720902:QKC720902 QTX720902:QTY720902 RDT720902:RDU720902 RNP720902:RNQ720902 RXL720902:RXM720902 SHH720902:SHI720902 SRD720902:SRE720902 TAZ720902:TBA720902 TKV720902:TKW720902 TUR720902:TUS720902 UEN720902:UEO720902 UOJ720902:UOK720902 UYF720902:UYG720902 VIB720902:VIC720902 VRX720902:VRY720902 WBT720902:WBU720902 WLP720902:WLQ720902 WVL720902:WVM720902 D786438:E786438 IZ786438:JA786438 SV786438:SW786438 ACR786438:ACS786438 AMN786438:AMO786438 AWJ786438:AWK786438 BGF786438:BGG786438 BQB786438:BQC786438 BZX786438:BZY786438 CJT786438:CJU786438 CTP786438:CTQ786438 DDL786438:DDM786438 DNH786438:DNI786438 DXD786438:DXE786438 EGZ786438:EHA786438 EQV786438:EQW786438 FAR786438:FAS786438 FKN786438:FKO786438 FUJ786438:FUK786438 GEF786438:GEG786438 GOB786438:GOC786438 GXX786438:GXY786438 HHT786438:HHU786438 HRP786438:HRQ786438 IBL786438:IBM786438 ILH786438:ILI786438 IVD786438:IVE786438 JEZ786438:JFA786438 JOV786438:JOW786438 JYR786438:JYS786438 KIN786438:KIO786438 KSJ786438:KSK786438 LCF786438:LCG786438 LMB786438:LMC786438 LVX786438:LVY786438 MFT786438:MFU786438 MPP786438:MPQ786438 MZL786438:MZM786438 NJH786438:NJI786438 NTD786438:NTE786438 OCZ786438:ODA786438 OMV786438:OMW786438 OWR786438:OWS786438 PGN786438:PGO786438 PQJ786438:PQK786438 QAF786438:QAG786438 QKB786438:QKC786438 QTX786438:QTY786438 RDT786438:RDU786438 RNP786438:RNQ786438 RXL786438:RXM786438 SHH786438:SHI786438 SRD786438:SRE786438 TAZ786438:TBA786438 TKV786438:TKW786438 TUR786438:TUS786438 UEN786438:UEO786438 UOJ786438:UOK786438 UYF786438:UYG786438 VIB786438:VIC786438 VRX786438:VRY786438 WBT786438:WBU786438 WLP786438:WLQ786438 WVL786438:WVM786438 D851974:E851974 IZ851974:JA851974 SV851974:SW851974 ACR851974:ACS851974 AMN851974:AMO851974 AWJ851974:AWK851974 BGF851974:BGG851974 BQB851974:BQC851974 BZX851974:BZY851974 CJT851974:CJU851974 CTP851974:CTQ851974 DDL851974:DDM851974 DNH851974:DNI851974 DXD851974:DXE851974 EGZ851974:EHA851974 EQV851974:EQW851974 FAR851974:FAS851974 FKN851974:FKO851974 FUJ851974:FUK851974 GEF851974:GEG851974 GOB851974:GOC851974 GXX851974:GXY851974 HHT851974:HHU851974 HRP851974:HRQ851974 IBL851974:IBM851974 ILH851974:ILI851974 IVD851974:IVE851974 JEZ851974:JFA851974 JOV851974:JOW851974 JYR851974:JYS851974 KIN851974:KIO851974 KSJ851974:KSK851974 LCF851974:LCG851974 LMB851974:LMC851974 LVX851974:LVY851974 MFT851974:MFU851974 MPP851974:MPQ851974 MZL851974:MZM851974 NJH851974:NJI851974 NTD851974:NTE851974 OCZ851974:ODA851974 OMV851974:OMW851974 OWR851974:OWS851974 PGN851974:PGO851974 PQJ851974:PQK851974 QAF851974:QAG851974 QKB851974:QKC851974 QTX851974:QTY851974 RDT851974:RDU851974 RNP851974:RNQ851974 RXL851974:RXM851974 SHH851974:SHI851974 SRD851974:SRE851974 TAZ851974:TBA851974 TKV851974:TKW851974 TUR851974:TUS851974 UEN851974:UEO851974 UOJ851974:UOK851974 UYF851974:UYG851974 VIB851974:VIC851974 VRX851974:VRY851974 WBT851974:WBU851974 WLP851974:WLQ851974 WVL851974:WVM851974 D917510:E917510 IZ917510:JA917510 SV917510:SW917510 ACR917510:ACS917510 AMN917510:AMO917510 AWJ917510:AWK917510 BGF917510:BGG917510 BQB917510:BQC917510 BZX917510:BZY917510 CJT917510:CJU917510 CTP917510:CTQ917510 DDL917510:DDM917510 DNH917510:DNI917510 DXD917510:DXE917510 EGZ917510:EHA917510 EQV917510:EQW917510 FAR917510:FAS917510 FKN917510:FKO917510 FUJ917510:FUK917510 GEF917510:GEG917510 GOB917510:GOC917510 GXX917510:GXY917510 HHT917510:HHU917510 HRP917510:HRQ917510 IBL917510:IBM917510 ILH917510:ILI917510 IVD917510:IVE917510 JEZ917510:JFA917510 JOV917510:JOW917510 JYR917510:JYS917510 KIN917510:KIO917510 KSJ917510:KSK917510 LCF917510:LCG917510 LMB917510:LMC917510 LVX917510:LVY917510 MFT917510:MFU917510 MPP917510:MPQ917510 MZL917510:MZM917510 NJH917510:NJI917510 NTD917510:NTE917510 OCZ917510:ODA917510 OMV917510:OMW917510 OWR917510:OWS917510 PGN917510:PGO917510 PQJ917510:PQK917510 QAF917510:QAG917510 QKB917510:QKC917510 QTX917510:QTY917510 RDT917510:RDU917510 RNP917510:RNQ917510 RXL917510:RXM917510 SHH917510:SHI917510 SRD917510:SRE917510 TAZ917510:TBA917510 TKV917510:TKW917510 TUR917510:TUS917510 UEN917510:UEO917510 UOJ917510:UOK917510 UYF917510:UYG917510 VIB917510:VIC917510 VRX917510:VRY917510 WBT917510:WBU917510 WLP917510:WLQ917510 WVL917510:WVM917510 D983046:E983046 IZ983046:JA983046 SV983046:SW983046 ACR983046:ACS983046 AMN983046:AMO983046 AWJ983046:AWK983046 BGF983046:BGG983046 BQB983046:BQC983046 BZX983046:BZY983046 CJT983046:CJU983046 CTP983046:CTQ983046 DDL983046:DDM983046 DNH983046:DNI983046 DXD983046:DXE983046 EGZ983046:EHA983046 EQV983046:EQW983046 FAR983046:FAS983046 FKN983046:FKO983046 FUJ983046:FUK983046 GEF983046:GEG983046 GOB983046:GOC983046 GXX983046:GXY983046 HHT983046:HHU983046 HRP983046:HRQ983046 IBL983046:IBM983046 ILH983046:ILI983046 IVD983046:IVE983046 JEZ983046:JFA983046 JOV983046:JOW983046 JYR983046:JYS983046 KIN983046:KIO983046 KSJ983046:KSK983046 LCF983046:LCG983046 LMB983046:LMC983046 LVX983046:LVY983046 MFT983046:MFU983046 MPP983046:MPQ983046 MZL983046:MZM983046 NJH983046:NJI983046 NTD983046:NTE983046 OCZ983046:ODA983046 OMV983046:OMW983046 OWR983046:OWS983046 PGN983046:PGO983046 PQJ983046:PQK983046 QAF983046:QAG983046 QKB983046:QKC983046 QTX983046:QTY983046 RDT983046:RDU983046 RNP983046:RNQ983046 RXL983046:RXM983046 SHH983046:SHI983046 SRD983046:SRE983046 TAZ983046:TBA983046 TKV983046:TKW983046 TUR983046:TUS983046 UEN983046:UEO983046 UOJ983046:UOK983046 UYF983046:UYG983046 VIB983046:VIC983046 VRX983046:VRY983046 WBT983046:WBU983046 WLP983046:WLQ983046 WVL983046:WVM983046" xr:uid="{7DDD03A3-6EC9-4811-9AE8-7745E398E673}">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2" manualBreakCount="2">
    <brk id="46" max="21" man="1"/>
    <brk id="257" max="21" man="1"/>
  </rowBreak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C54E3-A8F9-48FD-B7CA-989C6820E042}">
  <sheetPr>
    <tabColor rgb="FFFFFF00"/>
  </sheetPr>
  <dimension ref="A1:Y302"/>
  <sheetViews>
    <sheetView showZeros="0" view="pageBreakPreview" zoomScale="115" zoomScaleNormal="100" zoomScaleSheetLayoutView="115" workbookViewId="0">
      <selection activeCell="K13" sqref="K1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717" t="s">
        <v>0</v>
      </c>
      <c r="B1" s="718"/>
      <c r="C1" s="718"/>
      <c r="D1" s="718"/>
      <c r="E1" s="718"/>
      <c r="F1" s="718"/>
      <c r="G1" s="719"/>
      <c r="H1" s="726" t="str">
        <f>[4]Title!H1</f>
        <v>CT / VT</v>
      </c>
      <c r="I1" s="727"/>
      <c r="J1" s="727"/>
      <c r="K1" s="727"/>
      <c r="L1" s="727"/>
      <c r="M1" s="727"/>
      <c r="N1" s="728"/>
      <c r="O1" s="702" t="str">
        <f>[4]Title!O1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[4]Title!H2</f>
        <v>ADEQUACY CHECK</v>
      </c>
      <c r="I2" s="730"/>
      <c r="J2" s="730"/>
      <c r="K2" s="730"/>
      <c r="L2" s="730"/>
      <c r="M2" s="730"/>
      <c r="N2" s="731"/>
      <c r="O2" s="702" t="str">
        <f>[4]Title!O2</f>
        <v>Date</v>
      </c>
      <c r="P2" s="703"/>
      <c r="Q2" s="704"/>
      <c r="R2" s="732">
        <f>Title!R2</f>
        <v>46106</v>
      </c>
      <c r="S2" s="706"/>
      <c r="T2" s="706"/>
      <c r="U2" s="706"/>
      <c r="V2" s="707"/>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[4]Title!O3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[4]Title!O4</f>
        <v>Revision No.</v>
      </c>
      <c r="P4" s="703"/>
      <c r="Q4" s="704"/>
      <c r="R4" s="705" t="str">
        <f>Title!R4</f>
        <v>A</v>
      </c>
      <c r="S4" s="706"/>
      <c r="T4" s="706"/>
      <c r="U4" s="706"/>
      <c r="V4" s="707"/>
      <c r="W4" s="14"/>
      <c r="X4" s="14"/>
    </row>
    <row r="5" spans="1:24" ht="18" customHeight="1">
      <c r="A5" s="708" t="str">
        <f>[4]Title!A5</f>
        <v>Prep. By</v>
      </c>
      <c r="B5" s="709"/>
      <c r="C5" s="25" t="str">
        <f>[4]Title!C5</f>
        <v>AP</v>
      </c>
      <c r="D5" s="708" t="str">
        <f>[4]Title!D5</f>
        <v>Checked By</v>
      </c>
      <c r="E5" s="710"/>
      <c r="F5" s="709"/>
      <c r="G5" s="25" t="str">
        <f>[4]Title!G5</f>
        <v>RB</v>
      </c>
      <c r="H5" s="1190" t="s">
        <v>935</v>
      </c>
      <c r="I5" s="1191"/>
      <c r="J5" s="1191"/>
      <c r="K5" s="1191"/>
      <c r="L5" s="1191"/>
      <c r="M5" s="1191"/>
      <c r="N5" s="1192"/>
      <c r="O5" s="714" t="str">
        <f>[4]Title!O5</f>
        <v>Contractor</v>
      </c>
      <c r="P5" s="715"/>
      <c r="Q5" s="716"/>
      <c r="R5" s="705" t="str">
        <f>Title!R5</f>
        <v>HITACHI</v>
      </c>
      <c r="S5" s="706"/>
      <c r="T5" s="706"/>
      <c r="U5" s="706"/>
      <c r="V5" s="707"/>
      <c r="W5" s="14"/>
      <c r="X5" s="14"/>
    </row>
    <row r="6" spans="1:24" ht="18" customHeight="1">
      <c r="A6" s="196"/>
      <c r="V6" s="197"/>
    </row>
    <row r="7" spans="1:24" ht="18" customHeight="1">
      <c r="A7" s="196"/>
      <c r="B7" s="940" t="s">
        <v>120</v>
      </c>
      <c r="C7" s="941"/>
      <c r="D7" s="944" t="s">
        <v>124</v>
      </c>
      <c r="E7" s="945"/>
      <c r="F7" s="468"/>
      <c r="H7" s="639"/>
      <c r="I7" s="639"/>
      <c r="J7" s="639"/>
      <c r="K7" s="639"/>
      <c r="L7" s="639"/>
      <c r="M7" s="639"/>
      <c r="P7" s="198"/>
      <c r="S7" s="199" t="s">
        <v>398</v>
      </c>
      <c r="T7" s="940" t="s">
        <v>917</v>
      </c>
      <c r="U7" s="941"/>
      <c r="V7" s="197"/>
    </row>
    <row r="8" spans="1:24" ht="18" customHeight="1">
      <c r="A8" s="469"/>
      <c r="F8" s="468"/>
      <c r="T8" s="940"/>
      <c r="U8" s="941"/>
      <c r="V8" s="197"/>
    </row>
    <row r="9" spans="1:24" ht="18" customHeight="1">
      <c r="A9" s="196"/>
      <c r="H9" s="662" t="s">
        <v>401</v>
      </c>
      <c r="I9" s="662"/>
      <c r="J9" s="701" t="s">
        <v>402</v>
      </c>
      <c r="K9" s="701"/>
      <c r="L9" s="701" t="s">
        <v>403</v>
      </c>
      <c r="M9" s="701"/>
      <c r="T9" s="940"/>
      <c r="U9" s="941"/>
      <c r="V9" s="197"/>
    </row>
    <row r="10" spans="1:24" ht="18" customHeight="1">
      <c r="A10" s="196"/>
      <c r="B10" s="47" t="s">
        <v>404</v>
      </c>
      <c r="H10" s="942">
        <v>2500</v>
      </c>
      <c r="I10" s="943"/>
      <c r="J10" s="940"/>
      <c r="K10" s="941"/>
      <c r="L10" s="940"/>
      <c r="M10" s="941"/>
      <c r="N10" s="203" t="s">
        <v>353</v>
      </c>
      <c r="O10" s="515">
        <v>1</v>
      </c>
      <c r="P10" s="27" t="s">
        <v>9</v>
      </c>
      <c r="R10" s="267"/>
      <c r="S10" s="267"/>
      <c r="V10" s="197"/>
    </row>
    <row r="11" spans="1:24" ht="18" customHeight="1">
      <c r="A11" s="196"/>
      <c r="B11" s="47" t="s">
        <v>405</v>
      </c>
      <c r="H11" s="940" t="s">
        <v>849</v>
      </c>
      <c r="I11" s="941"/>
      <c r="V11" s="197"/>
    </row>
    <row r="12" spans="1:24" ht="18" customHeight="1">
      <c r="A12" s="196"/>
      <c r="B12" s="47" t="s">
        <v>407</v>
      </c>
      <c r="G12" s="120" t="s">
        <v>508</v>
      </c>
      <c r="H12" s="981">
        <v>5</v>
      </c>
      <c r="I12" s="982"/>
      <c r="J12" s="204" t="s">
        <v>344</v>
      </c>
      <c r="V12" s="197"/>
    </row>
    <row r="13" spans="1:24" ht="18" customHeight="1">
      <c r="A13" s="196"/>
      <c r="B13" s="47" t="s">
        <v>409</v>
      </c>
      <c r="G13" s="120" t="s">
        <v>509</v>
      </c>
      <c r="H13" s="940">
        <v>750</v>
      </c>
      <c r="I13" s="941"/>
      <c r="J13" s="14" t="s">
        <v>316</v>
      </c>
      <c r="U13" s="18"/>
      <c r="V13" s="197"/>
      <c r="W13" s="30" t="str">
        <f>H58</f>
        <v>Suitably Dimentioned</v>
      </c>
    </row>
    <row r="14" spans="1:24" ht="18" customHeight="1">
      <c r="A14" s="196"/>
      <c r="B14" s="14" t="s">
        <v>412</v>
      </c>
      <c r="G14" s="120" t="s">
        <v>413</v>
      </c>
      <c r="H14" s="940">
        <v>60</v>
      </c>
      <c r="I14" s="941"/>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P743</v>
      </c>
      <c r="E18" s="239"/>
      <c r="F18" s="239"/>
      <c r="G18" s="239"/>
      <c r="H18" s="145"/>
      <c r="I18" s="272" t="s">
        <v>138</v>
      </c>
      <c r="J18" s="946">
        <f>'CT-VT Burdens'!Q98</f>
        <v>0.1</v>
      </c>
      <c r="K18" s="947"/>
      <c r="L18" s="3" t="s">
        <v>168</v>
      </c>
      <c r="N18" s="209"/>
      <c r="V18" s="197"/>
    </row>
    <row r="19" spans="1:25" ht="18" customHeight="1">
      <c r="A19" s="196"/>
      <c r="B19" s="96" t="s">
        <v>416</v>
      </c>
      <c r="C19" s="14"/>
      <c r="D19" s="47">
        <f>T8</f>
        <v>0</v>
      </c>
      <c r="E19" s="14"/>
      <c r="G19" s="211"/>
      <c r="H19" s="27"/>
      <c r="I19" s="101" t="s">
        <v>138</v>
      </c>
      <c r="J19" s="971"/>
      <c r="K19" s="972"/>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71"/>
      <c r="K20" s="972"/>
      <c r="L20" s="214" t="s">
        <v>168</v>
      </c>
      <c r="N20" s="27"/>
      <c r="O20" s="27"/>
      <c r="P20" s="27"/>
      <c r="Q20" s="102"/>
      <c r="R20" s="27"/>
      <c r="S20" s="27"/>
      <c r="T20" s="27"/>
      <c r="V20" s="197"/>
    </row>
    <row r="21" spans="1:25" ht="18" customHeight="1">
      <c r="A21" s="196"/>
      <c r="B21" s="196" t="s">
        <v>423</v>
      </c>
      <c r="C21" s="14"/>
      <c r="D21" s="14"/>
      <c r="E21" s="14"/>
      <c r="H21" s="27"/>
      <c r="I21" s="101" t="s">
        <v>138</v>
      </c>
      <c r="J21" s="950">
        <f>'CT-VT Burdens'!S22</f>
        <v>1.44186744</v>
      </c>
      <c r="K21" s="951"/>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648">
        <f>SUM(J18:J21)</f>
        <v>1.5418674400000001</v>
      </c>
      <c r="K22" s="649"/>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852</v>
      </c>
      <c r="D24" s="14"/>
      <c r="E24" s="14"/>
      <c r="F24" s="14"/>
      <c r="G24" s="14"/>
      <c r="H24" s="291"/>
      <c r="I24" s="120"/>
      <c r="J24" s="291"/>
      <c r="K24" s="291"/>
      <c r="L24" s="14"/>
      <c r="M24" s="14"/>
      <c r="N24" s="14"/>
      <c r="O24" s="14"/>
      <c r="P24" s="14"/>
      <c r="Q24" s="120" t="s">
        <v>853</v>
      </c>
      <c r="R24" s="102" t="s">
        <v>138</v>
      </c>
      <c r="S24" s="983">
        <f>'Parameters &amp; Fault Cal. (4)'!Q10 *1000</f>
        <v>40000</v>
      </c>
      <c r="T24" s="984"/>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638">
        <f>H10</f>
        <v>2500</v>
      </c>
      <c r="T25" s="638"/>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641">
        <f>S24/S25*O10</f>
        <v>16</v>
      </c>
      <c r="T26" s="641"/>
      <c r="U26" s="14" t="s">
        <v>9</v>
      </c>
      <c r="V26" s="197"/>
    </row>
    <row r="27" spans="1:25" ht="18" customHeight="1">
      <c r="A27" s="180"/>
      <c r="B27" s="5"/>
      <c r="C27" s="47" t="s">
        <v>856</v>
      </c>
      <c r="D27" s="14"/>
      <c r="E27" s="14"/>
      <c r="F27" s="18"/>
      <c r="G27" s="18"/>
      <c r="H27" s="291"/>
      <c r="I27" s="120"/>
      <c r="J27" s="291"/>
      <c r="K27" s="291"/>
      <c r="L27" s="14"/>
      <c r="M27" s="14"/>
      <c r="N27" s="14"/>
      <c r="O27" s="14"/>
      <c r="P27" s="14"/>
      <c r="Q27" s="120" t="s">
        <v>700</v>
      </c>
      <c r="R27" s="28" t="s">
        <v>138</v>
      </c>
      <c r="S27" s="641">
        <f>J22/O10*O10</f>
        <v>1.5418674400000001</v>
      </c>
      <c r="T27" s="641"/>
      <c r="U27" s="204" t="s">
        <v>344</v>
      </c>
      <c r="V27" s="197"/>
      <c r="X27" s="291"/>
      <c r="Y27" s="291"/>
    </row>
    <row r="28" spans="1:25" ht="18" customHeight="1">
      <c r="A28" s="180"/>
      <c r="B28" s="5"/>
      <c r="C28" s="47" t="s">
        <v>857</v>
      </c>
      <c r="Q28" s="120" t="s">
        <v>858</v>
      </c>
      <c r="R28" s="28" t="s">
        <v>138</v>
      </c>
      <c r="S28" s="983">
        <f>20*S25</f>
        <v>50000</v>
      </c>
      <c r="T28" s="984"/>
      <c r="U28" s="14" t="s">
        <v>9</v>
      </c>
      <c r="V28" s="197"/>
      <c r="X28" s="291"/>
      <c r="Y28" s="291"/>
    </row>
    <row r="29" spans="1:25" ht="18" customHeight="1">
      <c r="A29" s="311"/>
      <c r="B29" s="291"/>
      <c r="C29" s="47" t="s">
        <v>859</v>
      </c>
      <c r="Q29" s="256" t="s">
        <v>860</v>
      </c>
      <c r="R29" s="28" t="s">
        <v>138</v>
      </c>
      <c r="S29" s="637">
        <f>S28/S25</f>
        <v>20</v>
      </c>
      <c r="T29" s="637"/>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2" ht="18" customHeight="1">
      <c r="A33" s="205" t="s">
        <v>861</v>
      </c>
      <c r="H33" s="28"/>
      <c r="I33" s="28"/>
      <c r="J33" s="28"/>
      <c r="K33" s="28"/>
      <c r="T33" s="14"/>
      <c r="U33" s="14"/>
      <c r="V33" s="197"/>
    </row>
    <row r="34" spans="1:22" ht="18" customHeight="1">
      <c r="A34" s="205"/>
      <c r="H34" s="28"/>
      <c r="I34" s="28"/>
      <c r="J34" s="28"/>
      <c r="K34" s="28"/>
      <c r="T34" s="14"/>
      <c r="U34" s="14"/>
      <c r="V34" s="197"/>
    </row>
    <row r="35" spans="1:22" ht="18" customHeight="1">
      <c r="A35" s="196"/>
      <c r="B35" s="638" t="s">
        <v>484</v>
      </c>
      <c r="C35" s="638"/>
      <c r="D35" s="28" t="s">
        <v>862</v>
      </c>
      <c r="E35" s="28">
        <v>0.5</v>
      </c>
      <c r="F35" s="28" t="s">
        <v>326</v>
      </c>
      <c r="G35" s="638" t="s">
        <v>855</v>
      </c>
      <c r="H35" s="638"/>
      <c r="I35" s="28" t="s">
        <v>683</v>
      </c>
      <c r="J35" s="638" t="s">
        <v>431</v>
      </c>
      <c r="K35" s="638"/>
      <c r="L35" s="28" t="s">
        <v>358</v>
      </c>
      <c r="M35" s="638" t="s">
        <v>700</v>
      </c>
      <c r="N35" s="638"/>
      <c r="O35" s="14" t="s">
        <v>361</v>
      </c>
      <c r="P35" s="14"/>
      <c r="Q35" s="14"/>
      <c r="R35" s="14"/>
      <c r="T35" s="14"/>
      <c r="U35" s="14"/>
      <c r="V35" s="197"/>
    </row>
    <row r="36" spans="1:22" ht="18" customHeight="1">
      <c r="A36" s="196"/>
      <c r="B36" s="14"/>
      <c r="C36" s="14"/>
      <c r="D36" s="102" t="s">
        <v>138</v>
      </c>
      <c r="E36" s="28">
        <v>0.5</v>
      </c>
      <c r="F36" s="28" t="s">
        <v>326</v>
      </c>
      <c r="G36" s="641">
        <f>S26</f>
        <v>16</v>
      </c>
      <c r="H36" s="638"/>
      <c r="I36" s="28" t="s">
        <v>683</v>
      </c>
      <c r="J36" s="638">
        <f>H12</f>
        <v>5</v>
      </c>
      <c r="K36" s="638"/>
      <c r="L36" s="28" t="s">
        <v>358</v>
      </c>
      <c r="M36" s="641">
        <f>S27</f>
        <v>1.5418674400000001</v>
      </c>
      <c r="N36" s="638"/>
      <c r="O36" s="14" t="s">
        <v>361</v>
      </c>
      <c r="S36" s="14"/>
      <c r="T36" s="14"/>
      <c r="U36" s="14"/>
      <c r="V36" s="197"/>
    </row>
    <row r="37" spans="1:22" ht="18" customHeight="1">
      <c r="A37" s="196"/>
      <c r="B37" s="14"/>
      <c r="C37" s="14"/>
      <c r="D37" s="102" t="s">
        <v>138</v>
      </c>
      <c r="E37" s="641">
        <f>E36*G36*(J36+M36)</f>
        <v>52.334939519999999</v>
      </c>
      <c r="F37" s="641"/>
      <c r="G37" s="223"/>
      <c r="H37" s="230"/>
      <c r="I37" s="14"/>
      <c r="J37" s="14"/>
      <c r="K37" s="14"/>
      <c r="L37" s="14"/>
      <c r="M37" s="14"/>
      <c r="N37" s="14"/>
      <c r="O37" s="14"/>
      <c r="P37" s="14"/>
      <c r="Q37" s="14"/>
      <c r="R37" s="14"/>
      <c r="V37" s="197"/>
    </row>
    <row r="38" spans="1:22" ht="18" customHeight="1">
      <c r="A38" s="196"/>
      <c r="B38" s="14"/>
      <c r="C38" s="14"/>
      <c r="D38" s="28"/>
      <c r="E38" s="230"/>
      <c r="F38" s="230"/>
      <c r="G38" s="223"/>
      <c r="H38" s="230"/>
      <c r="I38" s="14"/>
      <c r="J38" s="14"/>
      <c r="K38" s="14"/>
      <c r="L38" s="14"/>
      <c r="M38" s="14"/>
      <c r="N38" s="14"/>
      <c r="O38" s="14"/>
      <c r="P38" s="14"/>
      <c r="Q38" s="14"/>
      <c r="R38" s="14"/>
      <c r="V38" s="197"/>
    </row>
    <row r="39" spans="1:22" ht="18" customHeight="1">
      <c r="A39" s="205" t="s">
        <v>863</v>
      </c>
      <c r="B39" s="14"/>
      <c r="C39" s="14"/>
      <c r="D39" s="28"/>
      <c r="E39" s="230"/>
      <c r="F39" s="230"/>
      <c r="G39" s="223"/>
      <c r="H39" s="230"/>
      <c r="I39" s="14"/>
      <c r="J39" s="14"/>
      <c r="K39" s="14"/>
      <c r="L39" s="14"/>
      <c r="M39" s="14"/>
      <c r="N39" s="14"/>
      <c r="O39" s="14"/>
      <c r="P39" s="14"/>
      <c r="Q39" s="14"/>
      <c r="R39" s="14"/>
      <c r="V39" s="197"/>
    </row>
    <row r="40" spans="1:22" ht="18" customHeight="1">
      <c r="A40" s="196"/>
      <c r="B40" s="14"/>
      <c r="C40" s="14"/>
      <c r="D40" s="28"/>
      <c r="E40" s="230"/>
      <c r="F40" s="230"/>
      <c r="G40" s="223"/>
      <c r="H40" s="230"/>
      <c r="I40" s="14"/>
      <c r="J40" s="14"/>
      <c r="K40" s="14"/>
      <c r="L40" s="14"/>
      <c r="M40" s="14"/>
      <c r="N40" s="14"/>
      <c r="O40" s="14"/>
      <c r="P40" s="14"/>
      <c r="Q40" s="14"/>
      <c r="R40" s="14"/>
      <c r="V40" s="197"/>
    </row>
    <row r="41" spans="1:22" ht="18" customHeight="1">
      <c r="A41" s="196"/>
      <c r="B41" s="638" t="s">
        <v>484</v>
      </c>
      <c r="C41" s="638"/>
      <c r="D41" s="28" t="s">
        <v>862</v>
      </c>
      <c r="E41" s="638" t="s">
        <v>860</v>
      </c>
      <c r="F41" s="638"/>
      <c r="G41" s="28" t="s">
        <v>683</v>
      </c>
      <c r="H41" s="638" t="s">
        <v>431</v>
      </c>
      <c r="I41" s="638"/>
      <c r="J41" s="28" t="s">
        <v>358</v>
      </c>
      <c r="K41" s="638" t="s">
        <v>700</v>
      </c>
      <c r="L41" s="638"/>
      <c r="M41" s="14" t="s">
        <v>361</v>
      </c>
      <c r="P41" s="14"/>
      <c r="Q41" s="14"/>
      <c r="R41" s="14"/>
      <c r="V41" s="197"/>
    </row>
    <row r="42" spans="1:22" ht="18" customHeight="1">
      <c r="A42" s="196"/>
      <c r="B42" s="14"/>
      <c r="C42" s="14"/>
      <c r="D42" s="102" t="s">
        <v>138</v>
      </c>
      <c r="E42" s="641">
        <f>S29</f>
        <v>20</v>
      </c>
      <c r="F42" s="638"/>
      <c r="G42" s="28" t="s">
        <v>683</v>
      </c>
      <c r="H42" s="638">
        <f>H12</f>
        <v>5</v>
      </c>
      <c r="I42" s="638"/>
      <c r="J42" s="28" t="s">
        <v>358</v>
      </c>
      <c r="K42" s="641">
        <f>S27</f>
        <v>1.5418674400000001</v>
      </c>
      <c r="L42" s="638"/>
      <c r="M42" s="14" t="s">
        <v>361</v>
      </c>
      <c r="N42" s="14"/>
      <c r="O42" s="14"/>
      <c r="P42" s="14"/>
      <c r="Q42" s="14"/>
      <c r="R42" s="14"/>
      <c r="V42" s="197"/>
    </row>
    <row r="43" spans="1:22" ht="18" customHeight="1">
      <c r="A43" s="196"/>
      <c r="B43" s="14"/>
      <c r="C43" s="14"/>
      <c r="D43" s="102" t="s">
        <v>138</v>
      </c>
      <c r="E43" s="641">
        <f>E42*(H42+K42)</f>
        <v>130.8373488</v>
      </c>
      <c r="F43" s="641"/>
      <c r="G43" s="223"/>
      <c r="H43" s="230"/>
      <c r="I43" s="14"/>
      <c r="J43" s="14"/>
      <c r="K43" s="14"/>
      <c r="L43" s="14"/>
      <c r="M43" s="14"/>
      <c r="N43" s="14"/>
      <c r="O43" s="14"/>
      <c r="P43" s="14"/>
      <c r="Q43" s="14"/>
      <c r="R43" s="14"/>
      <c r="V43" s="197"/>
    </row>
    <row r="44" spans="1:22" ht="18" customHeight="1">
      <c r="A44" s="196"/>
      <c r="B44" s="14"/>
      <c r="C44" s="14"/>
      <c r="D44" s="102"/>
      <c r="E44" s="230"/>
      <c r="F44" s="230"/>
      <c r="G44" s="223"/>
      <c r="H44" s="230"/>
      <c r="I44" s="14"/>
      <c r="J44" s="14"/>
      <c r="K44" s="14"/>
      <c r="L44" s="14"/>
      <c r="M44" s="14"/>
      <c r="N44" s="14"/>
      <c r="O44" s="14"/>
      <c r="P44" s="14"/>
      <c r="Q44" s="14"/>
      <c r="R44" s="14"/>
      <c r="V44" s="197"/>
    </row>
    <row r="45" spans="1:22" s="14"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2" s="14" customFormat="1" ht="18" customHeight="1">
      <c r="A46" s="141"/>
      <c r="B46" s="285"/>
      <c r="C46" s="285"/>
      <c r="D46" s="285"/>
      <c r="E46" s="285"/>
      <c r="F46" s="285"/>
      <c r="G46" s="285"/>
      <c r="H46" s="285"/>
      <c r="I46" s="285"/>
      <c r="J46" s="285"/>
      <c r="K46" s="285"/>
      <c r="L46" s="285"/>
      <c r="M46" s="285"/>
      <c r="N46" s="285"/>
      <c r="O46" s="285"/>
      <c r="P46" s="285"/>
      <c r="Q46" s="286"/>
      <c r="R46" s="145"/>
      <c r="S46" s="287"/>
      <c r="T46" s="285"/>
      <c r="U46" s="285"/>
      <c r="V46" s="288"/>
    </row>
    <row r="47" spans="1:22" ht="18" customHeight="1">
      <c r="A47" s="205" t="s">
        <v>864</v>
      </c>
      <c r="B47" s="209"/>
      <c r="C47" s="209"/>
      <c r="D47" s="209"/>
      <c r="E47" s="14"/>
      <c r="F47" s="14"/>
      <c r="G47" s="14"/>
      <c r="H47" s="14"/>
      <c r="I47" s="14"/>
      <c r="J47" s="14"/>
      <c r="K47" s="14"/>
      <c r="L47" s="14"/>
      <c r="M47" s="14"/>
      <c r="N47" s="14"/>
      <c r="O47" s="14"/>
      <c r="P47" s="27"/>
      <c r="Q47" s="28"/>
      <c r="T47" s="14"/>
      <c r="U47" s="14"/>
      <c r="V47" s="197"/>
    </row>
    <row r="48" spans="1:22" ht="18" customHeight="1">
      <c r="A48" s="205"/>
      <c r="B48" s="209"/>
      <c r="C48" s="209"/>
      <c r="D48" s="209"/>
      <c r="E48" s="14"/>
      <c r="F48" s="14"/>
      <c r="G48" s="14"/>
      <c r="H48" s="14"/>
      <c r="I48" s="14"/>
      <c r="J48" s="14"/>
      <c r="K48" s="14"/>
      <c r="L48" s="14"/>
      <c r="M48" s="14"/>
      <c r="N48" s="14"/>
      <c r="O48" s="14"/>
      <c r="P48" s="27"/>
      <c r="Q48" s="28"/>
      <c r="T48" s="14"/>
      <c r="U48" s="14"/>
      <c r="V48" s="197"/>
    </row>
    <row r="49" spans="1:22" ht="18" customHeight="1">
      <c r="A49" s="96"/>
      <c r="B49" s="209" t="s">
        <v>861</v>
      </c>
      <c r="C49" s="209"/>
      <c r="D49" s="14"/>
      <c r="E49" s="14"/>
      <c r="F49" s="14"/>
      <c r="G49" s="14"/>
      <c r="H49" s="14"/>
      <c r="I49" s="14"/>
      <c r="J49" s="14"/>
      <c r="K49" s="14"/>
      <c r="L49" s="14"/>
      <c r="M49" s="14"/>
      <c r="N49" s="14"/>
      <c r="O49" s="14"/>
      <c r="P49" s="14"/>
      <c r="Q49" s="14"/>
      <c r="R49" s="14"/>
      <c r="S49" s="14"/>
      <c r="T49" s="14"/>
      <c r="U49" s="14"/>
      <c r="V49" s="197"/>
    </row>
    <row r="50" spans="1:22" ht="18" customHeight="1">
      <c r="A50" s="96"/>
      <c r="B50" s="14"/>
      <c r="C50" s="14"/>
      <c r="D50" s="14"/>
      <c r="E50" s="14"/>
      <c r="F50" s="256" t="s">
        <v>486</v>
      </c>
      <c r="G50" s="28" t="str">
        <f>IF(E51&gt;H51, "&gt;","&lt;")</f>
        <v>&gt;</v>
      </c>
      <c r="H50" s="14" t="s">
        <v>488</v>
      </c>
      <c r="I50" s="14"/>
      <c r="J50" s="14"/>
      <c r="K50" s="14"/>
      <c r="L50" s="14" t="s">
        <v>865</v>
      </c>
      <c r="M50" s="14"/>
      <c r="N50" s="14"/>
      <c r="O50" s="14"/>
      <c r="P50" s="14"/>
      <c r="Q50" s="14"/>
      <c r="R50" s="14"/>
      <c r="S50" s="14"/>
      <c r="T50" s="14"/>
      <c r="U50" s="14"/>
      <c r="V50" s="197"/>
    </row>
    <row r="51" spans="1:22" ht="18" customHeight="1">
      <c r="A51" s="96"/>
      <c r="B51" s="14"/>
      <c r="C51" s="14"/>
      <c r="D51" s="14"/>
      <c r="E51" s="959">
        <f>H13</f>
        <v>750</v>
      </c>
      <c r="F51" s="959"/>
      <c r="G51" s="28" t="str">
        <f>G50</f>
        <v>&gt;</v>
      </c>
      <c r="H51" s="641">
        <f>E37</f>
        <v>52.334939519999999</v>
      </c>
      <c r="I51" s="641"/>
      <c r="J51" s="14"/>
      <c r="K51" s="14"/>
      <c r="L51" s="14"/>
      <c r="M51" s="14"/>
      <c r="N51" s="14"/>
      <c r="O51" s="14"/>
      <c r="P51" s="14"/>
      <c r="Q51" s="14"/>
      <c r="R51" s="14"/>
      <c r="S51" s="14"/>
      <c r="T51" s="14"/>
      <c r="U51" s="14"/>
      <c r="V51" s="197"/>
    </row>
    <row r="52" spans="1:22" ht="18" customHeight="1">
      <c r="A52" s="196"/>
      <c r="D52" s="223"/>
      <c r="E52" s="230"/>
      <c r="F52" s="211" t="s">
        <v>866</v>
      </c>
      <c r="G52" s="223"/>
      <c r="H52" s="293" t="s">
        <v>867</v>
      </c>
      <c r="J52" s="28" t="s">
        <v>868</v>
      </c>
      <c r="K52" s="18" t="str">
        <f>IF(G51="&gt;", "Satisfied", "Not Satisfied")</f>
        <v>Satisfied</v>
      </c>
      <c r="P52" s="14"/>
      <c r="Q52" s="14"/>
      <c r="R52" s="14"/>
      <c r="S52" s="14"/>
      <c r="T52" s="14"/>
      <c r="U52" s="14"/>
      <c r="V52" s="197"/>
    </row>
    <row r="53" spans="1:22" ht="18" customHeight="1">
      <c r="A53" s="96"/>
      <c r="B53" s="209" t="s">
        <v>863</v>
      </c>
      <c r="C53" s="209"/>
      <c r="D53" s="14"/>
      <c r="E53" s="14"/>
      <c r="F53" s="14"/>
      <c r="G53" s="14"/>
      <c r="H53" s="14"/>
      <c r="I53" s="14"/>
      <c r="J53" s="14"/>
      <c r="K53" s="14"/>
      <c r="L53" s="14"/>
      <c r="M53" s="14"/>
      <c r="N53" s="14"/>
      <c r="O53" s="14"/>
      <c r="P53" s="120"/>
      <c r="Q53" s="308"/>
      <c r="V53" s="197"/>
    </row>
    <row r="54" spans="1:22" ht="18" customHeight="1">
      <c r="A54" s="96"/>
      <c r="B54" s="14"/>
      <c r="C54" s="14"/>
      <c r="D54" s="14"/>
      <c r="E54" s="14"/>
      <c r="F54" s="256" t="s">
        <v>486</v>
      </c>
      <c r="G54" s="28" t="str">
        <f>IF(E55&gt;H55, "&gt;","&lt;")</f>
        <v>&gt;</v>
      </c>
      <c r="H54" s="14" t="s">
        <v>488</v>
      </c>
      <c r="I54" s="14"/>
      <c r="J54" s="14"/>
      <c r="K54" s="14"/>
      <c r="L54" s="14" t="s">
        <v>869</v>
      </c>
      <c r="M54" s="14"/>
      <c r="N54" s="14"/>
      <c r="O54" s="14"/>
      <c r="P54" s="313"/>
      <c r="Q54" s="474"/>
      <c r="V54" s="197"/>
    </row>
    <row r="55" spans="1:22" ht="18" customHeight="1">
      <c r="A55" s="96"/>
      <c r="B55" s="14"/>
      <c r="C55" s="14"/>
      <c r="D55" s="14"/>
      <c r="E55" s="959">
        <f>H13</f>
        <v>750</v>
      </c>
      <c r="F55" s="959"/>
      <c r="G55" s="28" t="str">
        <f>G54</f>
        <v>&gt;</v>
      </c>
      <c r="H55" s="641">
        <f>E43</f>
        <v>130.8373488</v>
      </c>
      <c r="I55" s="641"/>
      <c r="J55" s="14"/>
      <c r="K55" s="14"/>
      <c r="L55" s="14"/>
      <c r="M55" s="14"/>
      <c r="N55" s="14"/>
      <c r="O55" s="14"/>
      <c r="V55" s="197"/>
    </row>
    <row r="56" spans="1:22" ht="18" customHeight="1">
      <c r="A56" s="196"/>
      <c r="D56" s="223"/>
      <c r="E56" s="14"/>
      <c r="F56" s="211" t="s">
        <v>866</v>
      </c>
      <c r="G56" s="223"/>
      <c r="H56" s="293" t="s">
        <v>863</v>
      </c>
      <c r="J56" s="28" t="s">
        <v>868</v>
      </c>
      <c r="K56" s="18" t="str">
        <f>IF(G55="&gt;", "Satisfied", "Not Satisfied")</f>
        <v>Satisfied</v>
      </c>
      <c r="P56" s="244"/>
      <c r="Q56" s="244"/>
      <c r="R56" s="244"/>
      <c r="S56" s="244"/>
      <c r="T56" s="244"/>
      <c r="U56" s="244"/>
      <c r="V56" s="245"/>
    </row>
    <row r="57" spans="1:22" ht="18" customHeight="1">
      <c r="A57" s="196"/>
      <c r="H57" s="28"/>
      <c r="I57" s="28"/>
      <c r="J57" s="28"/>
      <c r="K57" s="28"/>
      <c r="L57" s="28"/>
      <c r="M57" s="28"/>
      <c r="N57" s="28"/>
      <c r="O57" s="28"/>
      <c r="P57" s="244"/>
      <c r="Q57" s="244"/>
      <c r="R57" s="244"/>
      <c r="S57" s="244"/>
      <c r="T57" s="244"/>
      <c r="U57" s="244"/>
      <c r="V57" s="245"/>
    </row>
    <row r="58" spans="1:22" ht="18" customHeight="1">
      <c r="A58" s="96"/>
      <c r="B58" s="14"/>
      <c r="C58" s="14"/>
      <c r="D58" s="14"/>
      <c r="E58" s="14"/>
      <c r="F58" s="256" t="s">
        <v>489</v>
      </c>
      <c r="G58" s="14"/>
      <c r="H58" s="18" t="str">
        <f>IF(AND(E51&gt;H51,E55&gt;H55),"Suitably Dimentioned","Under Dimentioned")</f>
        <v>Suitably Dimentioned</v>
      </c>
      <c r="I58" s="18"/>
      <c r="J58" s="18"/>
      <c r="K58" s="18"/>
      <c r="L58" s="18"/>
      <c r="M58" s="18"/>
      <c r="N58" s="14"/>
      <c r="O58" s="14"/>
      <c r="V58" s="197"/>
    </row>
    <row r="59" spans="1:22" ht="18" customHeight="1">
      <c r="A59" s="196"/>
      <c r="B59" s="27"/>
      <c r="C59" s="27"/>
      <c r="D59" s="27"/>
      <c r="E59" s="28"/>
      <c r="F59" s="27"/>
      <c r="G59" s="28"/>
      <c r="H59" s="27"/>
      <c r="I59" s="28"/>
      <c r="J59" s="27"/>
      <c r="K59" s="27"/>
      <c r="L59" s="27"/>
      <c r="M59" s="27"/>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4.4" customHeight="1">
      <c r="A65" s="196"/>
      <c r="V65" s="197"/>
    </row>
    <row r="66" spans="1:22" ht="14.4"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4.4"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3" ht="18" customHeight="1">
      <c r="A81" s="196"/>
      <c r="V81" s="197"/>
    </row>
    <row r="82" spans="1:23" ht="18" customHeight="1">
      <c r="A82" s="196"/>
      <c r="V82" s="197"/>
    </row>
    <row r="83" spans="1:23" ht="18" customHeight="1">
      <c r="A83" s="196"/>
      <c r="V83" s="197"/>
    </row>
    <row r="84" spans="1:23" s="14" customFormat="1" ht="18" customHeight="1">
      <c r="A84" s="96"/>
      <c r="Q84" s="120"/>
      <c r="R84" s="28"/>
      <c r="S84" s="558"/>
      <c r="V84" s="394"/>
    </row>
    <row r="85" spans="1:23" s="14" customFormat="1"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3" ht="18" hidden="1" customHeight="1">
      <c r="A86" s="238"/>
      <c r="B86" s="239"/>
      <c r="C86" s="239"/>
      <c r="D86" s="239"/>
      <c r="E86" s="239"/>
      <c r="F86" s="239"/>
      <c r="G86" s="239"/>
      <c r="H86" s="239"/>
      <c r="I86" s="239"/>
      <c r="J86" s="239"/>
      <c r="K86" s="239"/>
      <c r="L86" s="239"/>
      <c r="M86" s="239"/>
      <c r="N86" s="239"/>
      <c r="O86" s="239"/>
      <c r="P86" s="239"/>
      <c r="Q86" s="239"/>
      <c r="R86" s="239"/>
      <c r="S86" s="239"/>
      <c r="T86" s="239"/>
      <c r="U86" s="239"/>
      <c r="V86" s="240"/>
    </row>
    <row r="87" spans="1:23" ht="18" hidden="1" customHeight="1">
      <c r="A87" s="196"/>
      <c r="B87" s="650" t="str">
        <f>B7</f>
        <v>T1</v>
      </c>
      <c r="C87" s="651"/>
      <c r="D87" s="650" t="str">
        <f>D7</f>
        <v>Core5</v>
      </c>
      <c r="E87" s="651"/>
      <c r="F87" s="468"/>
      <c r="H87" s="639" t="s">
        <v>722</v>
      </c>
      <c r="I87" s="639"/>
      <c r="J87" s="639"/>
      <c r="K87" s="639"/>
      <c r="L87" s="639"/>
      <c r="M87" s="639"/>
      <c r="P87" s="198"/>
      <c r="S87" s="199" t="s">
        <v>398</v>
      </c>
      <c r="T87" s="650" t="str">
        <f>T7</f>
        <v>P743</v>
      </c>
      <c r="U87" s="651"/>
      <c r="V87" s="197"/>
    </row>
    <row r="88" spans="1:23" ht="18" hidden="1" customHeight="1">
      <c r="A88" s="469"/>
      <c r="F88" s="468"/>
      <c r="T88" s="650">
        <f>T8</f>
        <v>0</v>
      </c>
      <c r="U88" s="651"/>
      <c r="V88" s="197"/>
    </row>
    <row r="89" spans="1:23" ht="18" hidden="1" customHeight="1">
      <c r="A89" s="196"/>
      <c r="H89" s="661" t="s">
        <v>401</v>
      </c>
      <c r="I89" s="661"/>
      <c r="J89" s="662" t="s">
        <v>402</v>
      </c>
      <c r="K89" s="662"/>
      <c r="L89" s="701" t="s">
        <v>403</v>
      </c>
      <c r="M89" s="701"/>
      <c r="T89" s="650">
        <f>T9</f>
        <v>0</v>
      </c>
      <c r="U89" s="651"/>
      <c r="V89" s="197"/>
    </row>
    <row r="90" spans="1:23" ht="18" hidden="1" customHeight="1">
      <c r="A90" s="196"/>
      <c r="B90" s="47" t="s">
        <v>404</v>
      </c>
      <c r="H90" s="650">
        <f>H10</f>
        <v>2500</v>
      </c>
      <c r="I90" s="651"/>
      <c r="J90" s="652">
        <f>J10</f>
        <v>0</v>
      </c>
      <c r="K90" s="653"/>
      <c r="L90" s="650">
        <f>L10</f>
        <v>0</v>
      </c>
      <c r="M90" s="651"/>
      <c r="N90" s="203" t="s">
        <v>353</v>
      </c>
      <c r="O90" s="268">
        <f>O10</f>
        <v>1</v>
      </c>
      <c r="P90" s="27" t="s">
        <v>9</v>
      </c>
      <c r="R90" s="267"/>
      <c r="S90" s="267"/>
      <c r="V90" s="197"/>
    </row>
    <row r="91" spans="1:23" ht="18" hidden="1" customHeight="1">
      <c r="A91" s="196"/>
      <c r="B91" s="47" t="s">
        <v>405</v>
      </c>
      <c r="J91" s="650" t="str">
        <f>H11</f>
        <v>PX-B</v>
      </c>
      <c r="K91" s="651"/>
      <c r="V91" s="197"/>
    </row>
    <row r="92" spans="1:23" ht="18" hidden="1" customHeight="1">
      <c r="A92" s="196"/>
      <c r="B92" s="47" t="s">
        <v>407</v>
      </c>
      <c r="I92" s="120" t="s">
        <v>508</v>
      </c>
      <c r="J92" s="981"/>
      <c r="K92" s="982"/>
      <c r="L92" s="204" t="s">
        <v>344</v>
      </c>
      <c r="V92" s="197"/>
    </row>
    <row r="93" spans="1:23" ht="18" hidden="1" customHeight="1">
      <c r="A93" s="196"/>
      <c r="B93" s="47" t="s">
        <v>409</v>
      </c>
      <c r="I93" s="120" t="s">
        <v>509</v>
      </c>
      <c r="J93" s="940"/>
      <c r="K93" s="941"/>
      <c r="L93" s="14" t="s">
        <v>316</v>
      </c>
      <c r="U93" s="18"/>
      <c r="V93" s="197"/>
      <c r="W93" s="30" t="str">
        <f>H142</f>
        <v>Under Dimentioned</v>
      </c>
    </row>
    <row r="94" spans="1:23" ht="18" hidden="1" customHeight="1">
      <c r="A94" s="196"/>
      <c r="B94" s="14" t="s">
        <v>412</v>
      </c>
      <c r="I94" s="120" t="s">
        <v>413</v>
      </c>
      <c r="J94" s="940"/>
      <c r="K94" s="941"/>
      <c r="L94" s="14" t="s">
        <v>414</v>
      </c>
      <c r="V94" s="197"/>
    </row>
    <row r="95" spans="1:23" ht="18" hidden="1" customHeight="1">
      <c r="A95" s="196"/>
      <c r="V95" s="197"/>
    </row>
    <row r="96" spans="1:23" ht="18" hidden="1" customHeight="1">
      <c r="A96" s="205" t="s">
        <v>415</v>
      </c>
      <c r="V96" s="197"/>
    </row>
    <row r="97" spans="1:22" ht="18" hidden="1" customHeight="1">
      <c r="A97" s="196"/>
      <c r="V97" s="197"/>
    </row>
    <row r="98" spans="1:22" ht="18" hidden="1" customHeight="1">
      <c r="A98" s="196"/>
      <c r="B98" s="141" t="s">
        <v>416</v>
      </c>
      <c r="C98" s="285"/>
      <c r="D98" s="146" t="str">
        <f>T87</f>
        <v>P743</v>
      </c>
      <c r="E98" s="239"/>
      <c r="F98" s="239"/>
      <c r="G98" s="239"/>
      <c r="H98" s="145"/>
      <c r="I98" s="272" t="s">
        <v>138</v>
      </c>
      <c r="J98" s="644">
        <f>J18</f>
        <v>0.1</v>
      </c>
      <c r="K98" s="648"/>
      <c r="L98" s="3" t="s">
        <v>168</v>
      </c>
      <c r="N98" s="209"/>
      <c r="V98" s="197"/>
    </row>
    <row r="99" spans="1:22" ht="18" hidden="1" customHeight="1">
      <c r="A99" s="196"/>
      <c r="B99" s="96" t="s">
        <v>416</v>
      </c>
      <c r="C99" s="14"/>
      <c r="D99" s="47">
        <f>T88</f>
        <v>0</v>
      </c>
      <c r="E99" s="14"/>
      <c r="G99" s="211"/>
      <c r="H99" s="27"/>
      <c r="I99" s="101" t="s">
        <v>138</v>
      </c>
      <c r="J99" s="644">
        <f>J19</f>
        <v>0</v>
      </c>
      <c r="K99" s="648"/>
      <c r="L99" s="214" t="s">
        <v>168</v>
      </c>
      <c r="N99" s="28"/>
      <c r="O99" s="27"/>
      <c r="P99" s="28"/>
      <c r="Q99" s="102"/>
      <c r="R99" s="28"/>
      <c r="S99" s="27"/>
      <c r="T99" s="28"/>
      <c r="V99" s="197"/>
    </row>
    <row r="100" spans="1:22" ht="18" hidden="1" customHeight="1">
      <c r="A100" s="196"/>
      <c r="B100" s="96" t="s">
        <v>416</v>
      </c>
      <c r="C100" s="14"/>
      <c r="D100" s="47">
        <f>T89</f>
        <v>0</v>
      </c>
      <c r="E100" s="14"/>
      <c r="G100" s="211"/>
      <c r="H100" s="27"/>
      <c r="I100" s="101" t="s">
        <v>138</v>
      </c>
      <c r="J100" s="644">
        <f>J20</f>
        <v>0</v>
      </c>
      <c r="K100" s="648"/>
      <c r="L100" s="214" t="s">
        <v>168</v>
      </c>
      <c r="N100" s="27"/>
      <c r="O100" s="27"/>
      <c r="P100" s="27"/>
      <c r="Q100" s="102"/>
      <c r="R100" s="27"/>
      <c r="S100" s="27"/>
      <c r="T100" s="27"/>
      <c r="V100" s="197"/>
    </row>
    <row r="101" spans="1:22" ht="18" hidden="1" customHeight="1">
      <c r="A101" s="196"/>
      <c r="B101" s="196" t="s">
        <v>423</v>
      </c>
      <c r="C101" s="14"/>
      <c r="D101" s="14"/>
      <c r="E101" s="14"/>
      <c r="H101" s="27"/>
      <c r="I101" s="101" t="s">
        <v>138</v>
      </c>
      <c r="J101" s="644">
        <f>J21</f>
        <v>1.44186744</v>
      </c>
      <c r="K101" s="648"/>
      <c r="L101" s="309" t="s">
        <v>168</v>
      </c>
      <c r="N101" s="27"/>
      <c r="O101" s="27"/>
      <c r="P101" s="216"/>
      <c r="R101" s="204"/>
      <c r="S101" s="27"/>
      <c r="T101" s="27"/>
      <c r="V101" s="197"/>
    </row>
    <row r="102" spans="1:22" ht="18" hidden="1" customHeight="1">
      <c r="A102" s="196"/>
      <c r="B102" s="1" t="s">
        <v>424</v>
      </c>
      <c r="C102" s="2"/>
      <c r="D102" s="2"/>
      <c r="E102" s="2"/>
      <c r="F102" s="208"/>
      <c r="G102" s="208"/>
      <c r="H102" s="236" t="s">
        <v>523</v>
      </c>
      <c r="I102" s="195" t="s">
        <v>138</v>
      </c>
      <c r="J102" s="648">
        <f>SUM(J98:J101)</f>
        <v>1.5418674400000001</v>
      </c>
      <c r="K102" s="649"/>
      <c r="L102" s="3" t="s">
        <v>168</v>
      </c>
      <c r="V102" s="197"/>
    </row>
    <row r="103" spans="1:22" ht="18" hidden="1" customHeight="1">
      <c r="A103" s="196"/>
      <c r="B103" s="47"/>
      <c r="C103" s="47"/>
      <c r="D103" s="47"/>
      <c r="E103" s="47"/>
      <c r="H103" s="27"/>
      <c r="I103" s="28"/>
      <c r="J103" s="211"/>
      <c r="L103" s="47"/>
      <c r="O103" s="27"/>
      <c r="P103" s="223"/>
      <c r="Q103" s="27"/>
      <c r="R103" s="216"/>
      <c r="S103" s="27"/>
      <c r="V103" s="197"/>
    </row>
    <row r="104" spans="1:22" ht="18" hidden="1" customHeight="1">
      <c r="A104" s="180"/>
      <c r="B104" s="5"/>
      <c r="C104" s="47" t="s">
        <v>852</v>
      </c>
      <c r="D104" s="14"/>
      <c r="E104" s="14"/>
      <c r="F104" s="14"/>
      <c r="G104" s="14"/>
      <c r="H104" s="291"/>
      <c r="I104" s="120"/>
      <c r="J104" s="291"/>
      <c r="K104" s="291"/>
      <c r="L104" s="14"/>
      <c r="M104" s="14"/>
      <c r="N104" s="14"/>
      <c r="O104" s="14"/>
      <c r="P104" s="14"/>
      <c r="Q104" s="120" t="s">
        <v>853</v>
      </c>
      <c r="R104" s="102" t="s">
        <v>138</v>
      </c>
      <c r="S104" s="650">
        <f>S24</f>
        <v>40000</v>
      </c>
      <c r="T104" s="651"/>
      <c r="U104" s="47" t="s">
        <v>9</v>
      </c>
      <c r="V104" s="197"/>
    </row>
    <row r="105" spans="1:22" ht="18" hidden="1" customHeight="1">
      <c r="A105" s="180"/>
      <c r="B105" s="5"/>
      <c r="C105" s="47" t="s">
        <v>665</v>
      </c>
      <c r="D105" s="14"/>
      <c r="E105" s="14"/>
      <c r="F105" s="18"/>
      <c r="G105" s="18"/>
      <c r="H105" s="291"/>
      <c r="I105" s="120"/>
      <c r="J105" s="291"/>
      <c r="K105" s="291"/>
      <c r="L105" s="14"/>
      <c r="M105" s="14"/>
      <c r="N105" s="14"/>
      <c r="O105" s="14"/>
      <c r="P105" s="14"/>
      <c r="Q105" s="120" t="s">
        <v>434</v>
      </c>
      <c r="R105" s="102" t="s">
        <v>138</v>
      </c>
      <c r="S105" s="638">
        <f>H90</f>
        <v>2500</v>
      </c>
      <c r="T105" s="638"/>
      <c r="U105" s="14" t="s">
        <v>9</v>
      </c>
      <c r="V105" s="197"/>
    </row>
    <row r="106" spans="1:22" ht="18" hidden="1" customHeight="1">
      <c r="A106" s="180"/>
      <c r="B106" s="5"/>
      <c r="C106" s="47" t="s">
        <v>854</v>
      </c>
      <c r="E106" s="14"/>
      <c r="F106" s="18"/>
      <c r="G106" s="18"/>
      <c r="H106" s="291"/>
      <c r="I106" s="120"/>
      <c r="J106" s="291"/>
      <c r="K106" s="291"/>
      <c r="L106" s="14"/>
      <c r="M106" s="14"/>
      <c r="N106" s="14"/>
      <c r="O106" s="14"/>
      <c r="P106" s="14"/>
      <c r="Q106" s="120" t="s">
        <v>855</v>
      </c>
      <c r="R106" s="28" t="s">
        <v>138</v>
      </c>
      <c r="S106" s="641">
        <f>S104/S105*O90</f>
        <v>16</v>
      </c>
      <c r="T106" s="641"/>
      <c r="U106" s="14" t="s">
        <v>9</v>
      </c>
      <c r="V106" s="197"/>
    </row>
    <row r="107" spans="1:22" ht="18" hidden="1" customHeight="1">
      <c r="A107" s="180"/>
      <c r="B107" s="5"/>
      <c r="C107" s="47" t="s">
        <v>856</v>
      </c>
      <c r="D107" s="14"/>
      <c r="E107" s="14"/>
      <c r="F107" s="18"/>
      <c r="G107" s="18"/>
      <c r="H107" s="291"/>
      <c r="I107" s="120"/>
      <c r="J107" s="291"/>
      <c r="K107" s="291"/>
      <c r="L107" s="14"/>
      <c r="M107" s="14"/>
      <c r="N107" s="14"/>
      <c r="O107" s="14"/>
      <c r="P107" s="14"/>
      <c r="Q107" s="120" t="s">
        <v>700</v>
      </c>
      <c r="R107" s="28" t="s">
        <v>138</v>
      </c>
      <c r="S107" s="641">
        <f>J102/O90*O90</f>
        <v>1.5418674400000001</v>
      </c>
      <c r="T107" s="641"/>
      <c r="U107" s="204" t="s">
        <v>344</v>
      </c>
      <c r="V107" s="197"/>
    </row>
    <row r="108" spans="1:22" ht="18" hidden="1" customHeight="1">
      <c r="A108" s="180"/>
      <c r="B108" s="5"/>
      <c r="C108" s="47" t="s">
        <v>857</v>
      </c>
      <c r="Q108" s="120" t="s">
        <v>858</v>
      </c>
      <c r="R108" s="28" t="s">
        <v>138</v>
      </c>
      <c r="S108" s="650">
        <f>S28</f>
        <v>50000</v>
      </c>
      <c r="T108" s="651"/>
      <c r="U108" s="14" t="s">
        <v>9</v>
      </c>
      <c r="V108" s="197"/>
    </row>
    <row r="109" spans="1:22" ht="18" hidden="1" customHeight="1">
      <c r="A109" s="311"/>
      <c r="B109" s="291"/>
      <c r="C109" s="47" t="s">
        <v>859</v>
      </c>
      <c r="Q109" s="256" t="s">
        <v>860</v>
      </c>
      <c r="R109" s="28" t="s">
        <v>138</v>
      </c>
      <c r="S109" s="637">
        <f>S108/S105</f>
        <v>20</v>
      </c>
      <c r="T109" s="637"/>
      <c r="U109" s="14" t="s">
        <v>9</v>
      </c>
      <c r="V109" s="312"/>
    </row>
    <row r="110" spans="1:22" ht="18" hidden="1" customHeight="1">
      <c r="A110" s="96"/>
      <c r="B110" s="14"/>
      <c r="C110" s="14"/>
      <c r="D110" s="14"/>
      <c r="E110" s="14"/>
      <c r="F110" s="14"/>
      <c r="G110" s="14"/>
      <c r="H110" s="14"/>
      <c r="I110" s="14"/>
      <c r="J110" s="14"/>
      <c r="K110" s="14"/>
      <c r="L110" s="14"/>
      <c r="M110" s="14"/>
      <c r="N110" s="14"/>
      <c r="O110" s="14"/>
      <c r="P110" s="28"/>
      <c r="Q110" s="120"/>
      <c r="R110" s="14"/>
      <c r="S110" s="14"/>
      <c r="T110" s="14"/>
      <c r="U110" s="14"/>
      <c r="V110" s="197"/>
    </row>
    <row r="111" spans="1:22" ht="18" hidden="1" customHeight="1">
      <c r="A111" s="205" t="s">
        <v>766</v>
      </c>
      <c r="B111" s="14"/>
      <c r="C111" s="14"/>
      <c r="D111" s="14"/>
      <c r="E111" s="14"/>
      <c r="F111" s="14"/>
      <c r="G111" s="14"/>
      <c r="H111" s="14"/>
      <c r="K111" s="14"/>
      <c r="T111" s="14"/>
      <c r="U111" s="14"/>
      <c r="V111" s="197"/>
    </row>
    <row r="112" spans="1:22" ht="18" hidden="1" customHeight="1">
      <c r="A112" s="96"/>
      <c r="B112" s="14"/>
      <c r="C112" s="14"/>
      <c r="D112" s="14"/>
      <c r="E112" s="14"/>
      <c r="F112" s="14"/>
      <c r="G112" s="14"/>
      <c r="H112" s="14"/>
      <c r="K112" s="14"/>
      <c r="T112" s="14"/>
      <c r="U112" s="14"/>
      <c r="V112" s="197"/>
    </row>
    <row r="113" spans="1:22" ht="18" hidden="1" customHeight="1">
      <c r="A113" s="205" t="s">
        <v>861</v>
      </c>
      <c r="H113" s="28"/>
      <c r="I113" s="28"/>
      <c r="J113" s="28"/>
      <c r="K113" s="28"/>
      <c r="T113" s="14"/>
      <c r="U113" s="14"/>
      <c r="V113" s="197"/>
    </row>
    <row r="114" spans="1:22" ht="18" hidden="1" customHeight="1">
      <c r="A114" s="205"/>
      <c r="H114" s="28"/>
      <c r="I114" s="28"/>
      <c r="J114" s="28"/>
      <c r="K114" s="28"/>
      <c r="T114" s="14"/>
      <c r="U114" s="14"/>
      <c r="V114" s="197"/>
    </row>
    <row r="115" spans="1:22" ht="18" hidden="1" customHeight="1">
      <c r="A115" s="196"/>
      <c r="B115" s="638" t="s">
        <v>484</v>
      </c>
      <c r="C115" s="638"/>
      <c r="D115" s="28" t="s">
        <v>862</v>
      </c>
      <c r="E115" s="28">
        <v>0.5</v>
      </c>
      <c r="F115" s="28" t="s">
        <v>326</v>
      </c>
      <c r="G115" s="638" t="s">
        <v>855</v>
      </c>
      <c r="H115" s="638"/>
      <c r="I115" s="28" t="s">
        <v>683</v>
      </c>
      <c r="J115" s="638" t="s">
        <v>431</v>
      </c>
      <c r="K115" s="638"/>
      <c r="L115" s="28" t="s">
        <v>358</v>
      </c>
      <c r="M115" s="638" t="s">
        <v>700</v>
      </c>
      <c r="N115" s="638"/>
      <c r="O115" s="14" t="s">
        <v>361</v>
      </c>
      <c r="P115" s="14"/>
      <c r="Q115" s="14"/>
      <c r="R115" s="14"/>
      <c r="T115" s="14"/>
      <c r="U115" s="14"/>
      <c r="V115" s="197"/>
    </row>
    <row r="116" spans="1:22" ht="18" hidden="1" customHeight="1">
      <c r="A116" s="196"/>
      <c r="B116" s="14"/>
      <c r="C116" s="14"/>
      <c r="D116" s="102" t="s">
        <v>138</v>
      </c>
      <c r="E116" s="28">
        <v>0.5</v>
      </c>
      <c r="F116" s="28" t="s">
        <v>326</v>
      </c>
      <c r="G116" s="641">
        <f>S106</f>
        <v>16</v>
      </c>
      <c r="H116" s="638"/>
      <c r="I116" s="28" t="s">
        <v>683</v>
      </c>
      <c r="J116" s="638">
        <f>J92</f>
        <v>0</v>
      </c>
      <c r="K116" s="638"/>
      <c r="L116" s="28" t="s">
        <v>358</v>
      </c>
      <c r="M116" s="641">
        <f>S107</f>
        <v>1.5418674400000001</v>
      </c>
      <c r="N116" s="638"/>
      <c r="O116" s="14" t="s">
        <v>361</v>
      </c>
      <c r="S116" s="14"/>
      <c r="T116" s="14"/>
      <c r="U116" s="14"/>
      <c r="V116" s="197"/>
    </row>
    <row r="117" spans="1:22" ht="18" hidden="1" customHeight="1">
      <c r="A117" s="196"/>
      <c r="B117" s="14"/>
      <c r="C117" s="14"/>
      <c r="D117" s="102" t="s">
        <v>138</v>
      </c>
      <c r="E117" s="641">
        <f>E116*G116*(J116+M116)</f>
        <v>12.334939520000001</v>
      </c>
      <c r="F117" s="641"/>
      <c r="G117" s="223"/>
      <c r="H117" s="230"/>
      <c r="I117" s="14"/>
      <c r="J117" s="14"/>
      <c r="K117" s="14"/>
      <c r="L117" s="14"/>
      <c r="M117" s="14"/>
      <c r="N117" s="14"/>
      <c r="O117" s="14"/>
      <c r="P117" s="14"/>
      <c r="Q117" s="14"/>
      <c r="R117" s="14"/>
      <c r="V117" s="197"/>
    </row>
    <row r="118" spans="1:22" ht="18" hidden="1" customHeight="1">
      <c r="A118" s="196"/>
      <c r="B118" s="14"/>
      <c r="C118" s="14"/>
      <c r="D118" s="28"/>
      <c r="E118" s="230"/>
      <c r="F118" s="230"/>
      <c r="G118" s="223"/>
      <c r="H118" s="230"/>
      <c r="I118" s="14"/>
      <c r="J118" s="14"/>
      <c r="K118" s="14"/>
      <c r="L118" s="14"/>
      <c r="M118" s="14"/>
      <c r="N118" s="14"/>
      <c r="O118" s="14"/>
      <c r="P118" s="14"/>
      <c r="Q118" s="14"/>
      <c r="R118" s="14"/>
      <c r="V118" s="197"/>
    </row>
    <row r="119" spans="1:22" ht="18" hidden="1" customHeight="1">
      <c r="A119" s="205" t="s">
        <v>863</v>
      </c>
      <c r="B119" s="14"/>
      <c r="C119" s="14"/>
      <c r="D119" s="28"/>
      <c r="E119" s="230"/>
      <c r="F119" s="230"/>
      <c r="G119" s="223"/>
      <c r="H119" s="230"/>
      <c r="I119" s="14"/>
      <c r="J119" s="14"/>
      <c r="K119" s="14"/>
      <c r="L119" s="14"/>
      <c r="M119" s="14"/>
      <c r="N119" s="14"/>
      <c r="O119" s="14"/>
      <c r="P119" s="14"/>
      <c r="Q119" s="14"/>
      <c r="R119" s="14"/>
      <c r="V119" s="197"/>
    </row>
    <row r="120" spans="1:22" ht="18" hidden="1" customHeight="1">
      <c r="A120" s="196"/>
      <c r="B120" s="14"/>
      <c r="C120" s="14"/>
      <c r="D120" s="28"/>
      <c r="E120" s="230"/>
      <c r="F120" s="230"/>
      <c r="G120" s="223"/>
      <c r="H120" s="230"/>
      <c r="I120" s="14"/>
      <c r="J120" s="14"/>
      <c r="K120" s="14"/>
      <c r="L120" s="14"/>
      <c r="M120" s="14"/>
      <c r="N120" s="14"/>
      <c r="O120" s="14"/>
      <c r="P120" s="14"/>
      <c r="Q120" s="14"/>
      <c r="R120" s="14"/>
      <c r="V120" s="197"/>
    </row>
    <row r="121" spans="1:22" ht="18" hidden="1" customHeight="1">
      <c r="A121" s="196"/>
      <c r="B121" s="638" t="s">
        <v>484</v>
      </c>
      <c r="C121" s="638"/>
      <c r="D121" s="28" t="s">
        <v>862</v>
      </c>
      <c r="E121" s="638" t="s">
        <v>860</v>
      </c>
      <c r="F121" s="638"/>
      <c r="G121" s="28" t="s">
        <v>683</v>
      </c>
      <c r="H121" s="638" t="s">
        <v>431</v>
      </c>
      <c r="I121" s="638"/>
      <c r="J121" s="28" t="s">
        <v>358</v>
      </c>
      <c r="K121" s="638" t="s">
        <v>700</v>
      </c>
      <c r="L121" s="638"/>
      <c r="M121" s="14" t="s">
        <v>361</v>
      </c>
      <c r="P121" s="14"/>
      <c r="Q121" s="14"/>
      <c r="R121" s="14"/>
      <c r="V121" s="197"/>
    </row>
    <row r="122" spans="1:22" ht="18" hidden="1" customHeight="1">
      <c r="A122" s="196"/>
      <c r="B122" s="14"/>
      <c r="C122" s="14"/>
      <c r="D122" s="102" t="s">
        <v>138</v>
      </c>
      <c r="E122" s="641">
        <f>S109</f>
        <v>20</v>
      </c>
      <c r="F122" s="638"/>
      <c r="G122" s="28" t="s">
        <v>683</v>
      </c>
      <c r="H122" s="638">
        <f>J92</f>
        <v>0</v>
      </c>
      <c r="I122" s="638"/>
      <c r="J122" s="28" t="s">
        <v>358</v>
      </c>
      <c r="K122" s="641">
        <f>S107</f>
        <v>1.5418674400000001</v>
      </c>
      <c r="L122" s="638"/>
      <c r="M122" s="14" t="s">
        <v>361</v>
      </c>
      <c r="N122" s="14"/>
      <c r="O122" s="14"/>
      <c r="P122" s="14"/>
      <c r="Q122" s="14"/>
      <c r="R122" s="14"/>
      <c r="V122" s="197"/>
    </row>
    <row r="123" spans="1:22" ht="18" hidden="1" customHeight="1">
      <c r="A123" s="196"/>
      <c r="B123" s="14"/>
      <c r="C123" s="14"/>
      <c r="D123" s="102" t="s">
        <v>138</v>
      </c>
      <c r="E123" s="641">
        <f>E122*(H122+K122)</f>
        <v>30.837348800000001</v>
      </c>
      <c r="F123" s="641"/>
      <c r="G123" s="223"/>
      <c r="H123" s="230"/>
      <c r="I123" s="14"/>
      <c r="J123" s="14"/>
      <c r="K123" s="14"/>
      <c r="L123" s="14"/>
      <c r="M123" s="14"/>
      <c r="N123" s="14"/>
      <c r="O123" s="14"/>
      <c r="P123" s="14"/>
      <c r="Q123" s="14"/>
      <c r="R123" s="14"/>
      <c r="V123" s="197"/>
    </row>
    <row r="124" spans="1:22" ht="18" hidden="1" customHeight="1">
      <c r="A124" s="196"/>
      <c r="B124" s="14"/>
      <c r="C124" s="14"/>
      <c r="D124" s="102"/>
      <c r="E124" s="230"/>
      <c r="F124" s="230"/>
      <c r="G124" s="223"/>
      <c r="H124" s="230"/>
      <c r="I124" s="14"/>
      <c r="J124" s="14"/>
      <c r="K124" s="14"/>
      <c r="L124" s="14"/>
      <c r="M124" s="14"/>
      <c r="N124" s="14"/>
      <c r="O124" s="14"/>
      <c r="P124" s="14"/>
      <c r="Q124" s="14"/>
      <c r="R124" s="14"/>
      <c r="V124" s="197"/>
    </row>
    <row r="125" spans="1:22" ht="18" hidden="1" customHeight="1">
      <c r="A125" s="196"/>
      <c r="B125" s="14"/>
      <c r="C125" s="14"/>
      <c r="D125" s="102"/>
      <c r="E125" s="230"/>
      <c r="F125" s="230"/>
      <c r="G125" s="223"/>
      <c r="H125" s="230"/>
      <c r="I125" s="14"/>
      <c r="J125" s="14"/>
      <c r="K125" s="14"/>
      <c r="L125" s="14"/>
      <c r="M125" s="14"/>
      <c r="N125" s="14"/>
      <c r="O125" s="14"/>
      <c r="P125" s="14"/>
      <c r="Q125" s="14"/>
      <c r="R125" s="14"/>
      <c r="V125" s="197"/>
    </row>
    <row r="126" spans="1:22" ht="18" hidden="1" customHeight="1">
      <c r="A126" s="196"/>
      <c r="B126" s="14"/>
      <c r="C126" s="14"/>
      <c r="D126" s="102"/>
      <c r="E126" s="230"/>
      <c r="F126" s="230"/>
      <c r="G126" s="223"/>
      <c r="H126" s="230"/>
      <c r="I126" s="14"/>
      <c r="J126" s="14"/>
      <c r="K126" s="14"/>
      <c r="L126" s="14"/>
      <c r="M126" s="14"/>
      <c r="N126" s="14"/>
      <c r="O126" s="14"/>
      <c r="P126" s="14"/>
      <c r="Q126" s="14"/>
      <c r="R126" s="14"/>
      <c r="V126" s="197"/>
    </row>
    <row r="127" spans="1:22" ht="18" hidden="1" customHeight="1">
      <c r="A127" s="196"/>
      <c r="G127" s="223"/>
      <c r="H127" s="230"/>
      <c r="J127" s="28"/>
      <c r="K127" s="28"/>
      <c r="L127" s="28"/>
      <c r="M127" s="28"/>
      <c r="N127" s="28"/>
      <c r="O127" s="28"/>
      <c r="P127" s="28"/>
      <c r="Q127" s="28"/>
      <c r="R127" s="28"/>
      <c r="V127" s="197"/>
    </row>
    <row r="128" spans="1:22" ht="18" hidden="1" customHeight="1">
      <c r="A128" s="196"/>
      <c r="V128" s="197"/>
    </row>
    <row r="129" spans="1:22" ht="18" hidden="1" customHeight="1">
      <c r="A129" s="206"/>
      <c r="B129" s="207"/>
      <c r="C129" s="207"/>
      <c r="D129" s="207"/>
      <c r="E129" s="207"/>
      <c r="F129" s="207"/>
      <c r="G129" s="207"/>
      <c r="H129" s="207"/>
      <c r="I129" s="207"/>
      <c r="J129" s="207"/>
      <c r="K129" s="207"/>
      <c r="L129" s="207"/>
      <c r="M129" s="207"/>
      <c r="N129" s="207"/>
      <c r="O129" s="207"/>
      <c r="P129" s="207"/>
      <c r="Q129" s="236"/>
      <c r="R129" s="194"/>
      <c r="S129" s="237"/>
      <c r="T129" s="207"/>
      <c r="U129" s="207"/>
      <c r="V129" s="140"/>
    </row>
    <row r="130" spans="1:22" ht="18" hidden="1" customHeight="1">
      <c r="A130" s="141"/>
      <c r="B130" s="285"/>
      <c r="C130" s="285"/>
      <c r="D130" s="285"/>
      <c r="E130" s="285"/>
      <c r="F130" s="285"/>
      <c r="G130" s="285"/>
      <c r="H130" s="285"/>
      <c r="I130" s="285"/>
      <c r="J130" s="285"/>
      <c r="K130" s="285"/>
      <c r="L130" s="285"/>
      <c r="M130" s="285"/>
      <c r="N130" s="285"/>
      <c r="O130" s="285"/>
      <c r="P130" s="285"/>
      <c r="Q130" s="286"/>
      <c r="R130" s="145"/>
      <c r="S130" s="287"/>
      <c r="T130" s="285"/>
      <c r="U130" s="285"/>
      <c r="V130" s="288"/>
    </row>
    <row r="131" spans="1:22" ht="18" hidden="1" customHeight="1">
      <c r="A131" s="205" t="s">
        <v>864</v>
      </c>
      <c r="B131" s="209"/>
      <c r="C131" s="209"/>
      <c r="D131" s="209"/>
      <c r="E131" s="14"/>
      <c r="F131" s="14"/>
      <c r="G131" s="14"/>
      <c r="H131" s="14"/>
      <c r="I131" s="14"/>
      <c r="J131" s="14"/>
      <c r="K131" s="14"/>
      <c r="L131" s="14"/>
      <c r="M131" s="14"/>
      <c r="N131" s="14"/>
      <c r="O131" s="14"/>
      <c r="P131" s="27"/>
      <c r="Q131" s="28"/>
      <c r="T131" s="14"/>
      <c r="U131" s="14"/>
      <c r="V131" s="197"/>
    </row>
    <row r="132" spans="1:22" ht="18" hidden="1" customHeight="1">
      <c r="A132" s="205"/>
      <c r="B132" s="209"/>
      <c r="C132" s="209"/>
      <c r="D132" s="209"/>
      <c r="E132" s="14"/>
      <c r="F132" s="14"/>
      <c r="G132" s="14"/>
      <c r="H132" s="14"/>
      <c r="I132" s="14"/>
      <c r="J132" s="14"/>
      <c r="K132" s="14"/>
      <c r="L132" s="14"/>
      <c r="M132" s="14"/>
      <c r="N132" s="14"/>
      <c r="O132" s="14"/>
      <c r="P132" s="27"/>
      <c r="Q132" s="28"/>
      <c r="T132" s="14"/>
      <c r="U132" s="14"/>
      <c r="V132" s="197"/>
    </row>
    <row r="133" spans="1:22" ht="18" hidden="1" customHeight="1">
      <c r="A133" s="96"/>
      <c r="B133" s="209" t="s">
        <v>861</v>
      </c>
      <c r="C133" s="209"/>
      <c r="D133" s="14"/>
      <c r="E133" s="14"/>
      <c r="F133" s="14"/>
      <c r="G133" s="14"/>
      <c r="H133" s="14"/>
      <c r="I133" s="14"/>
      <c r="J133" s="14"/>
      <c r="K133" s="14"/>
      <c r="L133" s="14"/>
      <c r="M133" s="14"/>
      <c r="N133" s="14"/>
      <c r="O133" s="14"/>
      <c r="P133" s="14"/>
      <c r="Q133" s="14"/>
      <c r="R133" s="14"/>
      <c r="S133" s="14"/>
      <c r="T133" s="14"/>
      <c r="U133" s="14"/>
      <c r="V133" s="197"/>
    </row>
    <row r="134" spans="1:22" ht="18" hidden="1" customHeight="1">
      <c r="A134" s="96"/>
      <c r="B134" s="14"/>
      <c r="C134" s="14"/>
      <c r="D134" s="14"/>
      <c r="E134" s="14"/>
      <c r="F134" s="256" t="s">
        <v>486</v>
      </c>
      <c r="G134" s="28" t="str">
        <f>IF(E135&gt;H135, "&gt;","&lt;")</f>
        <v>&lt;</v>
      </c>
      <c r="H134" s="14" t="s">
        <v>488</v>
      </c>
      <c r="I134" s="14"/>
      <c r="J134" s="14"/>
      <c r="K134" s="14"/>
      <c r="L134" s="14" t="s">
        <v>865</v>
      </c>
      <c r="M134" s="14"/>
      <c r="N134" s="14"/>
      <c r="O134" s="14"/>
      <c r="P134" s="14"/>
      <c r="Q134" s="14"/>
      <c r="R134" s="14"/>
      <c r="S134" s="14"/>
      <c r="T134" s="14"/>
      <c r="U134" s="14"/>
      <c r="V134" s="197"/>
    </row>
    <row r="135" spans="1:22" ht="18" hidden="1" customHeight="1">
      <c r="A135" s="96"/>
      <c r="B135" s="14"/>
      <c r="C135" s="14"/>
      <c r="D135" s="14"/>
      <c r="E135" s="959">
        <f>J93</f>
        <v>0</v>
      </c>
      <c r="F135" s="959"/>
      <c r="G135" s="28" t="str">
        <f>G134</f>
        <v>&lt;</v>
      </c>
      <c r="H135" s="641">
        <f>E117</f>
        <v>12.334939520000001</v>
      </c>
      <c r="I135" s="641"/>
      <c r="J135" s="14"/>
      <c r="K135" s="14"/>
      <c r="L135" s="14"/>
      <c r="M135" s="14"/>
      <c r="N135" s="14"/>
      <c r="O135" s="14"/>
      <c r="P135" s="14"/>
      <c r="Q135" s="14"/>
      <c r="R135" s="14"/>
      <c r="S135" s="14"/>
      <c r="T135" s="14"/>
      <c r="U135" s="14"/>
      <c r="V135" s="197"/>
    </row>
    <row r="136" spans="1:22" ht="18" hidden="1" customHeight="1">
      <c r="A136" s="196"/>
      <c r="D136" s="223"/>
      <c r="E136" s="230"/>
      <c r="F136" s="211" t="s">
        <v>866</v>
      </c>
      <c r="G136" s="223"/>
      <c r="H136" s="293" t="s">
        <v>867</v>
      </c>
      <c r="J136" s="28" t="s">
        <v>868</v>
      </c>
      <c r="K136" s="18" t="str">
        <f>IF(G135="&gt;", "Satisfied", "Not Satisfied")</f>
        <v>Not Satisfied</v>
      </c>
      <c r="P136" s="14"/>
      <c r="Q136" s="14"/>
      <c r="R136" s="14"/>
      <c r="S136" s="14"/>
      <c r="T136" s="14"/>
      <c r="U136" s="14"/>
      <c r="V136" s="197"/>
    </row>
    <row r="137" spans="1:22" ht="18" hidden="1" customHeight="1">
      <c r="A137" s="96"/>
      <c r="B137" s="209" t="s">
        <v>863</v>
      </c>
      <c r="C137" s="209"/>
      <c r="D137" s="14"/>
      <c r="E137" s="14"/>
      <c r="F137" s="14"/>
      <c r="G137" s="14"/>
      <c r="H137" s="14"/>
      <c r="I137" s="14"/>
      <c r="J137" s="14"/>
      <c r="K137" s="14"/>
      <c r="L137" s="14"/>
      <c r="M137" s="14"/>
      <c r="N137" s="14"/>
      <c r="O137" s="14"/>
      <c r="P137" s="120"/>
      <c r="Q137" s="308"/>
      <c r="V137" s="197"/>
    </row>
    <row r="138" spans="1:22" ht="18" hidden="1" customHeight="1">
      <c r="A138" s="96"/>
      <c r="B138" s="14"/>
      <c r="C138" s="14"/>
      <c r="D138" s="14"/>
      <c r="E138" s="14"/>
      <c r="F138" s="256" t="s">
        <v>486</v>
      </c>
      <c r="G138" s="28" t="str">
        <f>IF(E139&gt;H139, "&gt;","&lt;")</f>
        <v>&lt;</v>
      </c>
      <c r="H138" s="14" t="s">
        <v>488</v>
      </c>
      <c r="I138" s="14"/>
      <c r="J138" s="14"/>
      <c r="K138" s="14"/>
      <c r="L138" s="14" t="s">
        <v>869</v>
      </c>
      <c r="M138" s="14"/>
      <c r="N138" s="14"/>
      <c r="O138" s="14"/>
      <c r="P138" s="313"/>
      <c r="Q138" s="474"/>
      <c r="V138" s="197"/>
    </row>
    <row r="139" spans="1:22" ht="18" hidden="1" customHeight="1">
      <c r="A139" s="96"/>
      <c r="B139" s="14"/>
      <c r="C139" s="14"/>
      <c r="D139" s="14"/>
      <c r="E139" s="959">
        <f>J93</f>
        <v>0</v>
      </c>
      <c r="F139" s="959"/>
      <c r="G139" s="28" t="str">
        <f>G138</f>
        <v>&lt;</v>
      </c>
      <c r="H139" s="641">
        <f>E123</f>
        <v>30.837348800000001</v>
      </c>
      <c r="I139" s="641"/>
      <c r="J139" s="14"/>
      <c r="K139" s="14"/>
      <c r="L139" s="14"/>
      <c r="M139" s="14"/>
      <c r="N139" s="14"/>
      <c r="O139" s="14"/>
      <c r="V139" s="197"/>
    </row>
    <row r="140" spans="1:22" ht="18" hidden="1" customHeight="1">
      <c r="A140" s="196"/>
      <c r="D140" s="223"/>
      <c r="E140" s="14"/>
      <c r="F140" s="211" t="s">
        <v>866</v>
      </c>
      <c r="G140" s="223"/>
      <c r="H140" s="293" t="s">
        <v>863</v>
      </c>
      <c r="J140" s="28" t="s">
        <v>868</v>
      </c>
      <c r="K140" s="18" t="str">
        <f>IF(G139="&gt;", "Satisfied", "Not Satisfied")</f>
        <v>Not Satisfied</v>
      </c>
      <c r="P140" s="244"/>
      <c r="Q140" s="244"/>
      <c r="R140" s="244"/>
      <c r="S140" s="244"/>
      <c r="T140" s="244"/>
      <c r="U140" s="244"/>
      <c r="V140" s="245"/>
    </row>
    <row r="141" spans="1:22" ht="18" hidden="1" customHeight="1">
      <c r="A141" s="196"/>
      <c r="H141" s="28"/>
      <c r="I141" s="28"/>
      <c r="J141" s="28"/>
      <c r="K141" s="28"/>
      <c r="L141" s="28"/>
      <c r="M141" s="28"/>
      <c r="N141" s="28"/>
      <c r="O141" s="28"/>
      <c r="P141" s="244"/>
      <c r="Q141" s="244"/>
      <c r="R141" s="244"/>
      <c r="S141" s="244"/>
      <c r="T141" s="244"/>
      <c r="U141" s="244"/>
      <c r="V141" s="245"/>
    </row>
    <row r="142" spans="1:22" ht="18" hidden="1" customHeight="1">
      <c r="A142" s="96"/>
      <c r="B142" s="14"/>
      <c r="C142" s="14"/>
      <c r="D142" s="14"/>
      <c r="E142" s="14"/>
      <c r="F142" s="256" t="s">
        <v>489</v>
      </c>
      <c r="G142" s="14"/>
      <c r="H142" s="18" t="str">
        <f>IF(AND(E135&gt;H135,E139&gt;H139),"Suitably Dimentioned","Under Dimentioned")</f>
        <v>Under Dimentioned</v>
      </c>
      <c r="I142" s="18"/>
      <c r="J142" s="18"/>
      <c r="K142" s="18"/>
      <c r="L142" s="18"/>
      <c r="M142" s="18"/>
      <c r="N142" s="14"/>
      <c r="O142" s="14"/>
      <c r="V142" s="197"/>
    </row>
    <row r="143" spans="1:22" ht="18" hidden="1" customHeight="1">
      <c r="A143" s="196"/>
      <c r="B143" s="27"/>
      <c r="C143" s="27"/>
      <c r="D143" s="27"/>
      <c r="E143" s="28"/>
      <c r="F143" s="27"/>
      <c r="G143" s="28"/>
      <c r="H143" s="27"/>
      <c r="I143" s="28"/>
      <c r="J143" s="27"/>
      <c r="K143" s="27"/>
      <c r="L143" s="27"/>
      <c r="M143" s="27"/>
      <c r="V143" s="197"/>
    </row>
    <row r="144" spans="1:22" ht="18" hidden="1" customHeight="1">
      <c r="A144" s="196"/>
      <c r="C144" s="27"/>
      <c r="D144" s="257"/>
      <c r="E144" s="233"/>
      <c r="F144" s="257"/>
      <c r="G144" s="234"/>
      <c r="H144" s="257"/>
      <c r="I144" s="257"/>
      <c r="J144" s="257"/>
      <c r="K144" s="257"/>
      <c r="L144" s="257"/>
      <c r="M144" s="27"/>
      <c r="V144" s="197"/>
    </row>
    <row r="145" spans="1:22" ht="18" hidden="1" customHeight="1">
      <c r="A145" s="196"/>
      <c r="C145" s="27"/>
      <c r="D145" s="216"/>
      <c r="E145" s="216"/>
      <c r="G145" s="18"/>
      <c r="V145" s="197"/>
    </row>
    <row r="146" spans="1:22" ht="18" hidden="1" customHeight="1">
      <c r="A146" s="96"/>
      <c r="B146" s="14"/>
      <c r="C146" s="14"/>
      <c r="D146" s="14"/>
      <c r="E146" s="14"/>
      <c r="F146" s="14"/>
      <c r="G146" s="14"/>
      <c r="H146" s="14"/>
      <c r="I146" s="14"/>
      <c r="J146" s="14"/>
      <c r="K146" s="14"/>
      <c r="L146" s="14"/>
      <c r="M146" s="14"/>
      <c r="N146" s="14"/>
      <c r="O146" s="14"/>
      <c r="P146" s="14"/>
      <c r="Q146" s="120"/>
      <c r="R146" s="28"/>
      <c r="S146" s="558"/>
      <c r="T146" s="14"/>
      <c r="U146" s="14"/>
      <c r="V146" s="394"/>
    </row>
    <row r="147" spans="1:22" ht="18" hidden="1" customHeight="1">
      <c r="A147" s="96"/>
      <c r="B147" s="14"/>
      <c r="C147" s="14"/>
      <c r="D147" s="14"/>
      <c r="E147" s="14"/>
      <c r="F147" s="14"/>
      <c r="G147" s="14"/>
      <c r="H147" s="14"/>
      <c r="I147" s="14"/>
      <c r="J147" s="14"/>
      <c r="K147" s="14"/>
      <c r="L147" s="14"/>
      <c r="M147" s="14"/>
      <c r="N147" s="14"/>
      <c r="O147" s="14"/>
      <c r="P147" s="14"/>
      <c r="Q147" s="120"/>
      <c r="R147" s="28"/>
      <c r="S147" s="558"/>
      <c r="T147" s="14"/>
      <c r="U147" s="14"/>
      <c r="V147" s="394"/>
    </row>
    <row r="148" spans="1:22" ht="18" hidden="1" customHeight="1">
      <c r="A148" s="96"/>
      <c r="B148" s="14"/>
      <c r="C148" s="14"/>
      <c r="D148" s="14"/>
      <c r="E148" s="14"/>
      <c r="F148" s="14"/>
      <c r="G148" s="14"/>
      <c r="H148" s="14"/>
      <c r="I148" s="14"/>
      <c r="J148" s="14"/>
      <c r="K148" s="14"/>
      <c r="L148" s="14"/>
      <c r="M148" s="14"/>
      <c r="N148" s="14"/>
      <c r="O148" s="14"/>
      <c r="P148" s="14"/>
      <c r="Q148" s="120"/>
      <c r="R148" s="28"/>
      <c r="S148" s="558"/>
      <c r="T148" s="14"/>
      <c r="U148" s="14"/>
      <c r="V148" s="394"/>
    </row>
    <row r="149" spans="1:22" ht="18" hidden="1" customHeight="1">
      <c r="A149" s="96"/>
      <c r="B149" s="14"/>
      <c r="C149" s="14"/>
      <c r="D149" s="14"/>
      <c r="E149" s="14"/>
      <c r="F149" s="14"/>
      <c r="G149" s="14"/>
      <c r="H149" s="14"/>
      <c r="I149" s="14"/>
      <c r="J149" s="14"/>
      <c r="K149" s="14"/>
      <c r="L149" s="14"/>
      <c r="M149" s="14"/>
      <c r="N149" s="14"/>
      <c r="O149" s="14"/>
      <c r="P149" s="14"/>
      <c r="Q149" s="120"/>
      <c r="R149" s="28"/>
      <c r="S149" s="558"/>
      <c r="T149" s="14"/>
      <c r="U149" s="14"/>
      <c r="V149" s="394"/>
    </row>
    <row r="150" spans="1:22" ht="18" hidden="1" customHeight="1">
      <c r="A150" s="96"/>
      <c r="B150" s="14"/>
      <c r="C150" s="14"/>
      <c r="D150" s="14"/>
      <c r="E150" s="14"/>
      <c r="F150" s="14"/>
      <c r="G150" s="14"/>
      <c r="H150" s="14"/>
      <c r="I150" s="14"/>
      <c r="J150" s="14"/>
      <c r="K150" s="14"/>
      <c r="L150" s="14"/>
      <c r="M150" s="14"/>
      <c r="N150" s="14"/>
      <c r="O150" s="14"/>
      <c r="P150" s="14"/>
      <c r="Q150" s="120"/>
      <c r="R150" s="28"/>
      <c r="S150" s="558"/>
      <c r="T150" s="14"/>
      <c r="U150" s="14"/>
      <c r="V150" s="394"/>
    </row>
    <row r="151" spans="1:22" ht="18" hidden="1" customHeight="1">
      <c r="A151" s="96"/>
      <c r="B151" s="14"/>
      <c r="C151" s="14"/>
      <c r="D151" s="14"/>
      <c r="E151" s="14"/>
      <c r="F151" s="14"/>
      <c r="G151" s="14"/>
      <c r="H151" s="14"/>
      <c r="I151" s="14"/>
      <c r="J151" s="14"/>
      <c r="K151" s="14"/>
      <c r="L151" s="14"/>
      <c r="M151" s="14"/>
      <c r="N151" s="14"/>
      <c r="O151" s="14"/>
      <c r="P151" s="14"/>
      <c r="Q151" s="120"/>
      <c r="R151" s="28"/>
      <c r="S151" s="558"/>
      <c r="T151" s="14"/>
      <c r="U151" s="14"/>
      <c r="V151" s="394"/>
    </row>
    <row r="152" spans="1:22" ht="18" hidden="1" customHeight="1">
      <c r="A152" s="96"/>
      <c r="B152" s="14"/>
      <c r="C152" s="14"/>
      <c r="D152" s="14"/>
      <c r="E152" s="14"/>
      <c r="F152" s="14"/>
      <c r="G152" s="14"/>
      <c r="H152" s="14"/>
      <c r="I152" s="14"/>
      <c r="J152" s="14"/>
      <c r="K152" s="14"/>
      <c r="L152" s="14"/>
      <c r="M152" s="14"/>
      <c r="N152" s="14"/>
      <c r="O152" s="14"/>
      <c r="P152" s="14"/>
      <c r="Q152" s="120"/>
      <c r="R152" s="28"/>
      <c r="S152" s="558"/>
      <c r="T152" s="14"/>
      <c r="U152" s="14"/>
      <c r="V152" s="394"/>
    </row>
    <row r="153" spans="1:22" ht="18" hidden="1" customHeight="1">
      <c r="A153" s="96"/>
      <c r="B153" s="14"/>
      <c r="C153" s="14"/>
      <c r="D153" s="14"/>
      <c r="E153" s="14"/>
      <c r="F153" s="14"/>
      <c r="G153" s="14"/>
      <c r="H153" s="14"/>
      <c r="I153" s="14"/>
      <c r="J153" s="14"/>
      <c r="K153" s="14"/>
      <c r="L153" s="14"/>
      <c r="M153" s="14"/>
      <c r="N153" s="14"/>
      <c r="O153" s="14"/>
      <c r="P153" s="14"/>
      <c r="Q153" s="120"/>
      <c r="R153" s="28"/>
      <c r="S153" s="558"/>
      <c r="T153" s="14"/>
      <c r="U153" s="14"/>
      <c r="V153" s="394"/>
    </row>
    <row r="154" spans="1:22" ht="18" hidden="1" customHeight="1">
      <c r="A154" s="96"/>
      <c r="B154" s="14"/>
      <c r="C154" s="14"/>
      <c r="D154" s="14"/>
      <c r="E154" s="14"/>
      <c r="F154" s="14"/>
      <c r="G154" s="14"/>
      <c r="H154" s="14"/>
      <c r="I154" s="14"/>
      <c r="J154" s="14"/>
      <c r="K154" s="14"/>
      <c r="L154" s="14"/>
      <c r="M154" s="14"/>
      <c r="N154" s="14"/>
      <c r="O154" s="14"/>
      <c r="P154" s="14"/>
      <c r="Q154" s="120"/>
      <c r="R154" s="28"/>
      <c r="S154" s="558"/>
      <c r="T154" s="14"/>
      <c r="U154" s="14"/>
      <c r="V154" s="394"/>
    </row>
    <row r="155" spans="1:22" ht="18" hidden="1" customHeight="1">
      <c r="A155" s="96"/>
      <c r="B155" s="14"/>
      <c r="C155" s="14"/>
      <c r="D155" s="14"/>
      <c r="E155" s="14"/>
      <c r="F155" s="14"/>
      <c r="G155" s="14"/>
      <c r="H155" s="14"/>
      <c r="I155" s="14"/>
      <c r="J155" s="14"/>
      <c r="K155" s="14"/>
      <c r="L155" s="14"/>
      <c r="M155" s="14"/>
      <c r="N155" s="14"/>
      <c r="O155" s="14"/>
      <c r="P155" s="14"/>
      <c r="Q155" s="120"/>
      <c r="R155" s="28"/>
      <c r="S155" s="558"/>
      <c r="T155" s="14"/>
      <c r="U155" s="14"/>
      <c r="V155" s="394"/>
    </row>
    <row r="156" spans="1:22" ht="18" hidden="1" customHeight="1">
      <c r="A156" s="96"/>
      <c r="B156" s="14"/>
      <c r="C156" s="14"/>
      <c r="D156" s="14"/>
      <c r="E156" s="14"/>
      <c r="F156" s="14"/>
      <c r="G156" s="14"/>
      <c r="H156" s="14"/>
      <c r="I156" s="14"/>
      <c r="J156" s="14"/>
      <c r="K156" s="14"/>
      <c r="L156" s="14"/>
      <c r="M156" s="14"/>
      <c r="N156" s="14"/>
      <c r="O156" s="14"/>
      <c r="P156" s="14"/>
      <c r="Q156" s="120"/>
      <c r="R156" s="28"/>
      <c r="S156" s="558"/>
      <c r="T156" s="14"/>
      <c r="U156" s="14"/>
      <c r="V156" s="394"/>
    </row>
    <row r="157" spans="1:22" ht="18" hidden="1" customHeight="1">
      <c r="A157" s="96"/>
      <c r="B157" s="14"/>
      <c r="C157" s="14"/>
      <c r="D157" s="14"/>
      <c r="E157" s="14"/>
      <c r="F157" s="14"/>
      <c r="G157" s="14"/>
      <c r="H157" s="14"/>
      <c r="I157" s="14"/>
      <c r="J157" s="14"/>
      <c r="K157" s="14"/>
      <c r="L157" s="14"/>
      <c r="M157" s="14"/>
      <c r="N157" s="14"/>
      <c r="O157" s="14"/>
      <c r="P157" s="14"/>
      <c r="Q157" s="120"/>
      <c r="R157" s="28"/>
      <c r="S157" s="558"/>
      <c r="T157" s="14"/>
      <c r="U157" s="14"/>
      <c r="V157" s="394"/>
    </row>
    <row r="158" spans="1:22" ht="18" hidden="1" customHeight="1">
      <c r="A158" s="96"/>
      <c r="B158" s="14"/>
      <c r="C158" s="14"/>
      <c r="D158" s="14"/>
      <c r="E158" s="14"/>
      <c r="F158" s="14"/>
      <c r="G158" s="14"/>
      <c r="H158" s="14"/>
      <c r="I158" s="14"/>
      <c r="J158" s="14"/>
      <c r="K158" s="14"/>
      <c r="L158" s="14"/>
      <c r="M158" s="14"/>
      <c r="N158" s="14"/>
      <c r="O158" s="14"/>
      <c r="P158" s="14"/>
      <c r="Q158" s="120"/>
      <c r="R158" s="28"/>
      <c r="S158" s="558"/>
      <c r="T158" s="14"/>
      <c r="U158" s="14"/>
      <c r="V158" s="394"/>
    </row>
    <row r="159" spans="1:22" ht="18" hidden="1" customHeight="1">
      <c r="A159" s="96"/>
      <c r="B159" s="14"/>
      <c r="C159" s="14"/>
      <c r="D159" s="14"/>
      <c r="E159" s="14"/>
      <c r="F159" s="14"/>
      <c r="G159" s="14"/>
      <c r="H159" s="14"/>
      <c r="I159" s="14"/>
      <c r="J159" s="14"/>
      <c r="K159" s="14"/>
      <c r="L159" s="14"/>
      <c r="M159" s="14"/>
      <c r="N159" s="14"/>
      <c r="O159" s="14"/>
      <c r="P159" s="14"/>
      <c r="Q159" s="120"/>
      <c r="R159" s="28"/>
      <c r="S159" s="558"/>
      <c r="T159" s="14"/>
      <c r="U159" s="14"/>
      <c r="V159" s="394"/>
    </row>
    <row r="160" spans="1:22" ht="18" hidden="1" customHeight="1">
      <c r="A160" s="96"/>
      <c r="B160" s="14"/>
      <c r="C160" s="14"/>
      <c r="D160" s="14"/>
      <c r="E160" s="14"/>
      <c r="F160" s="14"/>
      <c r="G160" s="14"/>
      <c r="H160" s="14"/>
      <c r="I160" s="14"/>
      <c r="J160" s="14"/>
      <c r="K160" s="14"/>
      <c r="L160" s="14"/>
      <c r="M160" s="14"/>
      <c r="N160" s="14"/>
      <c r="O160" s="14"/>
      <c r="P160" s="14"/>
      <c r="Q160" s="120"/>
      <c r="R160" s="28"/>
      <c r="S160" s="558"/>
      <c r="T160" s="14"/>
      <c r="U160" s="14"/>
      <c r="V160" s="394"/>
    </row>
    <row r="161" spans="1:22" ht="18" hidden="1" customHeight="1">
      <c r="A161" s="96"/>
      <c r="B161" s="14"/>
      <c r="C161" s="14"/>
      <c r="D161" s="14"/>
      <c r="E161" s="14"/>
      <c r="F161" s="14"/>
      <c r="G161" s="14"/>
      <c r="H161" s="14"/>
      <c r="I161" s="14"/>
      <c r="J161" s="14"/>
      <c r="K161" s="14"/>
      <c r="L161" s="14"/>
      <c r="M161" s="14"/>
      <c r="N161" s="14"/>
      <c r="O161" s="14"/>
      <c r="P161" s="14"/>
      <c r="Q161" s="120"/>
      <c r="R161" s="28"/>
      <c r="S161" s="558"/>
      <c r="T161" s="14"/>
      <c r="U161" s="14"/>
      <c r="V161" s="394"/>
    </row>
    <row r="162" spans="1:22" ht="18" hidden="1" customHeight="1">
      <c r="A162" s="96"/>
      <c r="B162" s="14"/>
      <c r="C162" s="14"/>
      <c r="D162" s="14"/>
      <c r="E162" s="14"/>
      <c r="F162" s="14"/>
      <c r="G162" s="14"/>
      <c r="H162" s="14"/>
      <c r="I162" s="14"/>
      <c r="J162" s="14"/>
      <c r="K162" s="14"/>
      <c r="L162" s="14"/>
      <c r="M162" s="14"/>
      <c r="N162" s="14"/>
      <c r="O162" s="14"/>
      <c r="P162" s="14"/>
      <c r="Q162" s="120"/>
      <c r="R162" s="28"/>
      <c r="S162" s="558"/>
      <c r="T162" s="14"/>
      <c r="U162" s="14"/>
      <c r="V162" s="394"/>
    </row>
    <row r="163" spans="1:22" ht="18" hidden="1" customHeight="1">
      <c r="A163" s="96"/>
      <c r="B163" s="14"/>
      <c r="C163" s="14"/>
      <c r="D163" s="14"/>
      <c r="E163" s="14"/>
      <c r="F163" s="14"/>
      <c r="G163" s="14"/>
      <c r="H163" s="14"/>
      <c r="I163" s="14"/>
      <c r="J163" s="14"/>
      <c r="K163" s="14"/>
      <c r="L163" s="14"/>
      <c r="M163" s="14"/>
      <c r="N163" s="14"/>
      <c r="O163" s="14"/>
      <c r="P163" s="14"/>
      <c r="Q163" s="120"/>
      <c r="R163" s="28"/>
      <c r="S163" s="558"/>
      <c r="T163" s="14"/>
      <c r="U163" s="14"/>
      <c r="V163" s="394"/>
    </row>
    <row r="164" spans="1:22" ht="18" hidden="1" customHeight="1">
      <c r="A164" s="96"/>
      <c r="B164" s="14"/>
      <c r="C164" s="14"/>
      <c r="D164" s="14"/>
      <c r="E164" s="14"/>
      <c r="F164" s="14"/>
      <c r="G164" s="14"/>
      <c r="H164" s="14"/>
      <c r="I164" s="14"/>
      <c r="J164" s="14"/>
      <c r="K164" s="14"/>
      <c r="L164" s="14"/>
      <c r="M164" s="14"/>
      <c r="N164" s="14"/>
      <c r="O164" s="14"/>
      <c r="P164" s="14"/>
      <c r="Q164" s="120"/>
      <c r="R164" s="28"/>
      <c r="S164" s="558"/>
      <c r="T164" s="14"/>
      <c r="U164" s="14"/>
      <c r="V164" s="394"/>
    </row>
    <row r="165" spans="1:22" ht="18" hidden="1" customHeight="1">
      <c r="A165" s="96"/>
      <c r="B165" s="14"/>
      <c r="C165" s="14"/>
      <c r="D165" s="14"/>
      <c r="E165" s="14"/>
      <c r="F165" s="14"/>
      <c r="G165" s="14"/>
      <c r="H165" s="14"/>
      <c r="I165" s="14"/>
      <c r="J165" s="14"/>
      <c r="K165" s="14"/>
      <c r="L165" s="14"/>
      <c r="M165" s="14"/>
      <c r="N165" s="14"/>
      <c r="O165" s="14"/>
      <c r="P165" s="14"/>
      <c r="Q165" s="120"/>
      <c r="R165" s="28"/>
      <c r="S165" s="558"/>
      <c r="T165" s="14"/>
      <c r="U165" s="14"/>
      <c r="V165" s="394"/>
    </row>
    <row r="166" spans="1:22" ht="18" hidden="1" customHeight="1">
      <c r="A166" s="96"/>
      <c r="B166" s="14"/>
      <c r="C166" s="14"/>
      <c r="D166" s="14"/>
      <c r="E166" s="14"/>
      <c r="F166" s="14"/>
      <c r="G166" s="14"/>
      <c r="H166" s="14"/>
      <c r="I166" s="14"/>
      <c r="J166" s="14"/>
      <c r="K166" s="14"/>
      <c r="L166" s="14"/>
      <c r="M166" s="14"/>
      <c r="N166" s="14"/>
      <c r="O166" s="14"/>
      <c r="P166" s="14"/>
      <c r="Q166" s="120"/>
      <c r="R166" s="28"/>
      <c r="S166" s="558"/>
      <c r="T166" s="14"/>
      <c r="U166" s="14"/>
      <c r="V166" s="394"/>
    </row>
    <row r="167" spans="1:22" ht="18" hidden="1" customHeight="1">
      <c r="A167" s="96"/>
      <c r="B167" s="14"/>
      <c r="C167" s="14"/>
      <c r="D167" s="14"/>
      <c r="E167" s="14"/>
      <c r="F167" s="14"/>
      <c r="G167" s="14"/>
      <c r="H167" s="14"/>
      <c r="I167" s="14"/>
      <c r="J167" s="14"/>
      <c r="K167" s="14"/>
      <c r="L167" s="14"/>
      <c r="M167" s="14"/>
      <c r="N167" s="14"/>
      <c r="O167" s="14"/>
      <c r="P167" s="14"/>
      <c r="Q167" s="120"/>
      <c r="R167" s="28"/>
      <c r="S167" s="558"/>
      <c r="T167" s="14"/>
      <c r="U167" s="14"/>
      <c r="V167" s="394"/>
    </row>
    <row r="168" spans="1:22" ht="18" hidden="1" customHeight="1">
      <c r="A168" s="96"/>
      <c r="B168" s="14"/>
      <c r="C168" s="14"/>
      <c r="D168" s="14"/>
      <c r="E168" s="14"/>
      <c r="F168" s="14"/>
      <c r="G168" s="14"/>
      <c r="H168" s="14"/>
      <c r="I168" s="14"/>
      <c r="J168" s="14"/>
      <c r="K168" s="14"/>
      <c r="L168" s="14"/>
      <c r="M168" s="14"/>
      <c r="N168" s="14"/>
      <c r="O168" s="14"/>
      <c r="P168" s="14"/>
      <c r="Q168" s="120"/>
      <c r="R168" s="28"/>
      <c r="S168" s="558"/>
      <c r="T168" s="14"/>
      <c r="U168" s="14"/>
      <c r="V168" s="394"/>
    </row>
    <row r="169" spans="1:22" ht="18" hidden="1" customHeight="1">
      <c r="A169" s="96"/>
      <c r="B169" s="14"/>
      <c r="C169" s="14"/>
      <c r="D169" s="14"/>
      <c r="E169" s="14"/>
      <c r="F169" s="14"/>
      <c r="G169" s="14"/>
      <c r="H169" s="14"/>
      <c r="I169" s="14"/>
      <c r="J169" s="14"/>
      <c r="K169" s="14"/>
      <c r="L169" s="14"/>
      <c r="M169" s="14"/>
      <c r="N169" s="14"/>
      <c r="O169" s="14"/>
      <c r="P169" s="14"/>
      <c r="Q169" s="120"/>
      <c r="R169" s="28"/>
      <c r="S169" s="558"/>
      <c r="T169" s="14"/>
      <c r="U169" s="14"/>
      <c r="V169" s="394"/>
    </row>
    <row r="170" spans="1:22" ht="18" hidden="1" customHeight="1">
      <c r="A170" s="96"/>
      <c r="B170" s="14"/>
      <c r="C170" s="14"/>
      <c r="D170" s="14"/>
      <c r="E170" s="14"/>
      <c r="F170" s="14"/>
      <c r="G170" s="14"/>
      <c r="H170" s="14"/>
      <c r="I170" s="14"/>
      <c r="J170" s="14"/>
      <c r="K170" s="14"/>
      <c r="L170" s="14"/>
      <c r="M170" s="14"/>
      <c r="N170" s="14"/>
      <c r="O170" s="14"/>
      <c r="P170" s="14"/>
      <c r="Q170" s="120"/>
      <c r="R170" s="28"/>
      <c r="S170" s="558"/>
      <c r="T170" s="14"/>
      <c r="U170" s="14"/>
      <c r="V170" s="394"/>
    </row>
    <row r="171" spans="1:22" ht="18" hidden="1" customHeight="1">
      <c r="A171" s="96"/>
      <c r="B171" s="14"/>
      <c r="C171" s="14"/>
      <c r="D171" s="14"/>
      <c r="E171" s="14"/>
      <c r="F171" s="14"/>
      <c r="G171" s="14"/>
      <c r="H171" s="14"/>
      <c r="I171" s="14"/>
      <c r="J171" s="14"/>
      <c r="K171" s="14"/>
      <c r="L171" s="14"/>
      <c r="M171" s="14"/>
      <c r="N171" s="14"/>
      <c r="O171" s="14"/>
      <c r="P171" s="14"/>
      <c r="Q171" s="120"/>
      <c r="R171" s="28"/>
      <c r="S171" s="558"/>
      <c r="T171" s="14"/>
      <c r="U171" s="14"/>
      <c r="V171" s="394"/>
    </row>
    <row r="172" spans="1:22" ht="18" hidden="1" customHeight="1">
      <c r="A172" s="96"/>
      <c r="B172" s="14"/>
      <c r="C172" s="14"/>
      <c r="D172" s="14"/>
      <c r="E172" s="14"/>
      <c r="F172" s="14"/>
      <c r="G172" s="14"/>
      <c r="H172" s="14"/>
      <c r="I172" s="14"/>
      <c r="J172" s="14"/>
      <c r="K172" s="14"/>
      <c r="L172" s="14"/>
      <c r="M172" s="14"/>
      <c r="N172" s="14"/>
      <c r="O172" s="14"/>
      <c r="P172" s="14"/>
      <c r="Q172" s="120"/>
      <c r="R172" s="28"/>
      <c r="S172" s="558"/>
      <c r="T172" s="14"/>
      <c r="U172" s="14"/>
      <c r="V172" s="394"/>
    </row>
    <row r="173" spans="1:22" ht="18" hidden="1" customHeight="1">
      <c r="A173" s="206"/>
      <c r="B173" s="207"/>
      <c r="C173" s="207"/>
      <c r="D173" s="207"/>
      <c r="E173" s="207"/>
      <c r="F173" s="207"/>
      <c r="G173" s="207"/>
      <c r="H173" s="207"/>
      <c r="I173" s="207"/>
      <c r="J173" s="207"/>
      <c r="K173" s="207"/>
      <c r="L173" s="207"/>
      <c r="M173" s="207"/>
      <c r="N173" s="207"/>
      <c r="O173" s="207"/>
      <c r="P173" s="207"/>
      <c r="Q173" s="236"/>
      <c r="R173" s="194"/>
      <c r="S173" s="237"/>
      <c r="T173" s="207"/>
      <c r="U173" s="207"/>
      <c r="V173" s="140" t="s">
        <v>563</v>
      </c>
    </row>
    <row r="174" spans="1:22" ht="18" hidden="1" customHeight="1">
      <c r="A174" s="238"/>
      <c r="B174" s="239"/>
      <c r="C174" s="239"/>
      <c r="D174" s="239"/>
      <c r="E174" s="239"/>
      <c r="F174" s="239"/>
      <c r="G174" s="239"/>
      <c r="H174" s="239"/>
      <c r="I174" s="239"/>
      <c r="J174" s="239"/>
      <c r="K174" s="239"/>
      <c r="L174" s="239"/>
      <c r="M174" s="239"/>
      <c r="N174" s="239"/>
      <c r="O174" s="239"/>
      <c r="P174" s="239"/>
      <c r="Q174" s="239"/>
      <c r="R174" s="239"/>
      <c r="S174" s="239"/>
      <c r="T174" s="239"/>
      <c r="U174" s="239"/>
      <c r="V174" s="240"/>
    </row>
    <row r="175" spans="1:22" ht="18" hidden="1" customHeight="1">
      <c r="A175" s="196"/>
      <c r="B175" s="650" t="str">
        <f>B87</f>
        <v>T1</v>
      </c>
      <c r="C175" s="651"/>
      <c r="D175" s="650" t="str">
        <f>D87</f>
        <v>Core5</v>
      </c>
      <c r="E175" s="651"/>
      <c r="F175" s="468"/>
      <c r="H175" s="639" t="s">
        <v>722</v>
      </c>
      <c r="I175" s="639"/>
      <c r="J175" s="639"/>
      <c r="K175" s="639"/>
      <c r="L175" s="639"/>
      <c r="M175" s="639"/>
      <c r="P175" s="198"/>
      <c r="S175" s="199" t="s">
        <v>398</v>
      </c>
      <c r="T175" s="650" t="str">
        <f>T87</f>
        <v>P743</v>
      </c>
      <c r="U175" s="651"/>
      <c r="V175" s="197"/>
    </row>
    <row r="176" spans="1:22" ht="18" hidden="1" customHeight="1">
      <c r="A176" s="469"/>
      <c r="F176" s="468"/>
      <c r="T176" s="650">
        <f>T88</f>
        <v>0</v>
      </c>
      <c r="U176" s="651"/>
      <c r="V176" s="197"/>
    </row>
    <row r="177" spans="1:23" ht="18" hidden="1" customHeight="1">
      <c r="A177" s="196"/>
      <c r="H177" s="661" t="s">
        <v>401</v>
      </c>
      <c r="I177" s="661"/>
      <c r="J177" s="661" t="s">
        <v>402</v>
      </c>
      <c r="K177" s="661"/>
      <c r="L177" s="662" t="s">
        <v>403</v>
      </c>
      <c r="M177" s="662"/>
      <c r="T177" s="650">
        <f>T89</f>
        <v>0</v>
      </c>
      <c r="U177" s="651"/>
      <c r="V177" s="197"/>
    </row>
    <row r="178" spans="1:23" ht="18" hidden="1" customHeight="1">
      <c r="A178" s="196"/>
      <c r="B178" s="47" t="s">
        <v>404</v>
      </c>
      <c r="H178" s="650">
        <f>H90</f>
        <v>2500</v>
      </c>
      <c r="I178" s="651"/>
      <c r="J178" s="650">
        <f>J90</f>
        <v>0</v>
      </c>
      <c r="K178" s="651"/>
      <c r="L178" s="652">
        <f>L90</f>
        <v>0</v>
      </c>
      <c r="M178" s="653"/>
      <c r="N178" s="203" t="s">
        <v>353</v>
      </c>
      <c r="O178" s="268">
        <f>O90</f>
        <v>1</v>
      </c>
      <c r="P178" s="27" t="s">
        <v>9</v>
      </c>
      <c r="R178" s="267"/>
      <c r="S178" s="267"/>
      <c r="V178" s="197"/>
    </row>
    <row r="179" spans="1:23" ht="18" hidden="1" customHeight="1">
      <c r="A179" s="196"/>
      <c r="B179" s="47" t="s">
        <v>405</v>
      </c>
      <c r="L179" s="650" t="str">
        <f>J91</f>
        <v>PX-B</v>
      </c>
      <c r="M179" s="651"/>
      <c r="V179" s="197"/>
    </row>
    <row r="180" spans="1:23" ht="18" hidden="1" customHeight="1">
      <c r="A180" s="196"/>
      <c r="B180" s="47" t="s">
        <v>407</v>
      </c>
      <c r="K180" s="120" t="s">
        <v>508</v>
      </c>
      <c r="L180" s="981"/>
      <c r="M180" s="982"/>
      <c r="N180" s="204" t="s">
        <v>344</v>
      </c>
      <c r="V180" s="197"/>
    </row>
    <row r="181" spans="1:23" ht="18" hidden="1" customHeight="1">
      <c r="A181" s="196"/>
      <c r="B181" s="47" t="s">
        <v>409</v>
      </c>
      <c r="K181" s="120" t="s">
        <v>509</v>
      </c>
      <c r="L181" s="940"/>
      <c r="M181" s="941"/>
      <c r="N181" s="14" t="s">
        <v>316</v>
      </c>
      <c r="U181" s="18"/>
      <c r="V181" s="197"/>
      <c r="W181" s="30" t="e">
        <f>H230</f>
        <v>#DIV/0!</v>
      </c>
    </row>
    <row r="182" spans="1:23" ht="18" hidden="1" customHeight="1">
      <c r="A182" s="196"/>
      <c r="B182" s="14" t="s">
        <v>412</v>
      </c>
      <c r="K182" s="120" t="s">
        <v>413</v>
      </c>
      <c r="L182" s="940"/>
      <c r="M182" s="941"/>
      <c r="N182" s="14" t="s">
        <v>414</v>
      </c>
      <c r="V182" s="197"/>
    </row>
    <row r="183" spans="1:23" ht="18" hidden="1" customHeight="1">
      <c r="A183" s="196"/>
      <c r="V183" s="197"/>
    </row>
    <row r="184" spans="1:23" ht="18" hidden="1" customHeight="1">
      <c r="A184" s="205" t="s">
        <v>415</v>
      </c>
      <c r="V184" s="197"/>
    </row>
    <row r="185" spans="1:23" ht="18" hidden="1" customHeight="1">
      <c r="A185" s="196"/>
      <c r="V185" s="197"/>
    </row>
    <row r="186" spans="1:23" ht="18" hidden="1" customHeight="1">
      <c r="A186" s="196"/>
      <c r="B186" s="141" t="s">
        <v>416</v>
      </c>
      <c r="C186" s="285"/>
      <c r="D186" s="146" t="str">
        <f>T175</f>
        <v>P743</v>
      </c>
      <c r="E186" s="239"/>
      <c r="F186" s="239"/>
      <c r="G186" s="239"/>
      <c r="H186" s="145"/>
      <c r="I186" s="272" t="s">
        <v>138</v>
      </c>
      <c r="J186" s="644">
        <f>J98</f>
        <v>0.1</v>
      </c>
      <c r="K186" s="648"/>
      <c r="L186" s="3" t="s">
        <v>168</v>
      </c>
      <c r="N186" s="209"/>
      <c r="V186" s="197"/>
    </row>
    <row r="187" spans="1:23" ht="18" hidden="1" customHeight="1">
      <c r="A187" s="196"/>
      <c r="B187" s="96" t="s">
        <v>416</v>
      </c>
      <c r="C187" s="14"/>
      <c r="D187" s="47">
        <f>T176</f>
        <v>0</v>
      </c>
      <c r="E187" s="14"/>
      <c r="G187" s="211"/>
      <c r="H187" s="27"/>
      <c r="I187" s="101" t="s">
        <v>138</v>
      </c>
      <c r="J187" s="644">
        <f>J99</f>
        <v>0</v>
      </c>
      <c r="K187" s="648"/>
      <c r="L187" s="214" t="s">
        <v>168</v>
      </c>
      <c r="N187" s="28"/>
      <c r="O187" s="27"/>
      <c r="P187" s="28"/>
      <c r="Q187" s="102"/>
      <c r="R187" s="28"/>
      <c r="S187" s="27"/>
      <c r="T187" s="28"/>
      <c r="V187" s="197"/>
    </row>
    <row r="188" spans="1:23" ht="18" hidden="1" customHeight="1">
      <c r="A188" s="196"/>
      <c r="B188" s="96" t="s">
        <v>416</v>
      </c>
      <c r="C188" s="14"/>
      <c r="D188" s="47">
        <f>T177</f>
        <v>0</v>
      </c>
      <c r="E188" s="14"/>
      <c r="G188" s="211"/>
      <c r="H188" s="27"/>
      <c r="I188" s="101" t="s">
        <v>138</v>
      </c>
      <c r="J188" s="644">
        <f>J100</f>
        <v>0</v>
      </c>
      <c r="K188" s="648"/>
      <c r="L188" s="214" t="s">
        <v>168</v>
      </c>
      <c r="N188" s="27"/>
      <c r="O188" s="27"/>
      <c r="P188" s="27"/>
      <c r="Q188" s="102"/>
      <c r="R188" s="27"/>
      <c r="S188" s="27"/>
      <c r="T188" s="27"/>
      <c r="V188" s="197"/>
    </row>
    <row r="189" spans="1:23" ht="18" hidden="1" customHeight="1">
      <c r="A189" s="196"/>
      <c r="B189" s="196" t="s">
        <v>423</v>
      </c>
      <c r="C189" s="14"/>
      <c r="D189" s="14"/>
      <c r="E189" s="14"/>
      <c r="H189" s="27"/>
      <c r="I189" s="101" t="s">
        <v>138</v>
      </c>
      <c r="J189" s="644">
        <f>J101</f>
        <v>1.44186744</v>
      </c>
      <c r="K189" s="648"/>
      <c r="L189" s="309" t="s">
        <v>168</v>
      </c>
      <c r="N189" s="27"/>
      <c r="O189" s="27"/>
      <c r="P189" s="216"/>
      <c r="R189" s="204"/>
      <c r="S189" s="27"/>
      <c r="T189" s="27"/>
      <c r="V189" s="197"/>
    </row>
    <row r="190" spans="1:23" ht="18" hidden="1" customHeight="1">
      <c r="A190" s="196"/>
      <c r="B190" s="1" t="s">
        <v>424</v>
      </c>
      <c r="C190" s="2"/>
      <c r="D190" s="2"/>
      <c r="E190" s="2"/>
      <c r="F190" s="208"/>
      <c r="G190" s="208"/>
      <c r="H190" s="236" t="s">
        <v>523</v>
      </c>
      <c r="I190" s="195" t="s">
        <v>138</v>
      </c>
      <c r="J190" s="648">
        <f>SUM(J186:J189)</f>
        <v>1.5418674400000001</v>
      </c>
      <c r="K190" s="649"/>
      <c r="L190" s="3" t="s">
        <v>168</v>
      </c>
      <c r="V190" s="197"/>
    </row>
    <row r="191" spans="1:23" ht="18" hidden="1" customHeight="1">
      <c r="A191" s="196"/>
      <c r="B191" s="47"/>
      <c r="C191" s="47"/>
      <c r="D191" s="47"/>
      <c r="E191" s="47"/>
      <c r="H191" s="27"/>
      <c r="I191" s="28"/>
      <c r="J191" s="211"/>
      <c r="L191" s="47"/>
      <c r="O191" s="27"/>
      <c r="P191" s="223"/>
      <c r="Q191" s="27"/>
      <c r="R191" s="216"/>
      <c r="S191" s="27"/>
      <c r="V191" s="197"/>
    </row>
    <row r="192" spans="1:23" ht="18" hidden="1" customHeight="1">
      <c r="A192" s="180"/>
      <c r="B192" s="5"/>
      <c r="C192" s="47" t="s">
        <v>852</v>
      </c>
      <c r="D192" s="14"/>
      <c r="E192" s="14"/>
      <c r="F192" s="14"/>
      <c r="G192" s="14"/>
      <c r="H192" s="291"/>
      <c r="I192" s="120"/>
      <c r="J192" s="291"/>
      <c r="K192" s="291"/>
      <c r="L192" s="14"/>
      <c r="M192" s="14"/>
      <c r="N192" s="14"/>
      <c r="O192" s="14"/>
      <c r="P192" s="14"/>
      <c r="Q192" s="120" t="s">
        <v>853</v>
      </c>
      <c r="R192" s="102" t="s">
        <v>138</v>
      </c>
      <c r="S192" s="650">
        <f>S104</f>
        <v>40000</v>
      </c>
      <c r="T192" s="651"/>
      <c r="U192" s="47" t="s">
        <v>9</v>
      </c>
      <c r="V192" s="197"/>
    </row>
    <row r="193" spans="1:22" ht="18" hidden="1" customHeight="1">
      <c r="A193" s="180"/>
      <c r="B193" s="5"/>
      <c r="C193" s="47" t="s">
        <v>665</v>
      </c>
      <c r="D193" s="14"/>
      <c r="E193" s="14"/>
      <c r="F193" s="18"/>
      <c r="G193" s="18"/>
      <c r="H193" s="291"/>
      <c r="I193" s="120"/>
      <c r="J193" s="291"/>
      <c r="K193" s="291"/>
      <c r="L193" s="14"/>
      <c r="M193" s="14"/>
      <c r="N193" s="14"/>
      <c r="O193" s="14"/>
      <c r="P193" s="14"/>
      <c r="Q193" s="120" t="s">
        <v>434</v>
      </c>
      <c r="R193" s="102" t="s">
        <v>138</v>
      </c>
      <c r="S193" s="638">
        <f>L178</f>
        <v>0</v>
      </c>
      <c r="T193" s="638"/>
      <c r="U193" s="14" t="s">
        <v>9</v>
      </c>
      <c r="V193" s="197"/>
    </row>
    <row r="194" spans="1:22" ht="18" hidden="1" customHeight="1">
      <c r="A194" s="180"/>
      <c r="B194" s="5"/>
      <c r="C194" s="47" t="s">
        <v>854</v>
      </c>
      <c r="E194" s="14"/>
      <c r="F194" s="18"/>
      <c r="G194" s="18"/>
      <c r="H194" s="291"/>
      <c r="I194" s="120"/>
      <c r="J194" s="291"/>
      <c r="K194" s="291"/>
      <c r="L194" s="14"/>
      <c r="M194" s="14"/>
      <c r="N194" s="14"/>
      <c r="O194" s="14"/>
      <c r="P194" s="14"/>
      <c r="Q194" s="120" t="s">
        <v>855</v>
      </c>
      <c r="R194" s="28" t="s">
        <v>138</v>
      </c>
      <c r="S194" s="641" t="e">
        <f>S192/S193*O178</f>
        <v>#DIV/0!</v>
      </c>
      <c r="T194" s="641"/>
      <c r="U194" s="14" t="s">
        <v>9</v>
      </c>
      <c r="V194" s="197"/>
    </row>
    <row r="195" spans="1:22" ht="18" hidden="1" customHeight="1">
      <c r="A195" s="180"/>
      <c r="B195" s="5"/>
      <c r="C195" s="47" t="s">
        <v>856</v>
      </c>
      <c r="D195" s="14"/>
      <c r="E195" s="14"/>
      <c r="F195" s="18"/>
      <c r="G195" s="18"/>
      <c r="H195" s="291"/>
      <c r="I195" s="120"/>
      <c r="J195" s="291"/>
      <c r="K195" s="291"/>
      <c r="L195" s="14"/>
      <c r="M195" s="14"/>
      <c r="N195" s="14"/>
      <c r="O195" s="14"/>
      <c r="P195" s="14"/>
      <c r="Q195" s="120" t="s">
        <v>700</v>
      </c>
      <c r="R195" s="28" t="s">
        <v>138</v>
      </c>
      <c r="S195" s="641">
        <f>J190/O178*O178</f>
        <v>1.5418674400000001</v>
      </c>
      <c r="T195" s="641"/>
      <c r="U195" s="204" t="s">
        <v>344</v>
      </c>
      <c r="V195" s="197"/>
    </row>
    <row r="196" spans="1:22" ht="18" hidden="1" customHeight="1">
      <c r="A196" s="180"/>
      <c r="B196" s="5"/>
      <c r="C196" s="47" t="s">
        <v>857</v>
      </c>
      <c r="Q196" s="120" t="s">
        <v>858</v>
      </c>
      <c r="R196" s="28" t="s">
        <v>138</v>
      </c>
      <c r="S196" s="650">
        <f>S108</f>
        <v>50000</v>
      </c>
      <c r="T196" s="651"/>
      <c r="U196" s="14" t="s">
        <v>9</v>
      </c>
      <c r="V196" s="197"/>
    </row>
    <row r="197" spans="1:22" ht="18" hidden="1" customHeight="1">
      <c r="A197" s="311"/>
      <c r="B197" s="291"/>
      <c r="C197" s="47" t="s">
        <v>859</v>
      </c>
      <c r="Q197" s="256" t="s">
        <v>860</v>
      </c>
      <c r="R197" s="28" t="s">
        <v>138</v>
      </c>
      <c r="S197" s="637" t="e">
        <f>S196/S193</f>
        <v>#DIV/0!</v>
      </c>
      <c r="T197" s="637"/>
      <c r="U197" s="14" t="s">
        <v>9</v>
      </c>
      <c r="V197" s="312"/>
    </row>
    <row r="198" spans="1:22" ht="18" hidden="1" customHeight="1">
      <c r="A198" s="96"/>
      <c r="B198" s="14"/>
      <c r="C198" s="14"/>
      <c r="D198" s="14"/>
      <c r="E198" s="14"/>
      <c r="F198" s="14"/>
      <c r="G198" s="14"/>
      <c r="H198" s="14"/>
      <c r="I198" s="14"/>
      <c r="J198" s="14"/>
      <c r="K198" s="14"/>
      <c r="L198" s="14"/>
      <c r="M198" s="14"/>
      <c r="N198" s="14"/>
      <c r="O198" s="14"/>
      <c r="P198" s="28"/>
      <c r="Q198" s="120"/>
      <c r="R198" s="14"/>
      <c r="S198" s="14"/>
      <c r="T198" s="14"/>
      <c r="U198" s="14"/>
      <c r="V198" s="197"/>
    </row>
    <row r="199" spans="1:22" ht="18" hidden="1" customHeight="1">
      <c r="A199" s="205" t="s">
        <v>766</v>
      </c>
      <c r="B199" s="14"/>
      <c r="C199" s="14"/>
      <c r="D199" s="14"/>
      <c r="E199" s="14"/>
      <c r="F199" s="14"/>
      <c r="G199" s="14"/>
      <c r="H199" s="14"/>
      <c r="K199" s="14"/>
      <c r="T199" s="14"/>
      <c r="U199" s="14"/>
      <c r="V199" s="197"/>
    </row>
    <row r="200" spans="1:22" ht="18" hidden="1" customHeight="1">
      <c r="A200" s="96"/>
      <c r="B200" s="14"/>
      <c r="C200" s="14"/>
      <c r="D200" s="14"/>
      <c r="E200" s="14"/>
      <c r="F200" s="14"/>
      <c r="G200" s="14"/>
      <c r="H200" s="14"/>
      <c r="K200" s="14"/>
      <c r="T200" s="14"/>
      <c r="U200" s="14"/>
      <c r="V200" s="197"/>
    </row>
    <row r="201" spans="1:22" ht="18" hidden="1" customHeight="1">
      <c r="A201" s="205" t="s">
        <v>861</v>
      </c>
      <c r="H201" s="28"/>
      <c r="I201" s="28"/>
      <c r="J201" s="28"/>
      <c r="K201" s="28"/>
      <c r="T201" s="14"/>
      <c r="U201" s="14"/>
      <c r="V201" s="197"/>
    </row>
    <row r="202" spans="1:22" ht="18" hidden="1" customHeight="1">
      <c r="A202" s="205"/>
      <c r="H202" s="28"/>
      <c r="I202" s="28"/>
      <c r="J202" s="28"/>
      <c r="K202" s="28"/>
      <c r="T202" s="14"/>
      <c r="U202" s="14"/>
      <c r="V202" s="197"/>
    </row>
    <row r="203" spans="1:22" ht="18" hidden="1" customHeight="1">
      <c r="A203" s="196"/>
      <c r="B203" s="638" t="s">
        <v>484</v>
      </c>
      <c r="C203" s="638"/>
      <c r="D203" s="28" t="s">
        <v>862</v>
      </c>
      <c r="E203" s="28">
        <v>0.5</v>
      </c>
      <c r="F203" s="28" t="s">
        <v>326</v>
      </c>
      <c r="G203" s="638" t="s">
        <v>855</v>
      </c>
      <c r="H203" s="638"/>
      <c r="I203" s="28" t="s">
        <v>683</v>
      </c>
      <c r="J203" s="638" t="s">
        <v>431</v>
      </c>
      <c r="K203" s="638"/>
      <c r="L203" s="28" t="s">
        <v>358</v>
      </c>
      <c r="M203" s="638" t="s">
        <v>700</v>
      </c>
      <c r="N203" s="638"/>
      <c r="O203" s="14" t="s">
        <v>361</v>
      </c>
      <c r="P203" s="14"/>
      <c r="Q203" s="14"/>
      <c r="R203" s="14"/>
      <c r="T203" s="14"/>
      <c r="U203" s="14"/>
      <c r="V203" s="197"/>
    </row>
    <row r="204" spans="1:22" ht="18" hidden="1" customHeight="1">
      <c r="A204" s="196"/>
      <c r="B204" s="14"/>
      <c r="C204" s="14"/>
      <c r="D204" s="102" t="s">
        <v>138</v>
      </c>
      <c r="E204" s="28">
        <v>0.5</v>
      </c>
      <c r="F204" s="28" t="s">
        <v>326</v>
      </c>
      <c r="G204" s="641" t="e">
        <f>S194</f>
        <v>#DIV/0!</v>
      </c>
      <c r="H204" s="638"/>
      <c r="I204" s="28" t="s">
        <v>683</v>
      </c>
      <c r="J204" s="638">
        <f>L180</f>
        <v>0</v>
      </c>
      <c r="K204" s="638"/>
      <c r="L204" s="28" t="s">
        <v>358</v>
      </c>
      <c r="M204" s="641">
        <f>S195</f>
        <v>1.5418674400000001</v>
      </c>
      <c r="N204" s="638"/>
      <c r="O204" s="14" t="s">
        <v>361</v>
      </c>
      <c r="S204" s="14"/>
      <c r="T204" s="14"/>
      <c r="U204" s="14"/>
      <c r="V204" s="197"/>
    </row>
    <row r="205" spans="1:22" ht="18" hidden="1" customHeight="1">
      <c r="A205" s="196"/>
      <c r="B205" s="14"/>
      <c r="C205" s="14"/>
      <c r="D205" s="102" t="s">
        <v>138</v>
      </c>
      <c r="E205" s="641" t="e">
        <f>E204*G204*(J204+M204)</f>
        <v>#DIV/0!</v>
      </c>
      <c r="F205" s="641"/>
      <c r="G205" s="223"/>
      <c r="H205" s="230"/>
      <c r="I205" s="14"/>
      <c r="J205" s="14"/>
      <c r="K205" s="14"/>
      <c r="L205" s="14"/>
      <c r="M205" s="14"/>
      <c r="N205" s="14"/>
      <c r="O205" s="14"/>
      <c r="P205" s="14"/>
      <c r="Q205" s="14"/>
      <c r="R205" s="14"/>
      <c r="V205" s="197"/>
    </row>
    <row r="206" spans="1:22" ht="18" hidden="1" customHeight="1">
      <c r="A206" s="196"/>
      <c r="B206" s="14"/>
      <c r="C206" s="14"/>
      <c r="D206" s="28"/>
      <c r="E206" s="230"/>
      <c r="F206" s="230"/>
      <c r="G206" s="223"/>
      <c r="H206" s="230"/>
      <c r="I206" s="14"/>
      <c r="J206" s="14"/>
      <c r="K206" s="14"/>
      <c r="L206" s="14"/>
      <c r="M206" s="14"/>
      <c r="N206" s="14"/>
      <c r="O206" s="14"/>
      <c r="P206" s="14"/>
      <c r="Q206" s="14"/>
      <c r="R206" s="14"/>
      <c r="V206" s="197"/>
    </row>
    <row r="207" spans="1:22" ht="18" hidden="1" customHeight="1">
      <c r="A207" s="205" t="s">
        <v>863</v>
      </c>
      <c r="B207" s="14"/>
      <c r="C207" s="14"/>
      <c r="D207" s="28"/>
      <c r="E207" s="230"/>
      <c r="F207" s="230"/>
      <c r="G207" s="223"/>
      <c r="H207" s="230"/>
      <c r="I207" s="14"/>
      <c r="J207" s="14"/>
      <c r="K207" s="14"/>
      <c r="L207" s="14"/>
      <c r="M207" s="14"/>
      <c r="N207" s="14"/>
      <c r="O207" s="14"/>
      <c r="P207" s="14"/>
      <c r="Q207" s="14"/>
      <c r="R207" s="14"/>
      <c r="V207" s="197"/>
    </row>
    <row r="208" spans="1:22" ht="18" hidden="1" customHeight="1">
      <c r="A208" s="196"/>
      <c r="B208" s="14"/>
      <c r="C208" s="14"/>
      <c r="D208" s="28"/>
      <c r="E208" s="230"/>
      <c r="F208" s="230"/>
      <c r="G208" s="223"/>
      <c r="H208" s="230"/>
      <c r="I208" s="14"/>
      <c r="J208" s="14"/>
      <c r="K208" s="14"/>
      <c r="L208" s="14"/>
      <c r="M208" s="14"/>
      <c r="N208" s="14"/>
      <c r="O208" s="14"/>
      <c r="P208" s="14"/>
      <c r="Q208" s="14"/>
      <c r="R208" s="14"/>
      <c r="V208" s="197"/>
    </row>
    <row r="209" spans="1:22" ht="18" hidden="1" customHeight="1">
      <c r="A209" s="196"/>
      <c r="B209" s="638" t="s">
        <v>484</v>
      </c>
      <c r="C209" s="638"/>
      <c r="D209" s="28" t="s">
        <v>862</v>
      </c>
      <c r="E209" s="638" t="s">
        <v>860</v>
      </c>
      <c r="F209" s="638"/>
      <c r="G209" s="28" t="s">
        <v>683</v>
      </c>
      <c r="H209" s="638" t="s">
        <v>431</v>
      </c>
      <c r="I209" s="638"/>
      <c r="J209" s="28" t="s">
        <v>358</v>
      </c>
      <c r="K209" s="638" t="s">
        <v>700</v>
      </c>
      <c r="L209" s="638"/>
      <c r="M209" s="14" t="s">
        <v>361</v>
      </c>
      <c r="P209" s="14"/>
      <c r="Q209" s="14"/>
      <c r="R209" s="14"/>
      <c r="V209" s="197"/>
    </row>
    <row r="210" spans="1:22" ht="18" hidden="1" customHeight="1">
      <c r="A210" s="196"/>
      <c r="B210" s="14"/>
      <c r="C210" s="14"/>
      <c r="D210" s="102" t="s">
        <v>138</v>
      </c>
      <c r="E210" s="641" t="e">
        <f>S197</f>
        <v>#DIV/0!</v>
      </c>
      <c r="F210" s="638"/>
      <c r="G210" s="28" t="s">
        <v>683</v>
      </c>
      <c r="H210" s="638">
        <f>L180</f>
        <v>0</v>
      </c>
      <c r="I210" s="638"/>
      <c r="J210" s="28" t="s">
        <v>358</v>
      </c>
      <c r="K210" s="641">
        <f>S195</f>
        <v>1.5418674400000001</v>
      </c>
      <c r="L210" s="638"/>
      <c r="M210" s="14" t="s">
        <v>361</v>
      </c>
      <c r="N210" s="14"/>
      <c r="O210" s="14"/>
      <c r="P210" s="14"/>
      <c r="Q210" s="14"/>
      <c r="R210" s="14"/>
      <c r="V210" s="197"/>
    </row>
    <row r="211" spans="1:22" ht="18" hidden="1" customHeight="1">
      <c r="A211" s="196"/>
      <c r="B211" s="14"/>
      <c r="C211" s="14"/>
      <c r="D211" s="102" t="s">
        <v>138</v>
      </c>
      <c r="E211" s="641" t="e">
        <f>E210*(H210+K210)</f>
        <v>#DIV/0!</v>
      </c>
      <c r="F211" s="641"/>
      <c r="G211" s="223"/>
      <c r="H211" s="230"/>
      <c r="I211" s="14"/>
      <c r="J211" s="14"/>
      <c r="K211" s="14"/>
      <c r="L211" s="14"/>
      <c r="M211" s="14"/>
      <c r="N211" s="14"/>
      <c r="O211" s="14"/>
      <c r="P211" s="14"/>
      <c r="Q211" s="14"/>
      <c r="R211" s="14"/>
      <c r="V211" s="197"/>
    </row>
    <row r="212" spans="1:22" ht="18" hidden="1" customHeight="1">
      <c r="A212" s="196"/>
      <c r="B212" s="14"/>
      <c r="C212" s="14"/>
      <c r="D212" s="102"/>
      <c r="E212" s="230"/>
      <c r="F212" s="230"/>
      <c r="G212" s="223"/>
      <c r="H212" s="230"/>
      <c r="I212" s="14"/>
      <c r="J212" s="14"/>
      <c r="K212" s="14"/>
      <c r="L212" s="14"/>
      <c r="M212" s="14"/>
      <c r="N212" s="14"/>
      <c r="O212" s="14"/>
      <c r="P212" s="14"/>
      <c r="Q212" s="14"/>
      <c r="R212" s="14"/>
      <c r="V212" s="197"/>
    </row>
    <row r="213" spans="1:22" ht="18" hidden="1" customHeight="1">
      <c r="A213" s="196"/>
      <c r="B213" s="14"/>
      <c r="C213" s="14"/>
      <c r="D213" s="102"/>
      <c r="E213" s="230"/>
      <c r="F213" s="230"/>
      <c r="G213" s="223"/>
      <c r="H213" s="230"/>
      <c r="I213" s="14"/>
      <c r="J213" s="14"/>
      <c r="K213" s="14"/>
      <c r="L213" s="14"/>
      <c r="M213" s="14"/>
      <c r="N213" s="14"/>
      <c r="O213" s="14"/>
      <c r="P213" s="14"/>
      <c r="Q213" s="14"/>
      <c r="R213" s="14"/>
      <c r="V213" s="197"/>
    </row>
    <row r="214" spans="1:22" ht="18" hidden="1" customHeight="1">
      <c r="A214" s="196"/>
      <c r="B214" s="14"/>
      <c r="C214" s="14"/>
      <c r="D214" s="102"/>
      <c r="E214" s="230"/>
      <c r="F214" s="230"/>
      <c r="G214" s="223"/>
      <c r="H214" s="230"/>
      <c r="I214" s="14"/>
      <c r="J214" s="14"/>
      <c r="K214" s="14"/>
      <c r="L214" s="14"/>
      <c r="M214" s="14"/>
      <c r="N214" s="14"/>
      <c r="O214" s="14"/>
      <c r="P214" s="14"/>
      <c r="Q214" s="14"/>
      <c r="R214" s="14"/>
      <c r="V214" s="197"/>
    </row>
    <row r="215" spans="1:22" ht="18" hidden="1" customHeight="1">
      <c r="A215" s="196"/>
      <c r="G215" s="223"/>
      <c r="H215" s="230"/>
      <c r="J215" s="28"/>
      <c r="K215" s="28"/>
      <c r="L215" s="28"/>
      <c r="M215" s="28"/>
      <c r="N215" s="28"/>
      <c r="O215" s="28"/>
      <c r="P215" s="28"/>
      <c r="Q215" s="28"/>
      <c r="R215" s="28"/>
      <c r="V215" s="197"/>
    </row>
    <row r="216" spans="1:22" ht="18" hidden="1" customHeight="1">
      <c r="A216" s="196"/>
      <c r="V216" s="197"/>
    </row>
    <row r="217" spans="1:22" ht="18" hidden="1" customHeight="1">
      <c r="A217" s="206"/>
      <c r="B217" s="207"/>
      <c r="C217" s="207"/>
      <c r="D217" s="207"/>
      <c r="E217" s="207"/>
      <c r="F217" s="207"/>
      <c r="G217" s="207"/>
      <c r="H217" s="207"/>
      <c r="I217" s="207"/>
      <c r="J217" s="207"/>
      <c r="K217" s="207"/>
      <c r="L217" s="207"/>
      <c r="M217" s="207"/>
      <c r="N217" s="207"/>
      <c r="O217" s="207"/>
      <c r="P217" s="207"/>
      <c r="Q217" s="236"/>
      <c r="R217" s="194"/>
      <c r="S217" s="237"/>
      <c r="T217" s="207"/>
      <c r="U217" s="207"/>
      <c r="V217" s="140" t="s">
        <v>563</v>
      </c>
    </row>
    <row r="218" spans="1:22" ht="18" hidden="1" customHeight="1">
      <c r="A218" s="141"/>
      <c r="B218" s="285"/>
      <c r="C218" s="285"/>
      <c r="D218" s="285"/>
      <c r="E218" s="285"/>
      <c r="F218" s="285"/>
      <c r="G218" s="285"/>
      <c r="H218" s="285"/>
      <c r="I218" s="285"/>
      <c r="J218" s="285"/>
      <c r="K218" s="285"/>
      <c r="L218" s="285"/>
      <c r="M218" s="285"/>
      <c r="N218" s="285"/>
      <c r="O218" s="285"/>
      <c r="P218" s="285"/>
      <c r="Q218" s="286"/>
      <c r="R218" s="145"/>
      <c r="S218" s="287"/>
      <c r="T218" s="285"/>
      <c r="U218" s="285"/>
      <c r="V218" s="288"/>
    </row>
    <row r="219" spans="1:22" ht="18" hidden="1" customHeight="1">
      <c r="A219" s="205" t="s">
        <v>864</v>
      </c>
      <c r="B219" s="209"/>
      <c r="C219" s="209"/>
      <c r="D219" s="209"/>
      <c r="E219" s="14"/>
      <c r="F219" s="14"/>
      <c r="G219" s="14"/>
      <c r="H219" s="14"/>
      <c r="I219" s="14"/>
      <c r="J219" s="14"/>
      <c r="K219" s="14"/>
      <c r="L219" s="14"/>
      <c r="M219" s="14"/>
      <c r="N219" s="14"/>
      <c r="O219" s="14"/>
      <c r="P219" s="27"/>
      <c r="Q219" s="28"/>
      <c r="T219" s="14"/>
      <c r="U219" s="14"/>
      <c r="V219" s="197"/>
    </row>
    <row r="220" spans="1:22" ht="18" hidden="1" customHeight="1">
      <c r="A220" s="205"/>
      <c r="B220" s="209"/>
      <c r="C220" s="209"/>
      <c r="D220" s="209"/>
      <c r="E220" s="14"/>
      <c r="F220" s="14"/>
      <c r="G220" s="14"/>
      <c r="H220" s="14"/>
      <c r="I220" s="14"/>
      <c r="J220" s="14"/>
      <c r="K220" s="14"/>
      <c r="L220" s="14"/>
      <c r="M220" s="14"/>
      <c r="N220" s="14"/>
      <c r="O220" s="14"/>
      <c r="P220" s="27"/>
      <c r="Q220" s="28"/>
      <c r="T220" s="14"/>
      <c r="U220" s="14"/>
      <c r="V220" s="197"/>
    </row>
    <row r="221" spans="1:22" ht="18" hidden="1" customHeight="1">
      <c r="A221" s="96"/>
      <c r="B221" s="209" t="s">
        <v>861</v>
      </c>
      <c r="C221" s="209"/>
      <c r="D221" s="14"/>
      <c r="E221" s="14"/>
      <c r="F221" s="14"/>
      <c r="G221" s="14"/>
      <c r="H221" s="14"/>
      <c r="I221" s="14"/>
      <c r="J221" s="14"/>
      <c r="K221" s="14"/>
      <c r="L221" s="14"/>
      <c r="M221" s="14"/>
      <c r="N221" s="14"/>
      <c r="O221" s="14"/>
      <c r="P221" s="14"/>
      <c r="Q221" s="14"/>
      <c r="R221" s="14"/>
      <c r="S221" s="14"/>
      <c r="T221" s="14"/>
      <c r="U221" s="14"/>
      <c r="V221" s="197"/>
    </row>
    <row r="222" spans="1:22" ht="18" hidden="1" customHeight="1">
      <c r="A222" s="96"/>
      <c r="B222" s="14"/>
      <c r="C222" s="14"/>
      <c r="D222" s="14"/>
      <c r="E222" s="14"/>
      <c r="F222" s="256" t="s">
        <v>486</v>
      </c>
      <c r="G222" s="28" t="e">
        <f>IF(E223&gt;H223, "&gt;","&lt;")</f>
        <v>#DIV/0!</v>
      </c>
      <c r="H222" s="14" t="s">
        <v>488</v>
      </c>
      <c r="I222" s="14"/>
      <c r="J222" s="14"/>
      <c r="K222" s="14"/>
      <c r="L222" s="14" t="s">
        <v>865</v>
      </c>
      <c r="M222" s="14"/>
      <c r="N222" s="14"/>
      <c r="O222" s="14"/>
      <c r="P222" s="14"/>
      <c r="Q222" s="14"/>
      <c r="R222" s="14"/>
      <c r="S222" s="14"/>
      <c r="T222" s="14"/>
      <c r="U222" s="14"/>
      <c r="V222" s="197"/>
    </row>
    <row r="223" spans="1:22" ht="18" hidden="1" customHeight="1">
      <c r="A223" s="96"/>
      <c r="B223" s="14"/>
      <c r="C223" s="14"/>
      <c r="D223" s="14"/>
      <c r="E223" s="959">
        <f>L181</f>
        <v>0</v>
      </c>
      <c r="F223" s="959"/>
      <c r="G223" s="28" t="e">
        <f>G222</f>
        <v>#DIV/0!</v>
      </c>
      <c r="H223" s="641" t="e">
        <f>E205</f>
        <v>#DIV/0!</v>
      </c>
      <c r="I223" s="641"/>
      <c r="J223" s="14"/>
      <c r="K223" s="14"/>
      <c r="L223" s="14"/>
      <c r="M223" s="14"/>
      <c r="N223" s="14"/>
      <c r="O223" s="14"/>
      <c r="P223" s="14"/>
      <c r="Q223" s="14"/>
      <c r="R223" s="14"/>
      <c r="S223" s="14"/>
      <c r="T223" s="14"/>
      <c r="U223" s="14"/>
      <c r="V223" s="197"/>
    </row>
    <row r="224" spans="1:22" ht="18" hidden="1" customHeight="1">
      <c r="A224" s="196"/>
      <c r="D224" s="223"/>
      <c r="E224" s="230"/>
      <c r="F224" s="211" t="s">
        <v>866</v>
      </c>
      <c r="G224" s="223"/>
      <c r="H224" s="293" t="s">
        <v>867</v>
      </c>
      <c r="J224" s="28" t="s">
        <v>868</v>
      </c>
      <c r="K224" s="18" t="e">
        <f>IF(G223="&gt;", "Satisfied", "Not Satisfied")</f>
        <v>#DIV/0!</v>
      </c>
      <c r="P224" s="14"/>
      <c r="Q224" s="14"/>
      <c r="R224" s="14"/>
      <c r="S224" s="14"/>
      <c r="T224" s="14"/>
      <c r="U224" s="14"/>
      <c r="V224" s="197"/>
    </row>
    <row r="225" spans="1:22" ht="18" hidden="1" customHeight="1">
      <c r="A225" s="96"/>
      <c r="B225" s="209" t="s">
        <v>863</v>
      </c>
      <c r="C225" s="209"/>
      <c r="D225" s="14"/>
      <c r="E225" s="14"/>
      <c r="F225" s="14"/>
      <c r="G225" s="14"/>
      <c r="H225" s="14"/>
      <c r="I225" s="14"/>
      <c r="J225" s="14"/>
      <c r="K225" s="14"/>
      <c r="L225" s="14"/>
      <c r="M225" s="14"/>
      <c r="N225" s="14"/>
      <c r="O225" s="14"/>
      <c r="P225" s="120"/>
      <c r="Q225" s="308"/>
      <c r="V225" s="197"/>
    </row>
    <row r="226" spans="1:22" ht="18" hidden="1" customHeight="1">
      <c r="A226" s="96"/>
      <c r="B226" s="14"/>
      <c r="C226" s="14"/>
      <c r="D226" s="14"/>
      <c r="E226" s="14"/>
      <c r="F226" s="256" t="s">
        <v>486</v>
      </c>
      <c r="G226" s="28" t="e">
        <f>IF(E227&gt;H227, "&gt;","&lt;")</f>
        <v>#DIV/0!</v>
      </c>
      <c r="H226" s="14" t="s">
        <v>488</v>
      </c>
      <c r="I226" s="14"/>
      <c r="J226" s="14"/>
      <c r="K226" s="14"/>
      <c r="L226" s="14" t="s">
        <v>869</v>
      </c>
      <c r="M226" s="14"/>
      <c r="N226" s="14"/>
      <c r="O226" s="14"/>
      <c r="P226" s="313"/>
      <c r="Q226" s="474"/>
      <c r="V226" s="197"/>
    </row>
    <row r="227" spans="1:22" ht="18" hidden="1" customHeight="1">
      <c r="A227" s="96"/>
      <c r="B227" s="14"/>
      <c r="C227" s="14"/>
      <c r="D227" s="14"/>
      <c r="E227" s="959">
        <f>L181</f>
        <v>0</v>
      </c>
      <c r="F227" s="959"/>
      <c r="G227" s="28" t="e">
        <f>G226</f>
        <v>#DIV/0!</v>
      </c>
      <c r="H227" s="641" t="e">
        <f>E211</f>
        <v>#DIV/0!</v>
      </c>
      <c r="I227" s="641"/>
      <c r="J227" s="14"/>
      <c r="K227" s="14"/>
      <c r="L227" s="14"/>
      <c r="M227" s="14"/>
      <c r="N227" s="14"/>
      <c r="O227" s="14"/>
      <c r="V227" s="197"/>
    </row>
    <row r="228" spans="1:22" ht="18" hidden="1" customHeight="1">
      <c r="A228" s="196"/>
      <c r="D228" s="223"/>
      <c r="E228" s="14"/>
      <c r="F228" s="211" t="s">
        <v>866</v>
      </c>
      <c r="G228" s="223"/>
      <c r="H228" s="293" t="s">
        <v>863</v>
      </c>
      <c r="J228" s="28" t="s">
        <v>868</v>
      </c>
      <c r="K228" s="18" t="e">
        <f>IF(G227="&gt;", "Satisfied", "Not Satisfied")</f>
        <v>#DIV/0!</v>
      </c>
      <c r="P228" s="244"/>
      <c r="Q228" s="244"/>
      <c r="R228" s="244"/>
      <c r="S228" s="244"/>
      <c r="T228" s="244"/>
      <c r="U228" s="244"/>
      <c r="V228" s="245"/>
    </row>
    <row r="229" spans="1:22" ht="18" hidden="1" customHeight="1">
      <c r="A229" s="196"/>
      <c r="H229" s="28"/>
      <c r="I229" s="28"/>
      <c r="J229" s="28"/>
      <c r="K229" s="28"/>
      <c r="L229" s="28"/>
      <c r="M229" s="28"/>
      <c r="N229" s="28"/>
      <c r="O229" s="28"/>
      <c r="P229" s="244"/>
      <c r="Q229" s="244"/>
      <c r="R229" s="244"/>
      <c r="S229" s="244"/>
      <c r="T229" s="244"/>
      <c r="U229" s="244"/>
      <c r="V229" s="245"/>
    </row>
    <row r="230" spans="1:22" ht="18" hidden="1" customHeight="1">
      <c r="A230" s="96"/>
      <c r="B230" s="14"/>
      <c r="C230" s="14"/>
      <c r="D230" s="14"/>
      <c r="E230" s="14"/>
      <c r="F230" s="256" t="s">
        <v>489</v>
      </c>
      <c r="G230" s="14"/>
      <c r="H230" s="18" t="e">
        <f>IF(AND(E223&gt;H223,E227&gt;H227),"Suitably Dimentioned","Under Dimentioned")</f>
        <v>#DIV/0!</v>
      </c>
      <c r="I230" s="18"/>
      <c r="J230" s="18"/>
      <c r="K230" s="18"/>
      <c r="L230" s="18"/>
      <c r="M230" s="18"/>
      <c r="N230" s="14"/>
      <c r="O230" s="14"/>
      <c r="V230" s="197"/>
    </row>
    <row r="231" spans="1:22" ht="18" hidden="1" customHeight="1">
      <c r="A231" s="196"/>
      <c r="B231" s="27"/>
      <c r="C231" s="27"/>
      <c r="D231" s="27"/>
      <c r="E231" s="28"/>
      <c r="F231" s="27"/>
      <c r="G231" s="28"/>
      <c r="H231" s="27"/>
      <c r="I231" s="28"/>
      <c r="J231" s="27"/>
      <c r="K231" s="27"/>
      <c r="L231" s="27"/>
      <c r="M231" s="27"/>
      <c r="V231" s="197"/>
    </row>
    <row r="232" spans="1:22" ht="18" hidden="1" customHeight="1">
      <c r="A232" s="196"/>
      <c r="C232" s="27"/>
      <c r="D232" s="257"/>
      <c r="E232" s="233"/>
      <c r="F232" s="257"/>
      <c r="G232" s="234"/>
      <c r="H232" s="257"/>
      <c r="I232" s="257"/>
      <c r="J232" s="257"/>
      <c r="K232" s="257"/>
      <c r="L232" s="257"/>
      <c r="M232" s="27"/>
      <c r="V232" s="197"/>
    </row>
    <row r="233" spans="1:22" ht="18" hidden="1" customHeight="1">
      <c r="A233" s="196"/>
      <c r="C233" s="27"/>
      <c r="D233" s="216"/>
      <c r="E233" s="216"/>
      <c r="G233" s="18"/>
      <c r="V233" s="197"/>
    </row>
    <row r="234" spans="1:22" ht="18" hidden="1" customHeight="1">
      <c r="A234" s="96"/>
      <c r="B234" s="14"/>
      <c r="C234" s="14"/>
      <c r="D234" s="14"/>
      <c r="E234" s="14"/>
      <c r="F234" s="14"/>
      <c r="G234" s="14"/>
      <c r="H234" s="14"/>
      <c r="I234" s="14"/>
      <c r="J234" s="14"/>
      <c r="K234" s="14"/>
      <c r="L234" s="14"/>
      <c r="M234" s="14"/>
      <c r="N234" s="14"/>
      <c r="O234" s="14"/>
      <c r="P234" s="14"/>
      <c r="Q234" s="120"/>
      <c r="R234" s="28"/>
      <c r="S234" s="558"/>
      <c r="T234" s="14"/>
      <c r="U234" s="14"/>
      <c r="V234" s="394"/>
    </row>
    <row r="235" spans="1:22" ht="18" hidden="1" customHeight="1">
      <c r="A235" s="96"/>
      <c r="B235" s="14"/>
      <c r="C235" s="14"/>
      <c r="D235" s="14"/>
      <c r="E235" s="14"/>
      <c r="F235" s="14"/>
      <c r="G235" s="14"/>
      <c r="H235" s="14"/>
      <c r="I235" s="14"/>
      <c r="J235" s="14"/>
      <c r="K235" s="14"/>
      <c r="L235" s="14"/>
      <c r="M235" s="14"/>
      <c r="N235" s="14"/>
      <c r="O235" s="14"/>
      <c r="P235" s="14"/>
      <c r="Q235" s="120"/>
      <c r="R235" s="28"/>
      <c r="S235" s="558"/>
      <c r="T235" s="14"/>
      <c r="U235" s="14"/>
      <c r="V235" s="394"/>
    </row>
    <row r="236" spans="1:22" ht="18" hidden="1" customHeight="1">
      <c r="A236" s="96"/>
      <c r="B236" s="14"/>
      <c r="C236" s="14"/>
      <c r="D236" s="14"/>
      <c r="E236" s="14"/>
      <c r="F236" s="14"/>
      <c r="G236" s="14"/>
      <c r="H236" s="14"/>
      <c r="I236" s="14"/>
      <c r="J236" s="14"/>
      <c r="K236" s="14"/>
      <c r="L236" s="14"/>
      <c r="M236" s="14"/>
      <c r="N236" s="14"/>
      <c r="O236" s="14"/>
      <c r="P236" s="14"/>
      <c r="Q236" s="120"/>
      <c r="R236" s="28"/>
      <c r="S236" s="558"/>
      <c r="T236" s="14"/>
      <c r="U236" s="14"/>
      <c r="V236" s="394"/>
    </row>
    <row r="237" spans="1:22" ht="18" hidden="1" customHeight="1">
      <c r="A237" s="96"/>
      <c r="B237" s="14"/>
      <c r="C237" s="14"/>
      <c r="D237" s="14"/>
      <c r="E237" s="14"/>
      <c r="F237" s="14"/>
      <c r="G237" s="14"/>
      <c r="H237" s="14"/>
      <c r="I237" s="14"/>
      <c r="J237" s="14"/>
      <c r="K237" s="14"/>
      <c r="L237" s="14"/>
      <c r="M237" s="14"/>
      <c r="N237" s="14"/>
      <c r="O237" s="14"/>
      <c r="P237" s="14"/>
      <c r="Q237" s="120"/>
      <c r="R237" s="28"/>
      <c r="S237" s="558"/>
      <c r="T237" s="14"/>
      <c r="U237" s="14"/>
      <c r="V237" s="394"/>
    </row>
    <row r="238" spans="1:22" ht="18" hidden="1" customHeight="1">
      <c r="A238" s="96"/>
      <c r="B238" s="14"/>
      <c r="C238" s="14"/>
      <c r="D238" s="14"/>
      <c r="E238" s="14"/>
      <c r="F238" s="14"/>
      <c r="G238" s="14"/>
      <c r="H238" s="14"/>
      <c r="I238" s="14"/>
      <c r="J238" s="14"/>
      <c r="K238" s="14"/>
      <c r="L238" s="14"/>
      <c r="M238" s="14"/>
      <c r="N238" s="14"/>
      <c r="O238" s="14"/>
      <c r="P238" s="14"/>
      <c r="Q238" s="120"/>
      <c r="R238" s="28"/>
      <c r="S238" s="558"/>
      <c r="T238" s="14"/>
      <c r="U238" s="14"/>
      <c r="V238" s="394"/>
    </row>
    <row r="239" spans="1:22" ht="18" hidden="1" customHeight="1">
      <c r="A239" s="96"/>
      <c r="B239" s="14"/>
      <c r="C239" s="14"/>
      <c r="D239" s="14"/>
      <c r="E239" s="14"/>
      <c r="F239" s="14"/>
      <c r="G239" s="14"/>
      <c r="H239" s="14"/>
      <c r="I239" s="14"/>
      <c r="J239" s="14"/>
      <c r="K239" s="14"/>
      <c r="L239" s="14"/>
      <c r="M239" s="14"/>
      <c r="N239" s="14"/>
      <c r="O239" s="14"/>
      <c r="P239" s="14"/>
      <c r="Q239" s="120"/>
      <c r="R239" s="28"/>
      <c r="S239" s="558"/>
      <c r="T239" s="14"/>
      <c r="U239" s="14"/>
      <c r="V239" s="394"/>
    </row>
    <row r="240" spans="1:22" ht="18" hidden="1" customHeight="1">
      <c r="A240" s="96"/>
      <c r="B240" s="14"/>
      <c r="C240" s="14"/>
      <c r="D240" s="14"/>
      <c r="E240" s="14"/>
      <c r="F240" s="14"/>
      <c r="G240" s="14"/>
      <c r="H240" s="14"/>
      <c r="I240" s="14"/>
      <c r="J240" s="14"/>
      <c r="K240" s="14"/>
      <c r="L240" s="14"/>
      <c r="M240" s="14"/>
      <c r="N240" s="14"/>
      <c r="O240" s="14"/>
      <c r="P240" s="14"/>
      <c r="Q240" s="120"/>
      <c r="R240" s="28"/>
      <c r="S240" s="558"/>
      <c r="T240" s="14"/>
      <c r="U240" s="14"/>
      <c r="V240" s="394"/>
    </row>
    <row r="241" spans="1:22" ht="18" hidden="1" customHeight="1">
      <c r="A241" s="96"/>
      <c r="B241" s="14"/>
      <c r="C241" s="14"/>
      <c r="D241" s="14"/>
      <c r="E241" s="14"/>
      <c r="F241" s="14"/>
      <c r="G241" s="14"/>
      <c r="H241" s="14"/>
      <c r="I241" s="14"/>
      <c r="J241" s="14"/>
      <c r="K241" s="14"/>
      <c r="L241" s="14"/>
      <c r="M241" s="14"/>
      <c r="N241" s="14"/>
      <c r="O241" s="14"/>
      <c r="P241" s="14"/>
      <c r="Q241" s="120"/>
      <c r="R241" s="28"/>
      <c r="S241" s="558"/>
      <c r="T241" s="14"/>
      <c r="U241" s="14"/>
      <c r="V241" s="394"/>
    </row>
    <row r="242" spans="1:22" ht="18" hidden="1" customHeight="1">
      <c r="A242" s="96"/>
      <c r="B242" s="14"/>
      <c r="C242" s="14"/>
      <c r="D242" s="14"/>
      <c r="E242" s="14"/>
      <c r="F242" s="14"/>
      <c r="G242" s="14"/>
      <c r="H242" s="14"/>
      <c r="I242" s="14"/>
      <c r="J242" s="14"/>
      <c r="K242" s="14"/>
      <c r="L242" s="14"/>
      <c r="M242" s="14"/>
      <c r="N242" s="14"/>
      <c r="O242" s="14"/>
      <c r="P242" s="14"/>
      <c r="Q242" s="120"/>
      <c r="R242" s="28"/>
      <c r="S242" s="558"/>
      <c r="T242" s="14"/>
      <c r="U242" s="14"/>
      <c r="V242" s="394"/>
    </row>
    <row r="243" spans="1:22" ht="18" hidden="1" customHeight="1">
      <c r="A243" s="96"/>
      <c r="B243" s="14"/>
      <c r="C243" s="14"/>
      <c r="D243" s="14"/>
      <c r="E243" s="14"/>
      <c r="F243" s="14"/>
      <c r="G243" s="14"/>
      <c r="H243" s="14"/>
      <c r="I243" s="14"/>
      <c r="J243" s="14"/>
      <c r="K243" s="14"/>
      <c r="L243" s="14"/>
      <c r="M243" s="14"/>
      <c r="N243" s="14"/>
      <c r="O243" s="14"/>
      <c r="P243" s="14"/>
      <c r="Q243" s="120"/>
      <c r="R243" s="28"/>
      <c r="S243" s="558"/>
      <c r="T243" s="14"/>
      <c r="U243" s="14"/>
      <c r="V243" s="394"/>
    </row>
    <row r="244" spans="1:22" ht="18" hidden="1" customHeight="1">
      <c r="A244" s="96"/>
      <c r="B244" s="14"/>
      <c r="C244" s="14"/>
      <c r="D244" s="14"/>
      <c r="E244" s="14"/>
      <c r="F244" s="14"/>
      <c r="G244" s="14"/>
      <c r="H244" s="14"/>
      <c r="I244" s="14"/>
      <c r="J244" s="14"/>
      <c r="K244" s="14"/>
      <c r="L244" s="14"/>
      <c r="M244" s="14"/>
      <c r="N244" s="14"/>
      <c r="O244" s="14"/>
      <c r="P244" s="14"/>
      <c r="Q244" s="120"/>
      <c r="R244" s="28"/>
      <c r="S244" s="558"/>
      <c r="T244" s="14"/>
      <c r="U244" s="14"/>
      <c r="V244" s="394"/>
    </row>
    <row r="245" spans="1:22" ht="18" hidden="1" customHeight="1">
      <c r="A245" s="96"/>
      <c r="B245" s="14"/>
      <c r="C245" s="14"/>
      <c r="D245" s="14"/>
      <c r="E245" s="14"/>
      <c r="F245" s="14"/>
      <c r="G245" s="14"/>
      <c r="H245" s="14"/>
      <c r="I245" s="14"/>
      <c r="J245" s="14"/>
      <c r="K245" s="14"/>
      <c r="L245" s="14"/>
      <c r="M245" s="14"/>
      <c r="N245" s="14"/>
      <c r="O245" s="14"/>
      <c r="P245" s="14"/>
      <c r="Q245" s="120"/>
      <c r="R245" s="28"/>
      <c r="S245" s="558"/>
      <c r="T245" s="14"/>
      <c r="U245" s="14"/>
      <c r="V245" s="394"/>
    </row>
    <row r="246" spans="1:22" ht="18" hidden="1" customHeight="1">
      <c r="A246" s="96"/>
      <c r="B246" s="14"/>
      <c r="C246" s="14"/>
      <c r="D246" s="14"/>
      <c r="E246" s="14"/>
      <c r="F246" s="14"/>
      <c r="G246" s="14"/>
      <c r="H246" s="14"/>
      <c r="I246" s="14"/>
      <c r="J246" s="14"/>
      <c r="K246" s="14"/>
      <c r="L246" s="14"/>
      <c r="M246" s="14"/>
      <c r="N246" s="14"/>
      <c r="O246" s="14"/>
      <c r="P246" s="14"/>
      <c r="Q246" s="120"/>
      <c r="R246" s="28"/>
      <c r="S246" s="558"/>
      <c r="T246" s="14"/>
      <c r="U246" s="14"/>
      <c r="V246" s="394"/>
    </row>
    <row r="247" spans="1:22" ht="18" hidden="1" customHeight="1">
      <c r="A247" s="96"/>
      <c r="B247" s="14"/>
      <c r="C247" s="14"/>
      <c r="D247" s="14"/>
      <c r="E247" s="14"/>
      <c r="F247" s="14"/>
      <c r="G247" s="14"/>
      <c r="H247" s="14"/>
      <c r="I247" s="14"/>
      <c r="J247" s="14"/>
      <c r="K247" s="14"/>
      <c r="L247" s="14"/>
      <c r="M247" s="14"/>
      <c r="N247" s="14"/>
      <c r="O247" s="14"/>
      <c r="P247" s="14"/>
      <c r="Q247" s="120"/>
      <c r="R247" s="28"/>
      <c r="S247" s="558"/>
      <c r="T247" s="14"/>
      <c r="U247" s="14"/>
      <c r="V247" s="394"/>
    </row>
    <row r="248" spans="1:22" ht="18" hidden="1" customHeight="1">
      <c r="A248" s="96"/>
      <c r="B248" s="14"/>
      <c r="C248" s="14"/>
      <c r="D248" s="14"/>
      <c r="E248" s="14"/>
      <c r="F248" s="14"/>
      <c r="G248" s="14"/>
      <c r="H248" s="14"/>
      <c r="I248" s="14"/>
      <c r="J248" s="14"/>
      <c r="K248" s="14"/>
      <c r="L248" s="14"/>
      <c r="M248" s="14"/>
      <c r="N248" s="14"/>
      <c r="O248" s="14"/>
      <c r="P248" s="14"/>
      <c r="Q248" s="120"/>
      <c r="R248" s="28"/>
      <c r="S248" s="558"/>
      <c r="T248" s="14"/>
      <c r="U248" s="14"/>
      <c r="V248" s="394"/>
    </row>
    <row r="249" spans="1:22" ht="18" hidden="1" customHeight="1">
      <c r="A249" s="96"/>
      <c r="B249" s="14"/>
      <c r="C249" s="14"/>
      <c r="D249" s="14"/>
      <c r="E249" s="14"/>
      <c r="F249" s="14"/>
      <c r="G249" s="14"/>
      <c r="H249" s="14"/>
      <c r="I249" s="14"/>
      <c r="J249" s="14"/>
      <c r="K249" s="14"/>
      <c r="L249" s="14"/>
      <c r="M249" s="14"/>
      <c r="N249" s="14"/>
      <c r="O249" s="14"/>
      <c r="P249" s="14"/>
      <c r="Q249" s="120"/>
      <c r="R249" s="28"/>
      <c r="S249" s="558"/>
      <c r="T249" s="14"/>
      <c r="U249" s="14"/>
      <c r="V249" s="394"/>
    </row>
    <row r="250" spans="1:22" ht="18" hidden="1" customHeight="1">
      <c r="A250" s="96"/>
      <c r="B250" s="14"/>
      <c r="C250" s="14"/>
      <c r="D250" s="14"/>
      <c r="E250" s="14"/>
      <c r="F250" s="14"/>
      <c r="G250" s="14"/>
      <c r="H250" s="14"/>
      <c r="I250" s="14"/>
      <c r="J250" s="14"/>
      <c r="K250" s="14"/>
      <c r="L250" s="14"/>
      <c r="M250" s="14"/>
      <c r="N250" s="14"/>
      <c r="O250" s="14"/>
      <c r="P250" s="14"/>
      <c r="Q250" s="120"/>
      <c r="R250" s="28"/>
      <c r="S250" s="558"/>
      <c r="T250" s="14"/>
      <c r="U250" s="14"/>
      <c r="V250" s="394"/>
    </row>
    <row r="251" spans="1:22" ht="18" hidden="1" customHeight="1">
      <c r="A251" s="96"/>
      <c r="B251" s="14"/>
      <c r="C251" s="14"/>
      <c r="D251" s="14"/>
      <c r="E251" s="14"/>
      <c r="F251" s="14"/>
      <c r="G251" s="14"/>
      <c r="H251" s="14"/>
      <c r="I251" s="14"/>
      <c r="J251" s="14"/>
      <c r="K251" s="14"/>
      <c r="L251" s="14"/>
      <c r="M251" s="14"/>
      <c r="N251" s="14"/>
      <c r="O251" s="14"/>
      <c r="P251" s="14"/>
      <c r="Q251" s="120"/>
      <c r="R251" s="28"/>
      <c r="S251" s="558"/>
      <c r="T251" s="14"/>
      <c r="U251" s="14"/>
      <c r="V251" s="394"/>
    </row>
    <row r="252" spans="1:22" ht="18" hidden="1" customHeight="1">
      <c r="A252" s="96"/>
      <c r="B252" s="14"/>
      <c r="C252" s="14"/>
      <c r="D252" s="14"/>
      <c r="E252" s="14"/>
      <c r="F252" s="14"/>
      <c r="G252" s="14"/>
      <c r="H252" s="14"/>
      <c r="I252" s="14"/>
      <c r="J252" s="14"/>
      <c r="K252" s="14"/>
      <c r="L252" s="14"/>
      <c r="M252" s="14"/>
      <c r="N252" s="14"/>
      <c r="O252" s="14"/>
      <c r="P252" s="14"/>
      <c r="Q252" s="120"/>
      <c r="R252" s="28"/>
      <c r="S252" s="558"/>
      <c r="T252" s="14"/>
      <c r="U252" s="14"/>
      <c r="V252" s="394"/>
    </row>
    <row r="253" spans="1:22" ht="18" hidden="1" customHeight="1">
      <c r="A253" s="96"/>
      <c r="B253" s="14"/>
      <c r="C253" s="14"/>
      <c r="D253" s="14"/>
      <c r="E253" s="14"/>
      <c r="F253" s="14"/>
      <c r="G253" s="14"/>
      <c r="H253" s="14"/>
      <c r="I253" s="14"/>
      <c r="J253" s="14"/>
      <c r="K253" s="14"/>
      <c r="L253" s="14"/>
      <c r="M253" s="14"/>
      <c r="N253" s="14"/>
      <c r="O253" s="14"/>
      <c r="P253" s="14"/>
      <c r="Q253" s="120"/>
      <c r="R253" s="28"/>
      <c r="S253" s="558"/>
      <c r="T253" s="14"/>
      <c r="U253" s="14"/>
      <c r="V253" s="394"/>
    </row>
    <row r="254" spans="1:22" ht="18" hidden="1" customHeight="1">
      <c r="A254" s="96"/>
      <c r="B254" s="14"/>
      <c r="C254" s="14"/>
      <c r="D254" s="14"/>
      <c r="E254" s="14"/>
      <c r="F254" s="14"/>
      <c r="G254" s="14"/>
      <c r="H254" s="14"/>
      <c r="I254" s="14"/>
      <c r="J254" s="14"/>
      <c r="K254" s="14"/>
      <c r="L254" s="14"/>
      <c r="M254" s="14"/>
      <c r="N254" s="14"/>
      <c r="O254" s="14"/>
      <c r="P254" s="14"/>
      <c r="Q254" s="120"/>
      <c r="R254" s="28"/>
      <c r="S254" s="558"/>
      <c r="T254" s="14"/>
      <c r="U254" s="14"/>
      <c r="V254" s="394"/>
    </row>
    <row r="255" spans="1:22" ht="18" hidden="1" customHeight="1">
      <c r="A255" s="96"/>
      <c r="B255" s="14"/>
      <c r="C255" s="14"/>
      <c r="D255" s="14"/>
      <c r="E255" s="14"/>
      <c r="F255" s="14"/>
      <c r="G255" s="14"/>
      <c r="H255" s="14"/>
      <c r="I255" s="14"/>
      <c r="J255" s="14"/>
      <c r="K255" s="14"/>
      <c r="L255" s="14"/>
      <c r="M255" s="14"/>
      <c r="N255" s="14"/>
      <c r="O255" s="14"/>
      <c r="P255" s="14"/>
      <c r="Q255" s="120"/>
      <c r="R255" s="28"/>
      <c r="S255" s="558"/>
      <c r="T255" s="14"/>
      <c r="U255" s="14"/>
      <c r="V255" s="394"/>
    </row>
    <row r="256" spans="1:22" ht="18" hidden="1" customHeight="1">
      <c r="A256" s="96"/>
      <c r="B256" s="14"/>
      <c r="C256" s="14"/>
      <c r="D256" s="14"/>
      <c r="E256" s="14"/>
      <c r="F256" s="14"/>
      <c r="G256" s="14"/>
      <c r="H256" s="14"/>
      <c r="I256" s="14"/>
      <c r="J256" s="14"/>
      <c r="K256" s="14"/>
      <c r="L256" s="14"/>
      <c r="M256" s="14"/>
      <c r="N256" s="14"/>
      <c r="O256" s="14"/>
      <c r="P256" s="14"/>
      <c r="Q256" s="120"/>
      <c r="R256" s="28"/>
      <c r="S256" s="558"/>
      <c r="T256" s="14"/>
      <c r="U256" s="14"/>
      <c r="V256" s="394"/>
    </row>
    <row r="257" spans="1:22" ht="18" hidden="1" customHeight="1">
      <c r="A257" s="96"/>
      <c r="B257" s="14"/>
      <c r="C257" s="14"/>
      <c r="D257" s="14"/>
      <c r="E257" s="14"/>
      <c r="F257" s="14"/>
      <c r="G257" s="14"/>
      <c r="H257" s="14"/>
      <c r="I257" s="14"/>
      <c r="J257" s="14"/>
      <c r="K257" s="14"/>
      <c r="L257" s="14"/>
      <c r="M257" s="14"/>
      <c r="N257" s="14"/>
      <c r="O257" s="14"/>
      <c r="P257" s="14"/>
      <c r="Q257" s="120"/>
      <c r="R257" s="28"/>
      <c r="S257" s="558"/>
      <c r="T257" s="14"/>
      <c r="U257" s="14"/>
      <c r="V257" s="394"/>
    </row>
    <row r="258" spans="1:22" ht="18" hidden="1" customHeight="1">
      <c r="A258" s="96"/>
      <c r="B258" s="14"/>
      <c r="C258" s="14"/>
      <c r="D258" s="14"/>
      <c r="E258" s="14"/>
      <c r="F258" s="14"/>
      <c r="G258" s="14"/>
      <c r="H258" s="14"/>
      <c r="I258" s="14"/>
      <c r="J258" s="14"/>
      <c r="K258" s="14"/>
      <c r="L258" s="14"/>
      <c r="M258" s="14"/>
      <c r="N258" s="14"/>
      <c r="O258" s="14"/>
      <c r="P258" s="14"/>
      <c r="Q258" s="120"/>
      <c r="R258" s="28"/>
      <c r="S258" s="558"/>
      <c r="T258" s="14"/>
      <c r="U258" s="14"/>
      <c r="V258" s="394"/>
    </row>
    <row r="259" spans="1:22" ht="18" hidden="1" customHeight="1">
      <c r="A259" s="96"/>
      <c r="B259" s="14"/>
      <c r="C259" s="14"/>
      <c r="D259" s="14"/>
      <c r="E259" s="14"/>
      <c r="F259" s="14"/>
      <c r="G259" s="14"/>
      <c r="H259" s="14"/>
      <c r="I259" s="14"/>
      <c r="J259" s="14"/>
      <c r="K259" s="14"/>
      <c r="L259" s="14"/>
      <c r="M259" s="14"/>
      <c r="N259" s="14"/>
      <c r="O259" s="14"/>
      <c r="P259" s="14"/>
      <c r="Q259" s="120"/>
      <c r="R259" s="28"/>
      <c r="S259" s="558"/>
      <c r="T259" s="14"/>
      <c r="U259" s="14"/>
      <c r="V259" s="394"/>
    </row>
    <row r="260" spans="1:22" ht="18" hidden="1" customHeight="1">
      <c r="A260" s="96"/>
      <c r="B260" s="14"/>
      <c r="C260" s="14"/>
      <c r="D260" s="14"/>
      <c r="E260" s="14"/>
      <c r="F260" s="14"/>
      <c r="G260" s="14"/>
      <c r="H260" s="14"/>
      <c r="I260" s="14"/>
      <c r="J260" s="14"/>
      <c r="K260" s="14"/>
      <c r="L260" s="14"/>
      <c r="M260" s="14"/>
      <c r="N260" s="14"/>
      <c r="O260" s="14"/>
      <c r="P260" s="14"/>
      <c r="Q260" s="120"/>
      <c r="R260" s="28"/>
      <c r="S260" s="558"/>
      <c r="T260" s="14"/>
      <c r="U260" s="14"/>
      <c r="V260" s="394"/>
    </row>
    <row r="261" spans="1:22" ht="18" hidden="1" customHeight="1">
      <c r="A261" s="206"/>
      <c r="B261" s="207"/>
      <c r="C261" s="207"/>
      <c r="D261" s="207"/>
      <c r="E261" s="207"/>
      <c r="F261" s="207"/>
      <c r="G261" s="207"/>
      <c r="H261" s="207"/>
      <c r="I261" s="207"/>
      <c r="J261" s="207"/>
      <c r="K261" s="207"/>
      <c r="L261" s="207"/>
      <c r="M261" s="207"/>
      <c r="N261" s="207"/>
      <c r="O261" s="207"/>
      <c r="P261" s="207"/>
      <c r="Q261" s="236"/>
      <c r="R261" s="194"/>
      <c r="S261" s="237"/>
      <c r="T261" s="207"/>
      <c r="U261" s="207"/>
      <c r="V261" s="140" t="s">
        <v>563</v>
      </c>
    </row>
    <row r="262" spans="1:22" ht="18" customHeight="1">
      <c r="A262" s="238"/>
      <c r="B262" s="239"/>
      <c r="C262" s="239"/>
      <c r="D262" s="239"/>
      <c r="E262" s="239"/>
      <c r="F262" s="239"/>
      <c r="G262" s="239"/>
      <c r="H262" s="239"/>
      <c r="I262" s="239"/>
      <c r="J262" s="239"/>
      <c r="K262" s="239"/>
      <c r="L262" s="239"/>
      <c r="M262" s="239"/>
      <c r="N262" s="239"/>
      <c r="O262" s="239"/>
      <c r="P262" s="239"/>
      <c r="Q262" s="239"/>
      <c r="R262" s="239"/>
      <c r="S262" s="239"/>
      <c r="T262" s="239"/>
      <c r="U262" s="239"/>
      <c r="V262" s="240"/>
    </row>
    <row r="263" spans="1:22" ht="18" customHeight="1">
      <c r="A263" s="274" t="s">
        <v>512</v>
      </c>
      <c r="B263" s="14"/>
      <c r="C263" s="14"/>
      <c r="D263" s="120"/>
      <c r="E263" s="120"/>
      <c r="F263" s="18"/>
      <c r="G263" s="18"/>
      <c r="H263" s="14"/>
      <c r="I263" s="14"/>
      <c r="J263" s="14"/>
      <c r="V263" s="197"/>
    </row>
    <row r="264" spans="1:22" ht="18" customHeight="1">
      <c r="A264" s="614" t="s">
        <v>97</v>
      </c>
      <c r="B264" s="620"/>
      <c r="C264" s="615"/>
      <c r="D264" s="614" t="s">
        <v>98</v>
      </c>
      <c r="E264" s="620"/>
      <c r="F264" s="615"/>
      <c r="G264" s="614" t="s">
        <v>99</v>
      </c>
      <c r="H264" s="615"/>
      <c r="I264" s="614" t="s">
        <v>100</v>
      </c>
      <c r="J264" s="615"/>
      <c r="K264" s="614" t="s">
        <v>513</v>
      </c>
      <c r="L264" s="615"/>
      <c r="M264" s="614" t="s">
        <v>514</v>
      </c>
      <c r="N264" s="615"/>
      <c r="O264" s="614" t="s">
        <v>515</v>
      </c>
      <c r="P264" s="615"/>
      <c r="Q264" s="614" t="s">
        <v>516</v>
      </c>
      <c r="R264" s="615"/>
      <c r="S264" s="614" t="s">
        <v>105</v>
      </c>
      <c r="T264" s="620"/>
      <c r="U264" s="620"/>
      <c r="V264" s="615"/>
    </row>
    <row r="265" spans="1:22" ht="18" customHeight="1">
      <c r="A265" s="616"/>
      <c r="B265" s="621"/>
      <c r="C265" s="617"/>
      <c r="D265" s="616"/>
      <c r="E265" s="621"/>
      <c r="F265" s="617"/>
      <c r="G265" s="616"/>
      <c r="H265" s="617"/>
      <c r="I265" s="616"/>
      <c r="J265" s="617"/>
      <c r="K265" s="616"/>
      <c r="L265" s="617"/>
      <c r="M265" s="616"/>
      <c r="N265" s="617"/>
      <c r="O265" s="616"/>
      <c r="P265" s="617"/>
      <c r="Q265" s="616"/>
      <c r="R265" s="617"/>
      <c r="S265" s="616"/>
      <c r="T265" s="621"/>
      <c r="U265" s="621"/>
      <c r="V265" s="617"/>
    </row>
    <row r="266" spans="1:22" ht="18" customHeight="1">
      <c r="A266" s="616"/>
      <c r="B266" s="621"/>
      <c r="C266" s="617"/>
      <c r="D266" s="616"/>
      <c r="E266" s="621"/>
      <c r="F266" s="617"/>
      <c r="G266" s="616"/>
      <c r="H266" s="617"/>
      <c r="I266" s="616"/>
      <c r="J266" s="617"/>
      <c r="K266" s="616"/>
      <c r="L266" s="617"/>
      <c r="M266" s="616"/>
      <c r="N266" s="617"/>
      <c r="O266" s="616"/>
      <c r="P266" s="617"/>
      <c r="Q266" s="616"/>
      <c r="R266" s="617"/>
      <c r="S266" s="616"/>
      <c r="T266" s="621"/>
      <c r="U266" s="621"/>
      <c r="V266" s="617"/>
    </row>
    <row r="267" spans="1:22" ht="18" customHeight="1">
      <c r="A267" s="618"/>
      <c r="B267" s="622"/>
      <c r="C267" s="619"/>
      <c r="D267" s="618"/>
      <c r="E267" s="622"/>
      <c r="F267" s="619"/>
      <c r="G267" s="618"/>
      <c r="H267" s="619"/>
      <c r="I267" s="618"/>
      <c r="J267" s="619"/>
      <c r="K267" s="618"/>
      <c r="L267" s="619"/>
      <c r="M267" s="618"/>
      <c r="N267" s="619"/>
      <c r="O267" s="618"/>
      <c r="P267" s="619"/>
      <c r="Q267" s="618"/>
      <c r="R267" s="619"/>
      <c r="S267" s="618"/>
      <c r="T267" s="622"/>
      <c r="U267" s="622"/>
      <c r="V267" s="619"/>
    </row>
    <row r="268" spans="1:22" ht="18" customHeight="1">
      <c r="A268" s="804" t="str">
        <f>B7</f>
        <v>T1</v>
      </c>
      <c r="B268" s="840" t="str">
        <f>D7</f>
        <v>Core5</v>
      </c>
      <c r="C268" s="664"/>
      <c r="D268" s="820">
        <f>H10</f>
        <v>2500</v>
      </c>
      <c r="E268" s="822"/>
      <c r="F268" s="624">
        <f>O10</f>
        <v>1</v>
      </c>
      <c r="G268" s="624">
        <f>'CT-VT Burdens'!S19</f>
        <v>80</v>
      </c>
      <c r="H268" s="631">
        <f>'CT-VT Burdens'!S10</f>
        <v>2.5</v>
      </c>
      <c r="I268" s="813" t="str">
        <f>H11</f>
        <v>PX-B</v>
      </c>
      <c r="J268" s="814"/>
      <c r="K268" s="836">
        <f>H12</f>
        <v>5</v>
      </c>
      <c r="L268" s="837"/>
      <c r="M268" s="836">
        <f>H13</f>
        <v>750</v>
      </c>
      <c r="N268" s="837"/>
      <c r="O268" s="820">
        <f>H14</f>
        <v>60</v>
      </c>
      <c r="P268" s="822"/>
      <c r="Q268" s="829" t="str">
        <f>T7</f>
        <v>P743</v>
      </c>
      <c r="R268" s="830"/>
      <c r="S268" s="1059" t="str">
        <f>H58</f>
        <v>Suitably Dimentioned</v>
      </c>
      <c r="T268" s="1060"/>
      <c r="U268" s="1060"/>
      <c r="V268" s="1061"/>
    </row>
    <row r="269" spans="1:22" ht="18" customHeight="1">
      <c r="A269" s="838"/>
      <c r="B269" s="841"/>
      <c r="C269" s="842"/>
      <c r="D269" s="787" t="s">
        <v>7</v>
      </c>
      <c r="E269" s="788"/>
      <c r="F269" s="625"/>
      <c r="G269" s="625"/>
      <c r="H269" s="632"/>
      <c r="I269" s="815"/>
      <c r="J269" s="816"/>
      <c r="K269" s="789" t="s">
        <v>7</v>
      </c>
      <c r="L269" s="790"/>
      <c r="M269" s="789" t="s">
        <v>7</v>
      </c>
      <c r="N269" s="790"/>
      <c r="O269" s="787" t="s">
        <v>7</v>
      </c>
      <c r="P269" s="788"/>
      <c r="Q269" s="831"/>
      <c r="R269" s="832"/>
      <c r="S269" s="1062" t="s">
        <v>7</v>
      </c>
      <c r="T269" s="1063"/>
      <c r="U269" s="1063"/>
      <c r="V269" s="1064"/>
    </row>
    <row r="270" spans="1:22" ht="18" customHeight="1">
      <c r="A270" s="839"/>
      <c r="B270" s="665"/>
      <c r="C270" s="666"/>
      <c r="D270" s="787" t="s">
        <v>7</v>
      </c>
      <c r="E270" s="788"/>
      <c r="F270" s="626"/>
      <c r="G270" s="626"/>
      <c r="H270" s="633"/>
      <c r="I270" s="817"/>
      <c r="J270" s="818"/>
      <c r="K270" s="789" t="s">
        <v>7</v>
      </c>
      <c r="L270" s="790"/>
      <c r="M270" s="789" t="s">
        <v>7</v>
      </c>
      <c r="N270" s="790"/>
      <c r="O270" s="787" t="s">
        <v>7</v>
      </c>
      <c r="P270" s="788"/>
      <c r="Q270" s="833"/>
      <c r="R270" s="834"/>
      <c r="S270" s="1059" t="s">
        <v>7</v>
      </c>
      <c r="T270" s="1060"/>
      <c r="U270" s="1060"/>
      <c r="V270" s="1061"/>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4.4"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4.4" customHeight="1">
      <c r="A284" s="196"/>
      <c r="V284" s="197"/>
    </row>
    <row r="285" spans="1:22" ht="14.4" customHeight="1">
      <c r="A285" s="196"/>
      <c r="V285" s="197"/>
    </row>
    <row r="286" spans="1:22" ht="14.4" customHeight="1">
      <c r="A286" s="196"/>
      <c r="V286" s="197"/>
    </row>
    <row r="287" spans="1:22" ht="14.4" customHeight="1">
      <c r="A287" s="196"/>
      <c r="V287" s="197"/>
    </row>
    <row r="288" spans="1:22" ht="14.4" customHeight="1">
      <c r="A288" s="196"/>
      <c r="V288" s="197"/>
    </row>
    <row r="289" spans="1:22" ht="14.4"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206"/>
      <c r="B302" s="207"/>
      <c r="C302" s="207"/>
      <c r="D302" s="207"/>
      <c r="E302" s="207"/>
      <c r="F302" s="207"/>
      <c r="G302" s="207"/>
      <c r="H302" s="207"/>
      <c r="I302" s="207"/>
      <c r="J302" s="207"/>
      <c r="K302" s="207"/>
      <c r="L302" s="207"/>
      <c r="M302" s="207"/>
      <c r="N302" s="207"/>
      <c r="O302" s="207"/>
      <c r="P302" s="207"/>
      <c r="Q302" s="236"/>
      <c r="R302" s="194"/>
      <c r="S302" s="237"/>
      <c r="T302" s="207"/>
      <c r="U302" s="207"/>
      <c r="V302" s="140"/>
    </row>
  </sheetData>
  <mergeCells count="189">
    <mergeCell ref="S270:V270"/>
    <mergeCell ref="S269:V269"/>
    <mergeCell ref="S268:V268"/>
    <mergeCell ref="S264:V267"/>
    <mergeCell ref="E211:F211"/>
    <mergeCell ref="E223:F223"/>
    <mergeCell ref="H223:I223"/>
    <mergeCell ref="E227:F227"/>
    <mergeCell ref="H227:I227"/>
    <mergeCell ref="M270:N270"/>
    <mergeCell ref="O270:P270"/>
    <mergeCell ref="I268:J270"/>
    <mergeCell ref="E205:F205"/>
    <mergeCell ref="B209:C209"/>
    <mergeCell ref="E209:F209"/>
    <mergeCell ref="H209:I209"/>
    <mergeCell ref="K209:L209"/>
    <mergeCell ref="E210:F210"/>
    <mergeCell ref="H210:I210"/>
    <mergeCell ref="K210:L210"/>
    <mergeCell ref="B203:C203"/>
    <mergeCell ref="G203:H203"/>
    <mergeCell ref="J203:K203"/>
    <mergeCell ref="M203:N203"/>
    <mergeCell ref="G204:H204"/>
    <mergeCell ref="J204:K204"/>
    <mergeCell ref="M204:N204"/>
    <mergeCell ref="S192:T192"/>
    <mergeCell ref="S193:T193"/>
    <mergeCell ref="S194:T194"/>
    <mergeCell ref="S195:T195"/>
    <mergeCell ref="S196:T196"/>
    <mergeCell ref="S197:T197"/>
    <mergeCell ref="L182:M182"/>
    <mergeCell ref="J186:K186"/>
    <mergeCell ref="J187:K187"/>
    <mergeCell ref="J188:K188"/>
    <mergeCell ref="J189:K189"/>
    <mergeCell ref="J190:K190"/>
    <mergeCell ref="H178:I178"/>
    <mergeCell ref="J178:K178"/>
    <mergeCell ref="L178:M178"/>
    <mergeCell ref="L179:M179"/>
    <mergeCell ref="L180:M180"/>
    <mergeCell ref="L181:M181"/>
    <mergeCell ref="T175:U175"/>
    <mergeCell ref="T176:U176"/>
    <mergeCell ref="H177:I177"/>
    <mergeCell ref="J177:K177"/>
    <mergeCell ref="L177:M177"/>
    <mergeCell ref="T177:U177"/>
    <mergeCell ref="E123:F123"/>
    <mergeCell ref="E135:F135"/>
    <mergeCell ref="H135:I135"/>
    <mergeCell ref="E139:F139"/>
    <mergeCell ref="H139:I139"/>
    <mergeCell ref="B175:C175"/>
    <mergeCell ref="D175:E175"/>
    <mergeCell ref="H175:M175"/>
    <mergeCell ref="E117:F117"/>
    <mergeCell ref="B121:C121"/>
    <mergeCell ref="E121:F121"/>
    <mergeCell ref="H121:I121"/>
    <mergeCell ref="K121:L121"/>
    <mergeCell ref="E122:F122"/>
    <mergeCell ref="H122:I122"/>
    <mergeCell ref="K122:L122"/>
    <mergeCell ref="B115:C115"/>
    <mergeCell ref="G115:H115"/>
    <mergeCell ref="J115:K115"/>
    <mergeCell ref="M115:N115"/>
    <mergeCell ref="G116:H116"/>
    <mergeCell ref="J116:K116"/>
    <mergeCell ref="M116:N116"/>
    <mergeCell ref="S104:T104"/>
    <mergeCell ref="S105:T105"/>
    <mergeCell ref="S106:T106"/>
    <mergeCell ref="S107:T107"/>
    <mergeCell ref="S108:T108"/>
    <mergeCell ref="S109:T109"/>
    <mergeCell ref="J94:K94"/>
    <mergeCell ref="J98:K98"/>
    <mergeCell ref="J99:K99"/>
    <mergeCell ref="J100:K100"/>
    <mergeCell ref="J101:K101"/>
    <mergeCell ref="J102:K102"/>
    <mergeCell ref="H90:I90"/>
    <mergeCell ref="J90:K90"/>
    <mergeCell ref="L90:M90"/>
    <mergeCell ref="J91:K91"/>
    <mergeCell ref="J92:K92"/>
    <mergeCell ref="J93:K93"/>
    <mergeCell ref="T87:U87"/>
    <mergeCell ref="T88:U88"/>
    <mergeCell ref="H89:I89"/>
    <mergeCell ref="J89:K89"/>
    <mergeCell ref="L89:M89"/>
    <mergeCell ref="T89:U89"/>
    <mergeCell ref="E43:F43"/>
    <mergeCell ref="E51:F51"/>
    <mergeCell ref="H51:I51"/>
    <mergeCell ref="E55:F55"/>
    <mergeCell ref="H55:I55"/>
    <mergeCell ref="B87:C87"/>
    <mergeCell ref="D87:E87"/>
    <mergeCell ref="H87:M87"/>
    <mergeCell ref="E37:F37"/>
    <mergeCell ref="B41:C41"/>
    <mergeCell ref="E41:F41"/>
    <mergeCell ref="H41:I41"/>
    <mergeCell ref="K41:L41"/>
    <mergeCell ref="E42:F42"/>
    <mergeCell ref="H42:I42"/>
    <mergeCell ref="K42:L42"/>
    <mergeCell ref="B35:C35"/>
    <mergeCell ref="G35:H35"/>
    <mergeCell ref="J35:K35"/>
    <mergeCell ref="M35:N35"/>
    <mergeCell ref="G36:H36"/>
    <mergeCell ref="J36:K36"/>
    <mergeCell ref="M36:N36"/>
    <mergeCell ref="S24:T24"/>
    <mergeCell ref="S25:T25"/>
    <mergeCell ref="S26:T26"/>
    <mergeCell ref="S27:T27"/>
    <mergeCell ref="S28:T28"/>
    <mergeCell ref="S29:T29"/>
    <mergeCell ref="H14:I14"/>
    <mergeCell ref="J18:K18"/>
    <mergeCell ref="J19:K19"/>
    <mergeCell ref="J20:K20"/>
    <mergeCell ref="J21:K21"/>
    <mergeCell ref="J22:K22"/>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A264:C267"/>
    <mergeCell ref="D264:F267"/>
    <mergeCell ref="G264:H267"/>
    <mergeCell ref="I264:J267"/>
    <mergeCell ref="K264:L267"/>
    <mergeCell ref="M264:N267"/>
    <mergeCell ref="O264:P267"/>
    <mergeCell ref="Q264:R267"/>
    <mergeCell ref="A268:A270"/>
    <mergeCell ref="B268:C270"/>
    <mergeCell ref="D268:E268"/>
    <mergeCell ref="F268:F270"/>
    <mergeCell ref="G268:G270"/>
    <mergeCell ref="H268:H270"/>
    <mergeCell ref="K268:L268"/>
    <mergeCell ref="M268:N268"/>
    <mergeCell ref="O268:P268"/>
    <mergeCell ref="Q268:R270"/>
    <mergeCell ref="D269:E269"/>
    <mergeCell ref="K269:L269"/>
    <mergeCell ref="M269:N269"/>
    <mergeCell ref="O269:P269"/>
    <mergeCell ref="D270:E270"/>
    <mergeCell ref="K270:L270"/>
  </mergeCells>
  <conditionalFormatting sqref="G145 G233">
    <cfRule type="cellIs" dxfId="17" priority="2" stopIfTrue="1" operator="equal">
      <formula>"Under Dimentioned"</formula>
    </cfRule>
  </conditionalFormatting>
  <conditionalFormatting sqref="H58 H142 H230">
    <cfRule type="cellIs" dxfId="16" priority="1" stopIfTrue="1" operator="equal">
      <formula>"Under Dimentioned"</formula>
    </cfRule>
  </conditionalFormatting>
  <dataValidations count="2">
    <dataValidation type="list" allowBlank="1" showInputMessage="1" showErrorMessage="1" sqref="D87 D175" xr:uid="{7BE2D158-5F15-4CBC-B5FA-F9F0E5F272B6}">
      <formula1>"Core1,Core2,Core3"</formula1>
    </dataValidation>
    <dataValidation type="list" allowBlank="1" showInputMessage="1" showErrorMessage="1" sqref="D7:E7" xr:uid="{04486CD0-56DB-49F1-91B9-C6760AF059AF}">
      <formula1>"Core1,Core2,Core3,Core4,Core5"</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5" max="21" man="1"/>
    <brk id="261" max="21" man="1"/>
  </rowBreak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B66E4-E191-40BA-854C-ABEC09C76602}">
  <sheetPr>
    <tabColor rgb="FFFFFF00"/>
  </sheetPr>
  <dimension ref="A1:AE178"/>
  <sheetViews>
    <sheetView showZeros="0" view="pageBreakPreview" topLeftCell="A153" zoomScale="85" zoomScaleNormal="100" zoomScaleSheetLayoutView="85" workbookViewId="0">
      <selection activeCell="K13" sqref="K13"/>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Title!H2</f>
        <v>ADEQUACY CHECK</v>
      </c>
      <c r="I2" s="730"/>
      <c r="J2" s="730"/>
      <c r="K2" s="730"/>
      <c r="L2" s="730"/>
      <c r="M2" s="730"/>
      <c r="N2" s="731"/>
      <c r="O2" s="702" t="str">
        <f>Title!O2</f>
        <v>Date</v>
      </c>
      <c r="P2" s="703"/>
      <c r="Q2" s="704"/>
      <c r="R2" s="732">
        <f>Title!R2</f>
        <v>46106</v>
      </c>
      <c r="S2" s="733"/>
      <c r="T2" s="733"/>
      <c r="U2" s="733"/>
      <c r="V2" s="734"/>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14"/>
      <c r="X4" s="14"/>
    </row>
    <row r="5" spans="1:24" ht="18" customHeight="1">
      <c r="A5" s="708" t="str">
        <f>Title!A5</f>
        <v>Prep. By</v>
      </c>
      <c r="B5" s="709"/>
      <c r="C5" s="25" t="str">
        <f>Title!C5</f>
        <v>AP</v>
      </c>
      <c r="D5" s="708" t="str">
        <f>Title!D5</f>
        <v>Checked By</v>
      </c>
      <c r="E5" s="710"/>
      <c r="F5" s="709"/>
      <c r="G5" s="25" t="str">
        <f>Title!G5</f>
        <v>RB</v>
      </c>
      <c r="H5" s="711" t="s">
        <v>935</v>
      </c>
      <c r="I5" s="712"/>
      <c r="J5" s="712"/>
      <c r="K5" s="712"/>
      <c r="L5" s="712"/>
      <c r="M5" s="712"/>
      <c r="N5" s="713"/>
      <c r="O5" s="714" t="str">
        <f>Title!O5</f>
        <v>Contractor</v>
      </c>
      <c r="P5" s="715"/>
      <c r="Q5" s="716"/>
      <c r="R5" s="705" t="str">
        <f>Title!R5</f>
        <v>HITACHI</v>
      </c>
      <c r="S5" s="706"/>
      <c r="T5" s="706"/>
      <c r="U5" s="706"/>
      <c r="V5" s="707"/>
      <c r="W5" s="14"/>
      <c r="X5" s="14"/>
    </row>
    <row r="6" spans="1:24" ht="18" customHeight="1">
      <c r="A6" s="196"/>
      <c r="V6" s="197"/>
    </row>
    <row r="7" spans="1:24" ht="18" customHeight="1">
      <c r="A7" s="196"/>
      <c r="B7" s="656" t="s">
        <v>120</v>
      </c>
      <c r="C7" s="657"/>
      <c r="D7" s="656" t="s">
        <v>118</v>
      </c>
      <c r="E7" s="657"/>
      <c r="F7" s="267"/>
      <c r="H7" s="639" t="s">
        <v>948</v>
      </c>
      <c r="I7" s="639"/>
      <c r="J7" s="639"/>
      <c r="K7" s="639"/>
      <c r="L7" s="639"/>
      <c r="M7" s="639"/>
      <c r="P7" s="198"/>
      <c r="R7" s="267"/>
      <c r="S7" s="199" t="s">
        <v>398</v>
      </c>
      <c r="T7" s="1051" t="s">
        <v>255</v>
      </c>
      <c r="U7" s="1052"/>
      <c r="V7" s="197"/>
    </row>
    <row r="8" spans="1:24" ht="18" customHeight="1">
      <c r="A8" s="196"/>
      <c r="B8" s="571"/>
      <c r="C8" s="571"/>
      <c r="D8" s="580"/>
      <c r="E8" s="580"/>
      <c r="F8" s="267"/>
      <c r="T8" s="1051"/>
      <c r="U8" s="1052"/>
      <c r="V8" s="197"/>
    </row>
    <row r="9" spans="1:24" ht="18" customHeight="1">
      <c r="A9" s="196"/>
      <c r="H9" s="662" t="s">
        <v>401</v>
      </c>
      <c r="I9" s="662"/>
      <c r="J9" s="701" t="s">
        <v>402</v>
      </c>
      <c r="K9" s="701"/>
      <c r="L9" s="701" t="s">
        <v>403</v>
      </c>
      <c r="M9" s="701"/>
      <c r="T9" s="1051"/>
      <c r="U9" s="1052"/>
      <c r="V9" s="197"/>
    </row>
    <row r="10" spans="1:24" ht="18" customHeight="1">
      <c r="A10" s="196"/>
      <c r="B10" s="47" t="s">
        <v>404</v>
      </c>
      <c r="H10" s="692">
        <v>2000</v>
      </c>
      <c r="I10" s="693"/>
      <c r="J10" s="656" t="s">
        <v>7</v>
      </c>
      <c r="K10" s="657"/>
      <c r="L10" s="656" t="s">
        <v>7</v>
      </c>
      <c r="M10" s="657"/>
      <c r="N10" s="203" t="s">
        <v>353</v>
      </c>
      <c r="O10" s="125">
        <v>1</v>
      </c>
      <c r="P10" s="27" t="s">
        <v>9</v>
      </c>
      <c r="T10" s="1051"/>
      <c r="U10" s="1052"/>
      <c r="V10" s="197"/>
    </row>
    <row r="11" spans="1:24" ht="18" customHeight="1">
      <c r="A11" s="196"/>
      <c r="B11" s="47" t="s">
        <v>405</v>
      </c>
      <c r="H11" s="656" t="s">
        <v>938</v>
      </c>
      <c r="I11" s="657"/>
      <c r="T11" s="1053"/>
      <c r="U11" s="1053"/>
      <c r="V11" s="197"/>
    </row>
    <row r="12" spans="1:24" ht="18" customHeight="1">
      <c r="A12" s="196"/>
      <c r="B12" s="47" t="s">
        <v>407</v>
      </c>
      <c r="G12" s="120" t="s">
        <v>508</v>
      </c>
      <c r="H12" s="656">
        <v>5</v>
      </c>
      <c r="I12" s="657"/>
      <c r="J12" s="204" t="s">
        <v>344</v>
      </c>
      <c r="T12" s="307"/>
      <c r="U12" s="18"/>
      <c r="V12" s="197"/>
    </row>
    <row r="13" spans="1:24" ht="18" customHeight="1">
      <c r="A13" s="196"/>
      <c r="B13" s="30" t="s">
        <v>579</v>
      </c>
      <c r="G13" s="120" t="s">
        <v>580</v>
      </c>
      <c r="H13" s="656">
        <v>10</v>
      </c>
      <c r="I13" s="657"/>
      <c r="T13" s="307"/>
      <c r="U13" s="18"/>
      <c r="V13" s="197"/>
      <c r="W13" s="30" t="str">
        <f>J47</f>
        <v>Not suitable</v>
      </c>
    </row>
    <row r="14" spans="1:24" ht="18" customHeight="1">
      <c r="A14" s="196"/>
      <c r="B14" s="47" t="s">
        <v>573</v>
      </c>
      <c r="G14" s="120" t="s">
        <v>504</v>
      </c>
      <c r="H14" s="656">
        <v>10</v>
      </c>
      <c r="I14" s="657"/>
      <c r="J14" s="30"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686"/>
      <c r="K19" s="687"/>
      <c r="L19" s="210" t="s">
        <v>168</v>
      </c>
      <c r="P19" s="256"/>
      <c r="V19" s="197"/>
    </row>
    <row r="20" spans="1:31" ht="18" customHeight="1">
      <c r="A20" s="196"/>
      <c r="B20" s="96" t="s">
        <v>416</v>
      </c>
      <c r="C20" s="14"/>
      <c r="D20" s="47">
        <f>T9</f>
        <v>0</v>
      </c>
      <c r="E20" s="14"/>
      <c r="G20" s="211"/>
      <c r="H20" s="27"/>
      <c r="I20" s="101" t="s">
        <v>138</v>
      </c>
      <c r="J20" s="688"/>
      <c r="K20" s="689"/>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688"/>
      <c r="K21" s="689"/>
      <c r="L21" s="214" t="s">
        <v>168</v>
      </c>
      <c r="O21" s="27" t="s">
        <v>138</v>
      </c>
      <c r="P21" s="27">
        <f>O10</f>
        <v>1</v>
      </c>
      <c r="Q21" s="27" t="s">
        <v>326</v>
      </c>
      <c r="R21" s="27">
        <f>O10</f>
        <v>1</v>
      </c>
      <c r="S21" s="27" t="s">
        <v>326</v>
      </c>
      <c r="T21" s="27">
        <f>H12</f>
        <v>5</v>
      </c>
      <c r="V21" s="197"/>
    </row>
    <row r="22" spans="1:31" ht="18" customHeight="1">
      <c r="A22" s="196"/>
      <c r="B22" s="196" t="s">
        <v>423</v>
      </c>
      <c r="C22" s="14"/>
      <c r="D22" s="47"/>
      <c r="E22" s="14"/>
      <c r="H22" s="27"/>
      <c r="I22" s="101" t="s">
        <v>138</v>
      </c>
      <c r="J22" s="690">
        <f>'CT-VT Burdens'!S22</f>
        <v>1.44186744</v>
      </c>
      <c r="K22" s="691"/>
      <c r="L22" s="309" t="s">
        <v>168</v>
      </c>
      <c r="O22" s="27" t="s">
        <v>138</v>
      </c>
      <c r="P22" s="637">
        <f>P21*R21*T21</f>
        <v>5</v>
      </c>
      <c r="Q22" s="639"/>
      <c r="R22" s="27" t="s">
        <v>168</v>
      </c>
      <c r="S22" s="27"/>
      <c r="T22" s="27"/>
      <c r="V22" s="197"/>
    </row>
    <row r="23" spans="1:31" ht="18" customHeight="1">
      <c r="A23" s="196"/>
      <c r="B23" s="1" t="s">
        <v>424</v>
      </c>
      <c r="C23" s="2"/>
      <c r="D23" s="2"/>
      <c r="E23" s="2"/>
      <c r="F23" s="208"/>
      <c r="G23" s="208"/>
      <c r="H23" s="236" t="s">
        <v>523</v>
      </c>
      <c r="I23" s="195" t="s">
        <v>138</v>
      </c>
      <c r="J23" s="648">
        <f>SUM(J18:K22)</f>
        <v>1.44986744</v>
      </c>
      <c r="K23" s="649"/>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86">
        <f>H10</f>
        <v>2000</v>
      </c>
      <c r="Q25" s="986"/>
      <c r="R25" s="204" t="s">
        <v>9</v>
      </c>
      <c r="V25" s="197"/>
    </row>
    <row r="26" spans="1:31" ht="18" customHeight="1">
      <c r="A26" s="196"/>
      <c r="B26" s="47" t="s">
        <v>558</v>
      </c>
      <c r="C26" s="47"/>
      <c r="D26" s="47"/>
      <c r="E26" s="47"/>
      <c r="H26" s="27"/>
      <c r="I26" s="28"/>
      <c r="J26" s="211"/>
      <c r="L26" s="47"/>
      <c r="N26" s="120" t="s">
        <v>583</v>
      </c>
      <c r="O26" s="28" t="s">
        <v>138</v>
      </c>
      <c r="P26" s="986">
        <f>H12</f>
        <v>5</v>
      </c>
      <c r="Q26" s="986"/>
      <c r="R26" s="316" t="s">
        <v>168</v>
      </c>
      <c r="V26" s="197"/>
    </row>
    <row r="27" spans="1:31" ht="18" customHeight="1">
      <c r="A27" s="196"/>
      <c r="B27" s="47" t="s">
        <v>559</v>
      </c>
      <c r="C27" s="47"/>
      <c r="D27" s="47"/>
      <c r="E27" s="47"/>
      <c r="H27" s="27"/>
      <c r="I27" s="28"/>
      <c r="J27" s="211"/>
      <c r="L27" s="47"/>
      <c r="N27" s="120" t="s">
        <v>584</v>
      </c>
      <c r="O27" s="28" t="s">
        <v>138</v>
      </c>
      <c r="P27" s="960">
        <f>J23</f>
        <v>1.44986744</v>
      </c>
      <c r="Q27" s="986"/>
      <c r="R27" s="316" t="s">
        <v>168</v>
      </c>
      <c r="V27" s="197"/>
    </row>
    <row r="28" spans="1:31" ht="18" customHeight="1">
      <c r="A28" s="196"/>
      <c r="B28" s="47" t="s">
        <v>560</v>
      </c>
      <c r="C28" s="47"/>
      <c r="D28" s="47"/>
      <c r="E28" s="47"/>
      <c r="H28" s="27"/>
      <c r="I28" s="28"/>
      <c r="J28" s="211"/>
      <c r="L28" s="47"/>
      <c r="N28" s="120" t="s">
        <v>522</v>
      </c>
      <c r="O28" s="28" t="s">
        <v>138</v>
      </c>
      <c r="P28" s="986">
        <f>O10</f>
        <v>1</v>
      </c>
      <c r="Q28" s="986"/>
      <c r="R28" s="204" t="s">
        <v>9</v>
      </c>
      <c r="V28" s="197"/>
    </row>
    <row r="29" spans="1:31" ht="18" customHeight="1">
      <c r="A29" s="196"/>
      <c r="B29" s="47" t="s">
        <v>585</v>
      </c>
      <c r="C29" s="47"/>
      <c r="D29" s="47"/>
      <c r="E29" s="47"/>
      <c r="H29" s="27"/>
      <c r="I29" s="28"/>
      <c r="J29" s="211"/>
      <c r="L29" s="47"/>
      <c r="N29" s="256" t="s">
        <v>586</v>
      </c>
      <c r="O29" s="28" t="s">
        <v>138</v>
      </c>
      <c r="P29" s="986">
        <f>H13</f>
        <v>10</v>
      </c>
      <c r="Q29" s="986"/>
      <c r="R29" s="204"/>
      <c r="V29" s="197"/>
    </row>
    <row r="30" spans="1:31" ht="18" customHeight="1">
      <c r="A30" s="196"/>
      <c r="B30" s="308" t="s">
        <v>587</v>
      </c>
      <c r="C30" s="47"/>
      <c r="D30" s="47"/>
      <c r="E30" s="47"/>
      <c r="H30" s="27"/>
      <c r="I30" s="28"/>
      <c r="J30" s="211"/>
      <c r="L30" s="47"/>
      <c r="N30" s="256"/>
      <c r="O30" s="28" t="s">
        <v>138</v>
      </c>
      <c r="P30" s="960">
        <v>20</v>
      </c>
      <c r="Q30" s="960"/>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656">
        <v>20</v>
      </c>
      <c r="T32" s="657"/>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637">
        <f>J23</f>
        <v>1.44986744</v>
      </c>
      <c r="K35" s="639"/>
      <c r="L35" s="28"/>
      <c r="M35" s="637"/>
      <c r="N35" s="639"/>
      <c r="V35" s="197"/>
    </row>
    <row r="36" spans="1:22" ht="18" customHeight="1">
      <c r="A36" s="196"/>
      <c r="I36" s="28"/>
      <c r="J36" s="637"/>
      <c r="K36" s="639"/>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548">
        <f>P29</f>
        <v>10</v>
      </c>
      <c r="K38" s="257" t="s">
        <v>565</v>
      </c>
      <c r="L38" s="313">
        <f>P22</f>
        <v>5</v>
      </c>
      <c r="M38" s="257" t="s">
        <v>358</v>
      </c>
      <c r="N38" s="254">
        <f>H14</f>
        <v>10</v>
      </c>
      <c r="O38" s="257" t="s">
        <v>550</v>
      </c>
      <c r="P38" s="313">
        <f>P22</f>
        <v>5</v>
      </c>
      <c r="Q38" s="257" t="s">
        <v>358</v>
      </c>
      <c r="R38" s="313">
        <f>J23</f>
        <v>1.44986744</v>
      </c>
      <c r="S38" s="308" t="s">
        <v>361</v>
      </c>
      <c r="V38" s="197"/>
    </row>
    <row r="39" spans="1:22" ht="18" customHeight="1">
      <c r="A39" s="196"/>
      <c r="I39" s="27" t="s">
        <v>138</v>
      </c>
      <c r="J39" s="640">
        <f>J38*((L38+N38)/(P38+R38))</f>
        <v>23.256291915357565</v>
      </c>
      <c r="K39" s="640"/>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639">
        <f>H14</f>
        <v>10</v>
      </c>
      <c r="H43" s="639"/>
      <c r="I43" s="27" t="str">
        <f>IF(G43&gt;J43,"&gt;","&lt;")</f>
        <v>&gt;</v>
      </c>
      <c r="J43" s="637">
        <f>J35</f>
        <v>1.44986744</v>
      </c>
      <c r="K43" s="639"/>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637">
        <f>P30</f>
        <v>20</v>
      </c>
      <c r="H46" s="637"/>
      <c r="I46" s="27" t="str">
        <f>IF(G46&gt;J46,"&gt;","&lt;")</f>
        <v>&lt;</v>
      </c>
      <c r="J46" s="637">
        <f>J39</f>
        <v>23.256291915357565</v>
      </c>
      <c r="K46" s="637"/>
      <c r="R46" s="14"/>
      <c r="S46" s="198" t="str">
        <f>IF(G46&gt;J46,"Satisfied","Not satisfied")</f>
        <v>Not satisfied</v>
      </c>
      <c r="V46" s="197"/>
    </row>
    <row r="47" spans="1:22" ht="18" customHeight="1">
      <c r="A47" s="196"/>
      <c r="D47" s="47"/>
      <c r="H47" s="256" t="s">
        <v>489</v>
      </c>
      <c r="J47" s="18" t="str">
        <f>IF(AND(I43="&gt;",I46="&gt;")=TRUE,"Suitable Dimensions","Not suitable")</f>
        <v>Not suitable</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667" t="str">
        <f>B7</f>
        <v>T1</v>
      </c>
      <c r="C50" s="668"/>
      <c r="D50" s="680" t="str">
        <f>D7</f>
        <v>Core6</v>
      </c>
      <c r="E50" s="681"/>
      <c r="F50" s="267"/>
      <c r="H50" s="639" t="str">
        <f>H7</f>
        <v>(Metering)</v>
      </c>
      <c r="I50" s="639"/>
      <c r="J50" s="639"/>
      <c r="K50" s="639"/>
      <c r="L50" s="639"/>
      <c r="M50" s="639"/>
      <c r="P50" s="198"/>
      <c r="R50" s="267"/>
      <c r="S50" s="199" t="s">
        <v>398</v>
      </c>
      <c r="T50" s="1051" t="str">
        <f>T7</f>
        <v>XC-RACK</v>
      </c>
      <c r="U50" s="1052"/>
      <c r="V50" s="197"/>
    </row>
    <row r="51" spans="1:23" ht="18" hidden="1" customHeight="1">
      <c r="A51" s="196"/>
      <c r="B51" s="679">
        <f>B8</f>
        <v>0</v>
      </c>
      <c r="C51" s="679"/>
      <c r="D51" s="682"/>
      <c r="E51" s="683"/>
      <c r="F51" s="267"/>
      <c r="T51" s="1051"/>
      <c r="U51" s="1052"/>
      <c r="V51" s="197"/>
    </row>
    <row r="52" spans="1:23" ht="18" hidden="1" customHeight="1">
      <c r="A52" s="196"/>
      <c r="H52" s="661" t="s">
        <v>401</v>
      </c>
      <c r="I52" s="661"/>
      <c r="J52" s="662" t="s">
        <v>402</v>
      </c>
      <c r="K52" s="662"/>
      <c r="L52" s="701" t="s">
        <v>403</v>
      </c>
      <c r="M52" s="701"/>
      <c r="T52" s="1051"/>
      <c r="U52" s="1052"/>
      <c r="V52" s="197"/>
    </row>
    <row r="53" spans="1:23" ht="18" hidden="1" customHeight="1">
      <c r="A53" s="196"/>
      <c r="B53" s="47" t="s">
        <v>404</v>
      </c>
      <c r="H53" s="667">
        <f>H10</f>
        <v>2000</v>
      </c>
      <c r="I53" s="668"/>
      <c r="J53" s="1030" t="str">
        <f>J10</f>
        <v>-</v>
      </c>
      <c r="K53" s="1031"/>
      <c r="L53" s="667" t="str">
        <f>L10</f>
        <v>-</v>
      </c>
      <c r="M53" s="668"/>
      <c r="N53" s="203" t="s">
        <v>353</v>
      </c>
      <c r="O53" s="501">
        <f>O10</f>
        <v>1</v>
      </c>
      <c r="P53" s="27" t="s">
        <v>9</v>
      </c>
      <c r="T53" s="1051"/>
      <c r="U53" s="1052"/>
      <c r="V53" s="197"/>
    </row>
    <row r="54" spans="1:23" ht="18" hidden="1" customHeight="1">
      <c r="A54" s="196"/>
      <c r="B54" s="47" t="s">
        <v>405</v>
      </c>
      <c r="H54" s="14"/>
      <c r="I54" s="14"/>
      <c r="J54" s="667" t="str">
        <f>H11</f>
        <v>0.2S</v>
      </c>
      <c r="K54" s="668"/>
      <c r="L54" s="14"/>
      <c r="M54" s="14"/>
      <c r="V54" s="197"/>
    </row>
    <row r="55" spans="1:23" ht="18" hidden="1" customHeight="1">
      <c r="A55" s="196"/>
      <c r="B55" s="47" t="s">
        <v>407</v>
      </c>
      <c r="I55" s="120" t="s">
        <v>508</v>
      </c>
      <c r="J55" s="656">
        <v>5</v>
      </c>
      <c r="K55" s="657"/>
      <c r="L55" s="204" t="s">
        <v>344</v>
      </c>
      <c r="T55" s="307"/>
      <c r="U55" s="18"/>
      <c r="V55" s="197"/>
    </row>
    <row r="56" spans="1:23" ht="18" hidden="1" customHeight="1">
      <c r="A56" s="196"/>
      <c r="B56" s="30" t="s">
        <v>579</v>
      </c>
      <c r="I56" s="120" t="s">
        <v>580</v>
      </c>
      <c r="J56" s="656">
        <v>10</v>
      </c>
      <c r="K56" s="657"/>
      <c r="T56" s="307"/>
      <c r="U56" s="18"/>
      <c r="V56" s="197"/>
      <c r="W56" s="30" t="str">
        <f>J90</f>
        <v>Suitable Dimensions</v>
      </c>
    </row>
    <row r="57" spans="1:23" ht="18" hidden="1" customHeight="1">
      <c r="A57" s="196"/>
      <c r="B57" s="47" t="s">
        <v>573</v>
      </c>
      <c r="I57" s="120" t="s">
        <v>504</v>
      </c>
      <c r="J57" s="656">
        <v>5</v>
      </c>
      <c r="K57" s="657"/>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hidden="1" customHeight="1">
      <c r="A62" s="196"/>
      <c r="B62" s="96" t="s">
        <v>416</v>
      </c>
      <c r="D62" s="308">
        <f>D19</f>
        <v>0</v>
      </c>
      <c r="I62" s="189" t="s">
        <v>138</v>
      </c>
      <c r="J62" s="642">
        <f t="shared" si="0"/>
        <v>0</v>
      </c>
      <c r="K62" s="643"/>
      <c r="L62" s="210" t="s">
        <v>168</v>
      </c>
      <c r="P62" s="256"/>
      <c r="V62" s="197"/>
    </row>
    <row r="63" spans="1:23" ht="18" hidden="1" customHeight="1">
      <c r="A63" s="196"/>
      <c r="B63" s="96" t="s">
        <v>416</v>
      </c>
      <c r="C63" s="14"/>
      <c r="D63" s="47">
        <f>D20</f>
        <v>0</v>
      </c>
      <c r="E63" s="14"/>
      <c r="G63" s="211"/>
      <c r="H63" s="27"/>
      <c r="I63" s="101" t="s">
        <v>138</v>
      </c>
      <c r="J63" s="644">
        <f t="shared" si="0"/>
        <v>0</v>
      </c>
      <c r="K63" s="645"/>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644">
        <f t="shared" si="0"/>
        <v>0</v>
      </c>
      <c r="K64" s="645"/>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646">
        <f t="shared" si="0"/>
        <v>1.44186744</v>
      </c>
      <c r="K65" s="647"/>
      <c r="L65" s="309" t="s">
        <v>168</v>
      </c>
      <c r="O65" s="27" t="s">
        <v>138</v>
      </c>
      <c r="P65" s="637">
        <f>P64*R64*T64</f>
        <v>5</v>
      </c>
      <c r="Q65" s="639"/>
      <c r="R65" s="27" t="s">
        <v>168</v>
      </c>
      <c r="S65" s="27"/>
      <c r="T65" s="27"/>
      <c r="V65" s="197"/>
    </row>
    <row r="66" spans="1:22" ht="18" hidden="1" customHeight="1">
      <c r="A66" s="196"/>
      <c r="B66" s="1" t="s">
        <v>424</v>
      </c>
      <c r="C66" s="2"/>
      <c r="D66" s="2"/>
      <c r="E66" s="2"/>
      <c r="F66" s="208"/>
      <c r="G66" s="208"/>
      <c r="H66" s="236" t="s">
        <v>523</v>
      </c>
      <c r="I66" s="195" t="s">
        <v>138</v>
      </c>
      <c r="J66" s="648">
        <f t="shared" si="0"/>
        <v>1.44986744</v>
      </c>
      <c r="K66" s="649"/>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86" t="str">
        <f>J53</f>
        <v>-</v>
      </c>
      <c r="Q68" s="986"/>
      <c r="R68" s="204" t="s">
        <v>9</v>
      </c>
      <c r="V68" s="197"/>
    </row>
    <row r="69" spans="1:22" ht="18" hidden="1" customHeight="1">
      <c r="A69" s="196"/>
      <c r="B69" s="47" t="s">
        <v>558</v>
      </c>
      <c r="C69" s="47"/>
      <c r="D69" s="47"/>
      <c r="E69" s="47"/>
      <c r="H69" s="27"/>
      <c r="I69" s="28"/>
      <c r="J69" s="211"/>
      <c r="L69" s="47"/>
      <c r="N69" s="120" t="s">
        <v>583</v>
      </c>
      <c r="O69" s="28" t="s">
        <v>138</v>
      </c>
      <c r="P69" s="986">
        <f>J55</f>
        <v>5</v>
      </c>
      <c r="Q69" s="986"/>
      <c r="R69" s="316" t="s">
        <v>168</v>
      </c>
      <c r="V69" s="197"/>
    </row>
    <row r="70" spans="1:22" ht="18" hidden="1" customHeight="1">
      <c r="A70" s="196"/>
      <c r="B70" s="47" t="s">
        <v>559</v>
      </c>
      <c r="C70" s="47"/>
      <c r="D70" s="47"/>
      <c r="E70" s="47"/>
      <c r="H70" s="27"/>
      <c r="I70" s="28"/>
      <c r="J70" s="211"/>
      <c r="L70" s="47"/>
      <c r="N70" s="120" t="s">
        <v>584</v>
      </c>
      <c r="O70" s="28" t="s">
        <v>138</v>
      </c>
      <c r="P70" s="960">
        <f>J66</f>
        <v>1.44986744</v>
      </c>
      <c r="Q70" s="986"/>
      <c r="R70" s="316" t="s">
        <v>168</v>
      </c>
      <c r="V70" s="197"/>
    </row>
    <row r="71" spans="1:22" ht="18" hidden="1" customHeight="1">
      <c r="A71" s="196"/>
      <c r="B71" s="47" t="s">
        <v>560</v>
      </c>
      <c r="C71" s="47"/>
      <c r="D71" s="47"/>
      <c r="E71" s="47"/>
      <c r="H71" s="27"/>
      <c r="I71" s="28"/>
      <c r="J71" s="211"/>
      <c r="L71" s="47"/>
      <c r="N71" s="120" t="s">
        <v>522</v>
      </c>
      <c r="O71" s="28" t="s">
        <v>138</v>
      </c>
      <c r="P71" s="986">
        <f>O53</f>
        <v>1</v>
      </c>
      <c r="Q71" s="986"/>
      <c r="R71" s="204" t="s">
        <v>9</v>
      </c>
      <c r="V71" s="197"/>
    </row>
    <row r="72" spans="1:22" ht="18" hidden="1" customHeight="1">
      <c r="A72" s="196"/>
      <c r="B72" s="47" t="s">
        <v>585</v>
      </c>
      <c r="C72" s="47"/>
      <c r="D72" s="47"/>
      <c r="E72" s="47"/>
      <c r="H72" s="27"/>
      <c r="I72" s="28"/>
      <c r="J72" s="211"/>
      <c r="L72" s="47"/>
      <c r="N72" s="120" t="s">
        <v>506</v>
      </c>
      <c r="O72" s="28" t="s">
        <v>138</v>
      </c>
      <c r="P72" s="986">
        <v>10</v>
      </c>
      <c r="Q72" s="986"/>
      <c r="R72" s="204"/>
      <c r="V72" s="197"/>
    </row>
    <row r="73" spans="1:22" ht="18" hidden="1" customHeight="1">
      <c r="A73" s="196"/>
      <c r="B73" s="47" t="s">
        <v>588</v>
      </c>
      <c r="C73" s="47"/>
      <c r="D73" s="47"/>
      <c r="E73" s="47"/>
      <c r="H73" s="27"/>
      <c r="I73" s="28"/>
      <c r="J73" s="211"/>
      <c r="L73" s="47"/>
      <c r="O73" s="28" t="s">
        <v>138</v>
      </c>
      <c r="P73" s="960">
        <v>20</v>
      </c>
      <c r="Q73" s="960"/>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705">
        <f>S32</f>
        <v>20</v>
      </c>
      <c r="T75" s="707"/>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637">
        <f>J66</f>
        <v>1.44986744</v>
      </c>
      <c r="K78" s="639"/>
      <c r="L78" s="28"/>
      <c r="M78" s="637"/>
      <c r="N78" s="639"/>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1.44986744</v>
      </c>
      <c r="S81" s="308" t="s">
        <v>361</v>
      </c>
      <c r="V81" s="197"/>
    </row>
    <row r="82" spans="1:22" ht="18" hidden="1" customHeight="1">
      <c r="A82" s="196"/>
      <c r="I82" s="27" t="s">
        <v>138</v>
      </c>
      <c r="J82" s="640">
        <f>J81*((L81+N81)/(P81+R81))</f>
        <v>15.504194610238377</v>
      </c>
      <c r="K82" s="640"/>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639">
        <f>J57</f>
        <v>5</v>
      </c>
      <c r="H86" s="639"/>
      <c r="I86" s="27" t="str">
        <f>IF(G86&gt;J86,"&gt;","&lt;")</f>
        <v>&gt;</v>
      </c>
      <c r="J86" s="637">
        <f>J78</f>
        <v>1.44986744</v>
      </c>
      <c r="K86" s="639"/>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637">
        <f>P73</f>
        <v>20</v>
      </c>
      <c r="H89" s="637"/>
      <c r="I89" s="27" t="str">
        <f>IF(G89&gt;J89,"&gt;","&lt;")</f>
        <v>&gt;</v>
      </c>
      <c r="J89" s="637">
        <f>J82</f>
        <v>15.504194610238377</v>
      </c>
      <c r="K89" s="637"/>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650" t="str">
        <f>B50</f>
        <v>T1</v>
      </c>
      <c r="C95" s="651"/>
      <c r="D95" s="663" t="str">
        <f>D50</f>
        <v>Core6</v>
      </c>
      <c r="E95" s="869"/>
      <c r="F95" s="267"/>
      <c r="H95" s="639" t="str">
        <f>H50</f>
        <v>(Metering)</v>
      </c>
      <c r="I95" s="639"/>
      <c r="J95" s="639"/>
      <c r="K95" s="639"/>
      <c r="L95" s="639"/>
      <c r="M95" s="639"/>
      <c r="P95" s="198"/>
      <c r="V95" s="197"/>
    </row>
    <row r="96" spans="1:22" ht="18" hidden="1" customHeight="1">
      <c r="A96" s="196"/>
      <c r="B96" s="650">
        <f>B51</f>
        <v>0</v>
      </c>
      <c r="C96" s="651"/>
      <c r="D96" s="1193"/>
      <c r="E96" s="1194"/>
      <c r="F96" s="267"/>
      <c r="V96" s="197"/>
    </row>
    <row r="97" spans="1:23" ht="18" hidden="1" customHeight="1">
      <c r="A97" s="196"/>
      <c r="H97" s="661" t="s">
        <v>401</v>
      </c>
      <c r="I97" s="661"/>
      <c r="J97" s="661" t="s">
        <v>402</v>
      </c>
      <c r="K97" s="661"/>
      <c r="L97" s="662" t="s">
        <v>403</v>
      </c>
      <c r="M97" s="662"/>
      <c r="V97" s="197"/>
    </row>
    <row r="98" spans="1:23" ht="18" hidden="1" customHeight="1">
      <c r="A98" s="196"/>
      <c r="B98" s="47" t="s">
        <v>404</v>
      </c>
      <c r="H98" s="650">
        <f>H53</f>
        <v>2000</v>
      </c>
      <c r="I98" s="651"/>
      <c r="J98" s="650" t="str">
        <f>J53</f>
        <v>-</v>
      </c>
      <c r="K98" s="651"/>
      <c r="L98" s="652" t="str">
        <f>L53</f>
        <v>-</v>
      </c>
      <c r="M98" s="653"/>
      <c r="N98" s="203" t="s">
        <v>353</v>
      </c>
      <c r="O98" s="268">
        <f>O53</f>
        <v>1</v>
      </c>
      <c r="P98" s="27" t="s">
        <v>9</v>
      </c>
      <c r="V98" s="197"/>
    </row>
    <row r="99" spans="1:23" ht="18" hidden="1" customHeight="1">
      <c r="A99" s="196"/>
      <c r="B99" s="47" t="s">
        <v>405</v>
      </c>
      <c r="H99" s="14"/>
      <c r="I99" s="14"/>
      <c r="K99" s="14"/>
      <c r="L99" s="650" t="str">
        <f>J54</f>
        <v>0.2S</v>
      </c>
      <c r="M99" s="651"/>
      <c r="N99" s="14"/>
      <c r="V99" s="197"/>
    </row>
    <row r="100" spans="1:23" ht="18" hidden="1" customHeight="1">
      <c r="A100" s="196"/>
      <c r="B100" s="47" t="s">
        <v>407</v>
      </c>
      <c r="I100" s="120"/>
      <c r="K100" s="120" t="s">
        <v>508</v>
      </c>
      <c r="L100" s="656" t="s">
        <v>7</v>
      </c>
      <c r="M100" s="657"/>
      <c r="N100" s="204" t="s">
        <v>344</v>
      </c>
      <c r="T100" s="307"/>
      <c r="U100" s="18"/>
      <c r="V100" s="197"/>
    </row>
    <row r="101" spans="1:23" ht="18" hidden="1" customHeight="1">
      <c r="A101" s="196"/>
      <c r="B101" s="30" t="s">
        <v>579</v>
      </c>
      <c r="I101" s="120"/>
      <c r="K101" s="120" t="s">
        <v>580</v>
      </c>
      <c r="L101" s="656" t="s">
        <v>7</v>
      </c>
      <c r="M101" s="657"/>
      <c r="T101" s="307"/>
      <c r="U101" s="18"/>
      <c r="V101" s="197"/>
      <c r="W101" s="30" t="e">
        <f>J130</f>
        <v>#VALUE!</v>
      </c>
    </row>
    <row r="102" spans="1:23" ht="18" hidden="1" customHeight="1">
      <c r="A102" s="196"/>
      <c r="B102" s="47" t="s">
        <v>573</v>
      </c>
      <c r="I102" s="120"/>
      <c r="K102" s="120" t="s">
        <v>504</v>
      </c>
      <c r="L102" s="656" t="s">
        <v>7</v>
      </c>
      <c r="M102" s="657"/>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644">
        <f t="shared" ref="J106:J111" si="1">J61</f>
        <v>8.0000000000000002E-3</v>
      </c>
      <c r="K106" s="648"/>
      <c r="L106" s="3" t="s">
        <v>168</v>
      </c>
      <c r="N106" s="209" t="s">
        <v>521</v>
      </c>
      <c r="V106" s="197"/>
    </row>
    <row r="107" spans="1:23" ht="18" hidden="1" customHeight="1">
      <c r="A107" s="196"/>
      <c r="B107" s="96" t="s">
        <v>416</v>
      </c>
      <c r="D107" s="308">
        <f>D62</f>
        <v>0</v>
      </c>
      <c r="I107" s="189" t="s">
        <v>138</v>
      </c>
      <c r="J107" s="644">
        <f t="shared" si="1"/>
        <v>0</v>
      </c>
      <c r="K107" s="648"/>
      <c r="L107" s="210" t="s">
        <v>168</v>
      </c>
      <c r="P107" s="256"/>
      <c r="V107" s="197"/>
    </row>
    <row r="108" spans="1:23" ht="18" hidden="1" customHeight="1">
      <c r="A108" s="196"/>
      <c r="B108" s="96" t="s">
        <v>416</v>
      </c>
      <c r="C108" s="14"/>
      <c r="D108" s="47">
        <f>D63</f>
        <v>0</v>
      </c>
      <c r="E108" s="14"/>
      <c r="G108" s="211"/>
      <c r="H108" s="27"/>
      <c r="I108" s="101" t="s">
        <v>138</v>
      </c>
      <c r="J108" s="644">
        <f t="shared" si="1"/>
        <v>0</v>
      </c>
      <c r="K108" s="648"/>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644">
        <f t="shared" si="1"/>
        <v>0</v>
      </c>
      <c r="K109" s="648"/>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644">
        <f t="shared" si="1"/>
        <v>1.44186744</v>
      </c>
      <c r="K110" s="648"/>
      <c r="L110" s="309" t="s">
        <v>168</v>
      </c>
      <c r="O110" s="27" t="s">
        <v>138</v>
      </c>
      <c r="P110" s="637" t="e">
        <f>P109*R109*T109</f>
        <v>#VALUE!</v>
      </c>
      <c r="Q110" s="637"/>
      <c r="R110" s="27" t="s">
        <v>168</v>
      </c>
      <c r="S110" s="27"/>
      <c r="T110" s="27"/>
      <c r="V110" s="197"/>
    </row>
    <row r="111" spans="1:23" ht="18" hidden="1" customHeight="1">
      <c r="A111" s="196"/>
      <c r="B111" s="1" t="s">
        <v>424</v>
      </c>
      <c r="C111" s="2"/>
      <c r="D111" s="2"/>
      <c r="E111" s="2"/>
      <c r="F111" s="208"/>
      <c r="G111" s="208"/>
      <c r="H111" s="236" t="s">
        <v>523</v>
      </c>
      <c r="I111" s="195" t="s">
        <v>138</v>
      </c>
      <c r="J111" s="644">
        <f t="shared" si="1"/>
        <v>1.44986744</v>
      </c>
      <c r="K111" s="648"/>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705">
        <f>S75</f>
        <v>20</v>
      </c>
      <c r="T113" s="707"/>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637" t="e">
        <f>P110</f>
        <v>#VALUE!</v>
      </c>
      <c r="K116" s="637"/>
      <c r="L116" s="28" t="s">
        <v>358</v>
      </c>
      <c r="M116" s="637">
        <f>J111</f>
        <v>1.44986744</v>
      </c>
      <c r="N116" s="637"/>
      <c r="V116" s="197"/>
    </row>
    <row r="117" spans="1:22" ht="18" hidden="1" customHeight="1">
      <c r="A117" s="196"/>
      <c r="I117" s="28" t="s">
        <v>138</v>
      </c>
      <c r="J117" s="637" t="e">
        <f>J116+M116</f>
        <v>#VALUE!</v>
      </c>
      <c r="K117" s="637"/>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1.44986744</v>
      </c>
      <c r="S120" s="308" t="s">
        <v>361</v>
      </c>
      <c r="V120" s="197"/>
    </row>
    <row r="121" spans="1:22" ht="18" hidden="1" customHeight="1">
      <c r="A121" s="196"/>
      <c r="I121" s="27" t="s">
        <v>138</v>
      </c>
      <c r="J121" s="640" t="e">
        <f>J120*((L120+N120)/(P120+R120))</f>
        <v>#VALUE!</v>
      </c>
      <c r="K121" s="640"/>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639" t="str">
        <f>L102</f>
        <v>-</v>
      </c>
      <c r="H125" s="639"/>
      <c r="I125" s="27" t="e">
        <f>IF(G125&gt;J125,"&gt;","&lt;")</f>
        <v>#VALUE!</v>
      </c>
      <c r="J125" s="637" t="e">
        <f>J117</f>
        <v>#VALUE!</v>
      </c>
      <c r="K125" s="637"/>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637">
        <f>S113</f>
        <v>20</v>
      </c>
      <c r="H128" s="637"/>
      <c r="I128" s="27" t="e">
        <f>IF(G128&gt;J128,"&gt;","&lt;")</f>
        <v>#VALUE!</v>
      </c>
      <c r="J128" s="637" t="e">
        <f>J121</f>
        <v>#VALUE!</v>
      </c>
      <c r="K128" s="637"/>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6.8" customHeight="1">
      <c r="A139" s="274" t="s">
        <v>512</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614" t="s">
        <v>97</v>
      </c>
      <c r="B140" s="620"/>
      <c r="C140" s="615"/>
      <c r="D140" s="614" t="s">
        <v>98</v>
      </c>
      <c r="E140" s="620"/>
      <c r="F140" s="615"/>
      <c r="G140" s="614" t="s">
        <v>99</v>
      </c>
      <c r="H140" s="615"/>
      <c r="I140" s="614" t="s">
        <v>100</v>
      </c>
      <c r="J140" s="615"/>
      <c r="K140" s="614" t="s">
        <v>513</v>
      </c>
      <c r="L140" s="615"/>
      <c r="M140" s="614" t="s">
        <v>114</v>
      </c>
      <c r="N140" s="615"/>
      <c r="O140" s="614"/>
      <c r="P140" s="615"/>
      <c r="Q140" s="614" t="s">
        <v>516</v>
      </c>
      <c r="R140" s="615"/>
      <c r="S140" s="614" t="s">
        <v>105</v>
      </c>
      <c r="T140" s="620"/>
      <c r="U140" s="620"/>
      <c r="V140" s="615"/>
    </row>
    <row r="141" spans="1:22" ht="18" customHeight="1">
      <c r="A141" s="616"/>
      <c r="B141" s="621"/>
      <c r="C141" s="617"/>
      <c r="D141" s="616"/>
      <c r="E141" s="621"/>
      <c r="F141" s="617"/>
      <c r="G141" s="616"/>
      <c r="H141" s="617"/>
      <c r="I141" s="616"/>
      <c r="J141" s="617"/>
      <c r="K141" s="616"/>
      <c r="L141" s="617"/>
      <c r="M141" s="616"/>
      <c r="N141" s="617"/>
      <c r="O141" s="616"/>
      <c r="P141" s="617"/>
      <c r="Q141" s="616"/>
      <c r="R141" s="617"/>
      <c r="S141" s="616"/>
      <c r="T141" s="621"/>
      <c r="U141" s="621"/>
      <c r="V141" s="617"/>
    </row>
    <row r="142" spans="1:22" ht="18" customHeight="1">
      <c r="A142" s="616"/>
      <c r="B142" s="621"/>
      <c r="C142" s="617"/>
      <c r="D142" s="616"/>
      <c r="E142" s="621"/>
      <c r="F142" s="617"/>
      <c r="G142" s="616"/>
      <c r="H142" s="617"/>
      <c r="I142" s="616"/>
      <c r="J142" s="617"/>
      <c r="K142" s="616"/>
      <c r="L142" s="617"/>
      <c r="M142" s="616"/>
      <c r="N142" s="617"/>
      <c r="O142" s="616"/>
      <c r="P142" s="617"/>
      <c r="Q142" s="616"/>
      <c r="R142" s="617"/>
      <c r="S142" s="616"/>
      <c r="T142" s="621"/>
      <c r="U142" s="621"/>
      <c r="V142" s="617"/>
    </row>
    <row r="143" spans="1:22" ht="18" customHeight="1">
      <c r="A143" s="618"/>
      <c r="B143" s="622"/>
      <c r="C143" s="619"/>
      <c r="D143" s="618"/>
      <c r="E143" s="622"/>
      <c r="F143" s="619"/>
      <c r="G143" s="618"/>
      <c r="H143" s="619"/>
      <c r="I143" s="618"/>
      <c r="J143" s="619"/>
      <c r="K143" s="618"/>
      <c r="L143" s="619"/>
      <c r="M143" s="618"/>
      <c r="N143" s="619"/>
      <c r="O143" s="618"/>
      <c r="P143" s="619"/>
      <c r="Q143" s="618"/>
      <c r="R143" s="619"/>
      <c r="S143" s="618"/>
      <c r="T143" s="622"/>
      <c r="U143" s="622"/>
      <c r="V143" s="619"/>
    </row>
    <row r="144" spans="1:22" ht="18" customHeight="1">
      <c r="A144" s="623" t="str">
        <f>B95</f>
        <v>T1</v>
      </c>
      <c r="B144" s="623" t="str">
        <f>D95</f>
        <v>Core6</v>
      </c>
      <c r="C144" s="623"/>
      <c r="D144" s="613">
        <f>H98</f>
        <v>2000</v>
      </c>
      <c r="E144" s="613"/>
      <c r="F144" s="624">
        <f>O98</f>
        <v>1</v>
      </c>
      <c r="G144" s="627">
        <f>'CT-VT Burdens'!S19</f>
        <v>80</v>
      </c>
      <c r="H144" s="630">
        <f>'CT-VT Burdens'!S10</f>
        <v>2.5</v>
      </c>
      <c r="I144" s="783" t="str">
        <f>L99</f>
        <v>0.2S</v>
      </c>
      <c r="J144" s="783"/>
      <c r="K144" s="612">
        <f>H12</f>
        <v>5</v>
      </c>
      <c r="L144" s="612"/>
      <c r="M144" s="612">
        <f>H14</f>
        <v>10</v>
      </c>
      <c r="N144" s="612"/>
      <c r="O144" s="613" t="s">
        <v>7</v>
      </c>
      <c r="P144" s="613"/>
      <c r="Q144" s="629" t="str">
        <f>CONCATENATE(T7," ",T8," ",T9," ",T10)</f>
        <v xml:space="preserve">XC-RACK   </v>
      </c>
      <c r="R144" s="629"/>
      <c r="S144" s="628" t="str">
        <f>J47</f>
        <v>Not suitable</v>
      </c>
      <c r="T144" s="628"/>
      <c r="U144" s="628"/>
      <c r="V144" s="628"/>
    </row>
    <row r="145" spans="1:22" ht="18" customHeight="1">
      <c r="A145" s="623"/>
      <c r="B145" s="623"/>
      <c r="C145" s="623"/>
      <c r="D145" s="613" t="str">
        <f>J98</f>
        <v>-</v>
      </c>
      <c r="E145" s="613"/>
      <c r="F145" s="625"/>
      <c r="G145" s="627"/>
      <c r="H145" s="630"/>
      <c r="I145" s="783"/>
      <c r="J145" s="783"/>
      <c r="K145" s="785" t="s">
        <v>7</v>
      </c>
      <c r="L145" s="612"/>
      <c r="M145" s="785" t="s">
        <v>7</v>
      </c>
      <c r="N145" s="612"/>
      <c r="O145" s="613" t="s">
        <v>7</v>
      </c>
      <c r="P145" s="613"/>
      <c r="Q145" s="629"/>
      <c r="R145" s="629"/>
      <c r="S145" s="961" t="s">
        <v>7</v>
      </c>
      <c r="T145" s="628"/>
      <c r="U145" s="628"/>
      <c r="V145" s="628"/>
    </row>
    <row r="146" spans="1:22" ht="18" customHeight="1">
      <c r="A146" s="623"/>
      <c r="B146" s="623"/>
      <c r="C146" s="623"/>
      <c r="D146" s="613" t="s">
        <v>7</v>
      </c>
      <c r="E146" s="613"/>
      <c r="F146" s="626"/>
      <c r="G146" s="627"/>
      <c r="H146" s="630"/>
      <c r="I146" s="783"/>
      <c r="J146" s="783"/>
      <c r="K146" s="612" t="s">
        <v>7</v>
      </c>
      <c r="L146" s="612"/>
      <c r="M146" s="612" t="s">
        <v>7</v>
      </c>
      <c r="N146" s="612"/>
      <c r="O146" s="613" t="s">
        <v>7</v>
      </c>
      <c r="P146" s="613"/>
      <c r="Q146" s="629"/>
      <c r="R146" s="629"/>
      <c r="S146" s="628" t="s">
        <v>7</v>
      </c>
      <c r="T146" s="628"/>
      <c r="U146" s="628"/>
      <c r="V146" s="628"/>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J125:K125"/>
    <mergeCell ref="G125:H125"/>
    <mergeCell ref="J121:K121"/>
    <mergeCell ref="A140:C143"/>
    <mergeCell ref="D140:F143"/>
    <mergeCell ref="G140:H143"/>
    <mergeCell ref="I140:J143"/>
    <mergeCell ref="K140:L143"/>
    <mergeCell ref="Q140:R143"/>
    <mergeCell ref="J116:K116"/>
    <mergeCell ref="M116:N116"/>
    <mergeCell ref="J117:K117"/>
    <mergeCell ref="J128:K128"/>
    <mergeCell ref="Q144:R146"/>
    <mergeCell ref="S144:V144"/>
    <mergeCell ref="M140:N143"/>
    <mergeCell ref="O140:P143"/>
    <mergeCell ref="H98:I98"/>
    <mergeCell ref="J98:K98"/>
    <mergeCell ref="L98:M98"/>
    <mergeCell ref="L99:M99"/>
    <mergeCell ref="L100:M100"/>
    <mergeCell ref="L101:M101"/>
    <mergeCell ref="L102:M102"/>
    <mergeCell ref="J106:K106"/>
    <mergeCell ref="J107:K107"/>
    <mergeCell ref="J108:K108"/>
    <mergeCell ref="J109:K109"/>
    <mergeCell ref="J110:K110"/>
    <mergeCell ref="P110:Q110"/>
    <mergeCell ref="J111:K111"/>
    <mergeCell ref="S113:T113"/>
    <mergeCell ref="G128:H128"/>
    <mergeCell ref="B95:C95"/>
    <mergeCell ref="D95:E96"/>
    <mergeCell ref="H95:M95"/>
    <mergeCell ref="B96:C96"/>
    <mergeCell ref="H97:I97"/>
    <mergeCell ref="J97:K97"/>
    <mergeCell ref="L97:M97"/>
    <mergeCell ref="J78:K78"/>
    <mergeCell ref="M78:N78"/>
    <mergeCell ref="J82:K82"/>
    <mergeCell ref="G86:H86"/>
    <mergeCell ref="J86:K86"/>
    <mergeCell ref="G89:H89"/>
    <mergeCell ref="J89:K89"/>
    <mergeCell ref="P69:Q69"/>
    <mergeCell ref="P70:Q70"/>
    <mergeCell ref="P71:Q71"/>
    <mergeCell ref="P72:Q72"/>
    <mergeCell ref="P73:Q73"/>
    <mergeCell ref="S75:T75"/>
    <mergeCell ref="J63:K63"/>
    <mergeCell ref="J64:K64"/>
    <mergeCell ref="J65:K65"/>
    <mergeCell ref="P65:Q65"/>
    <mergeCell ref="J66:K66"/>
    <mergeCell ref="P68:Q68"/>
    <mergeCell ref="J54:K54"/>
    <mergeCell ref="J55:K55"/>
    <mergeCell ref="J56:K56"/>
    <mergeCell ref="J57:K57"/>
    <mergeCell ref="J61:K61"/>
    <mergeCell ref="J62:K62"/>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B7:C7"/>
    <mergeCell ref="D7:E7"/>
    <mergeCell ref="H12:I12"/>
    <mergeCell ref="H13:I13"/>
    <mergeCell ref="H14:I14"/>
    <mergeCell ref="J18:K18"/>
    <mergeCell ref="J19:K19"/>
    <mergeCell ref="J20:K20"/>
    <mergeCell ref="H10:I10"/>
    <mergeCell ref="J10:K10"/>
    <mergeCell ref="T11:U11"/>
    <mergeCell ref="H7:M7"/>
    <mergeCell ref="T7:U7"/>
    <mergeCell ref="T8:U8"/>
    <mergeCell ref="H9:I9"/>
    <mergeCell ref="J9:K9"/>
    <mergeCell ref="L9:M9"/>
    <mergeCell ref="T9:U9"/>
    <mergeCell ref="L10:M10"/>
    <mergeCell ref="T10:U10"/>
    <mergeCell ref="H11:I11"/>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47:J47 I90:J92 I129:J135">
    <cfRule type="cellIs" dxfId="15" priority="2" stopIfTrue="1" operator="equal">
      <formula>"Not suitable"</formula>
    </cfRule>
  </conditionalFormatting>
  <conditionalFormatting sqref="S43 S46 S86 S89 S125 S128">
    <cfRule type="cellIs" dxfId="14" priority="1" stopIfTrue="1" operator="equal">
      <formula>"Not satisfied"</formula>
    </cfRule>
  </conditionalFormatting>
  <dataValidations count="3">
    <dataValidation type="list" allowBlank="1" showInputMessage="1" showErrorMessage="1" sqref="WVL983043:WVM983044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D8:E8" xr:uid="{0FC953F2-7D11-42AD-98C9-E29CAC8E385E}">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C2B732E6-F4DB-4B83-AB95-CAB5428EDAA2}">
      <formula1>"Core1,Core2,Core3"</formula1>
    </dataValidation>
    <dataValidation type="list" allowBlank="1" showInputMessage="1" showErrorMessage="1" sqref="D7:E7" xr:uid="{C3F83E0E-E83D-44F0-9A92-F5B118156693}">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1" manualBreakCount="1">
    <brk id="90" max="21" man="1"/>
  </rowBreak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9DB2C-D0AB-4084-81B0-28C51A04ED33}">
  <sheetPr>
    <tabColor rgb="FFFFFF00"/>
  </sheetPr>
  <dimension ref="A1:AE178"/>
  <sheetViews>
    <sheetView showZeros="0" view="pageBreakPreview" topLeftCell="A91" zoomScaleNormal="100" zoomScaleSheetLayoutView="100" workbookViewId="0">
      <selection activeCell="K13" sqref="K13"/>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Title!H2</f>
        <v>ADEQUACY CHECK</v>
      </c>
      <c r="I2" s="730"/>
      <c r="J2" s="730"/>
      <c r="K2" s="730"/>
      <c r="L2" s="730"/>
      <c r="M2" s="730"/>
      <c r="N2" s="731"/>
      <c r="O2" s="702" t="str">
        <f>Title!O2</f>
        <v>Date</v>
      </c>
      <c r="P2" s="703"/>
      <c r="Q2" s="704"/>
      <c r="R2" s="732">
        <f>Title!R2</f>
        <v>46106</v>
      </c>
      <c r="S2" s="733"/>
      <c r="T2" s="733"/>
      <c r="U2" s="733"/>
      <c r="V2" s="734"/>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14"/>
      <c r="X4" s="14"/>
    </row>
    <row r="5" spans="1:24" ht="18" customHeight="1">
      <c r="A5" s="708" t="str">
        <f>Title!A5</f>
        <v>Prep. By</v>
      </c>
      <c r="B5" s="709"/>
      <c r="C5" s="25" t="str">
        <f>Title!C5</f>
        <v>AP</v>
      </c>
      <c r="D5" s="708" t="str">
        <f>Title!D5</f>
        <v>Checked By</v>
      </c>
      <c r="E5" s="710"/>
      <c r="F5" s="709"/>
      <c r="G5" s="25" t="str">
        <f>Title!G5</f>
        <v>RB</v>
      </c>
      <c r="H5" s="711" t="s">
        <v>935</v>
      </c>
      <c r="I5" s="712"/>
      <c r="J5" s="712"/>
      <c r="K5" s="712"/>
      <c r="L5" s="712"/>
      <c r="M5" s="712"/>
      <c r="N5" s="713"/>
      <c r="O5" s="714" t="str">
        <f>Title!O5</f>
        <v>Contractor</v>
      </c>
      <c r="P5" s="715"/>
      <c r="Q5" s="716"/>
      <c r="R5" s="705" t="str">
        <f>Title!R5</f>
        <v>HITACHI</v>
      </c>
      <c r="S5" s="706"/>
      <c r="T5" s="706"/>
      <c r="U5" s="706"/>
      <c r="V5" s="707"/>
      <c r="W5" s="14"/>
      <c r="X5" s="14"/>
    </row>
    <row r="6" spans="1:24" ht="18" customHeight="1">
      <c r="A6" s="196"/>
      <c r="V6" s="197"/>
    </row>
    <row r="7" spans="1:24" ht="18" customHeight="1">
      <c r="A7" s="196"/>
      <c r="B7" s="656" t="s">
        <v>120</v>
      </c>
      <c r="C7" s="657"/>
      <c r="D7" s="656" t="s">
        <v>944</v>
      </c>
      <c r="E7" s="657"/>
      <c r="F7" s="267"/>
      <c r="H7" s="639" t="s">
        <v>948</v>
      </c>
      <c r="I7" s="639"/>
      <c r="J7" s="639"/>
      <c r="K7" s="639"/>
      <c r="L7" s="639"/>
      <c r="M7" s="639"/>
      <c r="P7" s="198"/>
      <c r="R7" s="267"/>
      <c r="S7" s="199" t="s">
        <v>398</v>
      </c>
      <c r="T7" s="1051" t="s">
        <v>255</v>
      </c>
      <c r="U7" s="1052"/>
      <c r="V7" s="197"/>
    </row>
    <row r="8" spans="1:24" ht="18" customHeight="1">
      <c r="A8" s="196"/>
      <c r="B8" s="571"/>
      <c r="C8" s="571"/>
      <c r="D8" s="580"/>
      <c r="E8" s="580"/>
      <c r="F8" s="267"/>
      <c r="T8" s="1051"/>
      <c r="U8" s="1052"/>
      <c r="V8" s="197"/>
    </row>
    <row r="9" spans="1:24" ht="18" customHeight="1">
      <c r="A9" s="196"/>
      <c r="H9" s="662" t="s">
        <v>401</v>
      </c>
      <c r="I9" s="662"/>
      <c r="J9" s="701" t="s">
        <v>402</v>
      </c>
      <c r="K9" s="701"/>
      <c r="L9" s="701" t="s">
        <v>403</v>
      </c>
      <c r="M9" s="701"/>
      <c r="T9" s="1051"/>
      <c r="U9" s="1052"/>
      <c r="V9" s="197"/>
    </row>
    <row r="10" spans="1:24" ht="18" customHeight="1">
      <c r="A10" s="196"/>
      <c r="B10" s="47" t="s">
        <v>404</v>
      </c>
      <c r="H10" s="692">
        <v>2000</v>
      </c>
      <c r="I10" s="693"/>
      <c r="J10" s="656" t="s">
        <v>7</v>
      </c>
      <c r="K10" s="657"/>
      <c r="L10" s="656" t="s">
        <v>7</v>
      </c>
      <c r="M10" s="657"/>
      <c r="N10" s="203" t="s">
        <v>353</v>
      </c>
      <c r="O10" s="125">
        <v>1</v>
      </c>
      <c r="P10" s="27" t="s">
        <v>9</v>
      </c>
      <c r="T10" s="1051"/>
      <c r="U10" s="1052"/>
      <c r="V10" s="197"/>
    </row>
    <row r="11" spans="1:24" ht="18" customHeight="1">
      <c r="A11" s="196"/>
      <c r="B11" s="47" t="s">
        <v>405</v>
      </c>
      <c r="H11" s="656" t="s">
        <v>938</v>
      </c>
      <c r="I11" s="657"/>
      <c r="T11" s="1053"/>
      <c r="U11" s="1053"/>
      <c r="V11" s="197"/>
    </row>
    <row r="12" spans="1:24" ht="18" customHeight="1">
      <c r="A12" s="196"/>
      <c r="B12" s="47" t="s">
        <v>407</v>
      </c>
      <c r="G12" s="120" t="s">
        <v>508</v>
      </c>
      <c r="H12" s="656">
        <v>5</v>
      </c>
      <c r="I12" s="657"/>
      <c r="J12" s="204" t="s">
        <v>344</v>
      </c>
      <c r="T12" s="307"/>
      <c r="U12" s="18"/>
      <c r="V12" s="197"/>
    </row>
    <row r="13" spans="1:24" ht="18" customHeight="1">
      <c r="A13" s="196"/>
      <c r="B13" s="30" t="s">
        <v>579</v>
      </c>
      <c r="G13" s="120" t="s">
        <v>580</v>
      </c>
      <c r="H13" s="656">
        <v>10</v>
      </c>
      <c r="I13" s="657"/>
      <c r="T13" s="307"/>
      <c r="U13" s="18"/>
      <c r="V13" s="197"/>
      <c r="W13" s="30" t="str">
        <f>J47</f>
        <v>Not suitable</v>
      </c>
    </row>
    <row r="14" spans="1:24" ht="18" customHeight="1">
      <c r="A14" s="196"/>
      <c r="B14" s="47" t="s">
        <v>573</v>
      </c>
      <c r="G14" s="120" t="s">
        <v>504</v>
      </c>
      <c r="H14" s="656">
        <v>10</v>
      </c>
      <c r="I14" s="657"/>
      <c r="J14" s="30"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686"/>
      <c r="K19" s="687"/>
      <c r="L19" s="210" t="s">
        <v>168</v>
      </c>
      <c r="P19" s="256"/>
      <c r="V19" s="197"/>
    </row>
    <row r="20" spans="1:31" ht="18" customHeight="1">
      <c r="A20" s="196"/>
      <c r="B20" s="96" t="s">
        <v>416</v>
      </c>
      <c r="C20" s="14"/>
      <c r="D20" s="47">
        <f>T9</f>
        <v>0</v>
      </c>
      <c r="E20" s="14"/>
      <c r="G20" s="211"/>
      <c r="H20" s="27"/>
      <c r="I20" s="101" t="s">
        <v>138</v>
      </c>
      <c r="J20" s="688"/>
      <c r="K20" s="689"/>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688"/>
      <c r="K21" s="689"/>
      <c r="L21" s="214" t="s">
        <v>168</v>
      </c>
      <c r="O21" s="27" t="s">
        <v>138</v>
      </c>
      <c r="P21" s="27">
        <f>O10</f>
        <v>1</v>
      </c>
      <c r="Q21" s="27" t="s">
        <v>326</v>
      </c>
      <c r="R21" s="27">
        <f>O10</f>
        <v>1</v>
      </c>
      <c r="S21" s="27" t="s">
        <v>326</v>
      </c>
      <c r="T21" s="27">
        <f>H12</f>
        <v>5</v>
      </c>
      <c r="V21" s="197"/>
    </row>
    <row r="22" spans="1:31" ht="18" customHeight="1">
      <c r="A22" s="196"/>
      <c r="B22" s="196" t="s">
        <v>423</v>
      </c>
      <c r="C22" s="14"/>
      <c r="D22" s="47"/>
      <c r="E22" s="14"/>
      <c r="H22" s="27"/>
      <c r="I22" s="101" t="s">
        <v>138</v>
      </c>
      <c r="J22" s="690">
        <f>'CT-VT Burdens'!S22</f>
        <v>1.44186744</v>
      </c>
      <c r="K22" s="691"/>
      <c r="L22" s="309" t="s">
        <v>168</v>
      </c>
      <c r="O22" s="27" t="s">
        <v>138</v>
      </c>
      <c r="P22" s="637">
        <f>P21*R21*T21</f>
        <v>5</v>
      </c>
      <c r="Q22" s="639"/>
      <c r="R22" s="27" t="s">
        <v>168</v>
      </c>
      <c r="S22" s="27"/>
      <c r="T22" s="27"/>
      <c r="V22" s="197"/>
    </row>
    <row r="23" spans="1:31" ht="18" customHeight="1">
      <c r="A23" s="196"/>
      <c r="B23" s="1" t="s">
        <v>424</v>
      </c>
      <c r="C23" s="2"/>
      <c r="D23" s="2"/>
      <c r="E23" s="2"/>
      <c r="F23" s="208"/>
      <c r="G23" s="208"/>
      <c r="H23" s="236" t="s">
        <v>523</v>
      </c>
      <c r="I23" s="195" t="s">
        <v>138</v>
      </c>
      <c r="J23" s="648">
        <f>SUM(J18:K22)</f>
        <v>1.44986744</v>
      </c>
      <c r="K23" s="649"/>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86">
        <f>H10</f>
        <v>2000</v>
      </c>
      <c r="Q25" s="986"/>
      <c r="R25" s="204" t="s">
        <v>9</v>
      </c>
      <c r="V25" s="197"/>
    </row>
    <row r="26" spans="1:31" ht="18" customHeight="1">
      <c r="A26" s="196"/>
      <c r="B26" s="47" t="s">
        <v>558</v>
      </c>
      <c r="C26" s="47"/>
      <c r="D26" s="47"/>
      <c r="E26" s="47"/>
      <c r="H26" s="27"/>
      <c r="I26" s="28"/>
      <c r="J26" s="211"/>
      <c r="L26" s="47"/>
      <c r="N26" s="120" t="s">
        <v>583</v>
      </c>
      <c r="O26" s="28" t="s">
        <v>138</v>
      </c>
      <c r="P26" s="986">
        <f>H12</f>
        <v>5</v>
      </c>
      <c r="Q26" s="986"/>
      <c r="R26" s="316" t="s">
        <v>168</v>
      </c>
      <c r="V26" s="197"/>
    </row>
    <row r="27" spans="1:31" ht="18" customHeight="1">
      <c r="A27" s="196"/>
      <c r="B27" s="47" t="s">
        <v>559</v>
      </c>
      <c r="C27" s="47"/>
      <c r="D27" s="47"/>
      <c r="E27" s="47"/>
      <c r="H27" s="27"/>
      <c r="I27" s="28"/>
      <c r="J27" s="211"/>
      <c r="L27" s="47"/>
      <c r="N27" s="120" t="s">
        <v>584</v>
      </c>
      <c r="O27" s="28" t="s">
        <v>138</v>
      </c>
      <c r="P27" s="960">
        <f>J23</f>
        <v>1.44986744</v>
      </c>
      <c r="Q27" s="986"/>
      <c r="R27" s="316" t="s">
        <v>168</v>
      </c>
      <c r="V27" s="197"/>
    </row>
    <row r="28" spans="1:31" ht="18" customHeight="1">
      <c r="A28" s="196"/>
      <c r="B28" s="47" t="s">
        <v>560</v>
      </c>
      <c r="C28" s="47"/>
      <c r="D28" s="47"/>
      <c r="E28" s="47"/>
      <c r="H28" s="27"/>
      <c r="I28" s="28"/>
      <c r="J28" s="211"/>
      <c r="L28" s="47"/>
      <c r="N28" s="120" t="s">
        <v>522</v>
      </c>
      <c r="O28" s="28" t="s">
        <v>138</v>
      </c>
      <c r="P28" s="986">
        <f>O10</f>
        <v>1</v>
      </c>
      <c r="Q28" s="986"/>
      <c r="R28" s="204" t="s">
        <v>9</v>
      </c>
      <c r="V28" s="197"/>
    </row>
    <row r="29" spans="1:31" ht="18" customHeight="1">
      <c r="A29" s="196"/>
      <c r="B29" s="47" t="s">
        <v>585</v>
      </c>
      <c r="C29" s="47"/>
      <c r="D29" s="47"/>
      <c r="E29" s="47"/>
      <c r="H29" s="27"/>
      <c r="I29" s="28"/>
      <c r="J29" s="211"/>
      <c r="L29" s="47"/>
      <c r="N29" s="256" t="s">
        <v>586</v>
      </c>
      <c r="O29" s="28" t="s">
        <v>138</v>
      </c>
      <c r="P29" s="986">
        <f>H13</f>
        <v>10</v>
      </c>
      <c r="Q29" s="986"/>
      <c r="R29" s="204"/>
      <c r="V29" s="197"/>
    </row>
    <row r="30" spans="1:31" ht="18" customHeight="1">
      <c r="A30" s="196"/>
      <c r="B30" s="308" t="s">
        <v>587</v>
      </c>
      <c r="C30" s="47"/>
      <c r="D30" s="47"/>
      <c r="E30" s="47"/>
      <c r="H30" s="27"/>
      <c r="I30" s="28"/>
      <c r="J30" s="211"/>
      <c r="L30" s="47"/>
      <c r="N30" s="256"/>
      <c r="O30" s="28" t="s">
        <v>138</v>
      </c>
      <c r="P30" s="960">
        <v>20</v>
      </c>
      <c r="Q30" s="960"/>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656">
        <v>20</v>
      </c>
      <c r="T32" s="657"/>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637">
        <f>J23</f>
        <v>1.44986744</v>
      </c>
      <c r="K35" s="639"/>
      <c r="L35" s="28"/>
      <c r="M35" s="637"/>
      <c r="N35" s="639"/>
      <c r="V35" s="197"/>
    </row>
    <row r="36" spans="1:22" ht="18" customHeight="1">
      <c r="A36" s="196"/>
      <c r="I36" s="28"/>
      <c r="J36" s="637"/>
      <c r="K36" s="639"/>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548">
        <f>P29</f>
        <v>10</v>
      </c>
      <c r="K38" s="257" t="s">
        <v>565</v>
      </c>
      <c r="L38" s="313">
        <f>P22</f>
        <v>5</v>
      </c>
      <c r="M38" s="257" t="s">
        <v>358</v>
      </c>
      <c r="N38" s="254">
        <f>H14</f>
        <v>10</v>
      </c>
      <c r="O38" s="257" t="s">
        <v>550</v>
      </c>
      <c r="P38" s="313">
        <f>P22</f>
        <v>5</v>
      </c>
      <c r="Q38" s="257" t="s">
        <v>358</v>
      </c>
      <c r="R38" s="313">
        <f>J23</f>
        <v>1.44986744</v>
      </c>
      <c r="S38" s="308" t="s">
        <v>361</v>
      </c>
      <c r="V38" s="197"/>
    </row>
    <row r="39" spans="1:22" ht="18" customHeight="1">
      <c r="A39" s="196"/>
      <c r="I39" s="27" t="s">
        <v>138</v>
      </c>
      <c r="J39" s="640">
        <f>J38*((L38+N38)/(P38+R38))</f>
        <v>23.256291915357565</v>
      </c>
      <c r="K39" s="640"/>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639">
        <f>H14</f>
        <v>10</v>
      </c>
      <c r="H43" s="639"/>
      <c r="I43" s="27" t="str">
        <f>IF(G43&gt;J43,"&gt;","&lt;")</f>
        <v>&gt;</v>
      </c>
      <c r="J43" s="637">
        <f>J35</f>
        <v>1.44986744</v>
      </c>
      <c r="K43" s="639"/>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637">
        <f>P30</f>
        <v>20</v>
      </c>
      <c r="H46" s="637"/>
      <c r="I46" s="27" t="str">
        <f>IF(G46&gt;J46,"&gt;","&lt;")</f>
        <v>&lt;</v>
      </c>
      <c r="J46" s="637">
        <f>J39</f>
        <v>23.256291915357565</v>
      </c>
      <c r="K46" s="637"/>
      <c r="R46" s="14"/>
      <c r="S46" s="198" t="str">
        <f>IF(G46&gt;J46,"Satisfied","Not satisfied")</f>
        <v>Not satisfied</v>
      </c>
      <c r="V46" s="197"/>
    </row>
    <row r="47" spans="1:22" ht="18" customHeight="1">
      <c r="A47" s="196"/>
      <c r="D47" s="47"/>
      <c r="H47" s="256" t="s">
        <v>489</v>
      </c>
      <c r="J47" s="18" t="str">
        <f>IF(AND(I43="&gt;",I46="&gt;")=TRUE,"Suitable Dimensions","Not suitable")</f>
        <v>Not suitable</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667" t="str">
        <f>B7</f>
        <v>T1</v>
      </c>
      <c r="C50" s="668"/>
      <c r="D50" s="680" t="str">
        <f>D7</f>
        <v>Core7</v>
      </c>
      <c r="E50" s="681"/>
      <c r="F50" s="267"/>
      <c r="H50" s="639" t="str">
        <f>H7</f>
        <v>(Metering)</v>
      </c>
      <c r="I50" s="639"/>
      <c r="J50" s="639"/>
      <c r="K50" s="639"/>
      <c r="L50" s="639"/>
      <c r="M50" s="639"/>
      <c r="P50" s="198"/>
      <c r="R50" s="267"/>
      <c r="S50" s="199" t="s">
        <v>398</v>
      </c>
      <c r="T50" s="1051" t="str">
        <f>T7</f>
        <v>XC-RACK</v>
      </c>
      <c r="U50" s="1052"/>
      <c r="V50" s="197"/>
    </row>
    <row r="51" spans="1:23" ht="18" hidden="1" customHeight="1">
      <c r="A51" s="196"/>
      <c r="B51" s="679">
        <f>B8</f>
        <v>0</v>
      </c>
      <c r="C51" s="679"/>
      <c r="D51" s="682"/>
      <c r="E51" s="683"/>
      <c r="F51" s="267"/>
      <c r="T51" s="1051"/>
      <c r="U51" s="1052"/>
      <c r="V51" s="197"/>
    </row>
    <row r="52" spans="1:23" ht="18" hidden="1" customHeight="1">
      <c r="A52" s="196"/>
      <c r="H52" s="661" t="s">
        <v>401</v>
      </c>
      <c r="I52" s="661"/>
      <c r="J52" s="662" t="s">
        <v>402</v>
      </c>
      <c r="K52" s="662"/>
      <c r="L52" s="701" t="s">
        <v>403</v>
      </c>
      <c r="M52" s="701"/>
      <c r="T52" s="1051"/>
      <c r="U52" s="1052"/>
      <c r="V52" s="197"/>
    </row>
    <row r="53" spans="1:23" ht="18" hidden="1" customHeight="1">
      <c r="A53" s="196"/>
      <c r="B53" s="47" t="s">
        <v>404</v>
      </c>
      <c r="H53" s="667">
        <f>H10</f>
        <v>2000</v>
      </c>
      <c r="I53" s="668"/>
      <c r="J53" s="1030" t="str">
        <f>J10</f>
        <v>-</v>
      </c>
      <c r="K53" s="1031"/>
      <c r="L53" s="667" t="str">
        <f>L10</f>
        <v>-</v>
      </c>
      <c r="M53" s="668"/>
      <c r="N53" s="203" t="s">
        <v>353</v>
      </c>
      <c r="O53" s="501">
        <f>O10</f>
        <v>1</v>
      </c>
      <c r="P53" s="27" t="s">
        <v>9</v>
      </c>
      <c r="T53" s="1051"/>
      <c r="U53" s="1052"/>
      <c r="V53" s="197"/>
    </row>
    <row r="54" spans="1:23" ht="18" hidden="1" customHeight="1">
      <c r="A54" s="196"/>
      <c r="B54" s="47" t="s">
        <v>405</v>
      </c>
      <c r="H54" s="14"/>
      <c r="I54" s="14"/>
      <c r="J54" s="667" t="str">
        <f>H11</f>
        <v>0.2S</v>
      </c>
      <c r="K54" s="668"/>
      <c r="L54" s="14"/>
      <c r="M54" s="14"/>
      <c r="V54" s="197"/>
    </row>
    <row r="55" spans="1:23" ht="18" hidden="1" customHeight="1">
      <c r="A55" s="196"/>
      <c r="B55" s="47" t="s">
        <v>407</v>
      </c>
      <c r="I55" s="120" t="s">
        <v>508</v>
      </c>
      <c r="J55" s="656">
        <v>5</v>
      </c>
      <c r="K55" s="657"/>
      <c r="L55" s="204" t="s">
        <v>344</v>
      </c>
      <c r="T55" s="307"/>
      <c r="U55" s="18"/>
      <c r="V55" s="197"/>
    </row>
    <row r="56" spans="1:23" ht="18" hidden="1" customHeight="1">
      <c r="A56" s="196"/>
      <c r="B56" s="30" t="s">
        <v>579</v>
      </c>
      <c r="I56" s="120" t="s">
        <v>580</v>
      </c>
      <c r="J56" s="656">
        <v>10</v>
      </c>
      <c r="K56" s="657"/>
      <c r="T56" s="307"/>
      <c r="U56" s="18"/>
      <c r="V56" s="197"/>
      <c r="W56" s="30" t="str">
        <f>J90</f>
        <v>Suitable Dimensions</v>
      </c>
    </row>
    <row r="57" spans="1:23" ht="18" hidden="1" customHeight="1">
      <c r="A57" s="196"/>
      <c r="B57" s="47" t="s">
        <v>573</v>
      </c>
      <c r="I57" s="120" t="s">
        <v>504</v>
      </c>
      <c r="J57" s="656">
        <v>5</v>
      </c>
      <c r="K57" s="657"/>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hidden="1" customHeight="1">
      <c r="A62" s="196"/>
      <c r="B62" s="96" t="s">
        <v>416</v>
      </c>
      <c r="D62" s="308">
        <f>D19</f>
        <v>0</v>
      </c>
      <c r="I62" s="189" t="s">
        <v>138</v>
      </c>
      <c r="J62" s="642">
        <f t="shared" si="0"/>
        <v>0</v>
      </c>
      <c r="K62" s="643"/>
      <c r="L62" s="210" t="s">
        <v>168</v>
      </c>
      <c r="P62" s="256"/>
      <c r="V62" s="197"/>
    </row>
    <row r="63" spans="1:23" ht="18" hidden="1" customHeight="1">
      <c r="A63" s="196"/>
      <c r="B63" s="96" t="s">
        <v>416</v>
      </c>
      <c r="C63" s="14"/>
      <c r="D63" s="47">
        <f>D20</f>
        <v>0</v>
      </c>
      <c r="E63" s="14"/>
      <c r="G63" s="211"/>
      <c r="H63" s="27"/>
      <c r="I63" s="101" t="s">
        <v>138</v>
      </c>
      <c r="J63" s="644">
        <f t="shared" si="0"/>
        <v>0</v>
      </c>
      <c r="K63" s="645"/>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644">
        <f t="shared" si="0"/>
        <v>0</v>
      </c>
      <c r="K64" s="645"/>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646">
        <f t="shared" si="0"/>
        <v>1.44186744</v>
      </c>
      <c r="K65" s="647"/>
      <c r="L65" s="309" t="s">
        <v>168</v>
      </c>
      <c r="O65" s="27" t="s">
        <v>138</v>
      </c>
      <c r="P65" s="637">
        <f>P64*R64*T64</f>
        <v>5</v>
      </c>
      <c r="Q65" s="639"/>
      <c r="R65" s="27" t="s">
        <v>168</v>
      </c>
      <c r="S65" s="27"/>
      <c r="T65" s="27"/>
      <c r="V65" s="197"/>
    </row>
    <row r="66" spans="1:22" ht="18" hidden="1" customHeight="1">
      <c r="A66" s="196"/>
      <c r="B66" s="1" t="s">
        <v>424</v>
      </c>
      <c r="C66" s="2"/>
      <c r="D66" s="2"/>
      <c r="E66" s="2"/>
      <c r="F66" s="208"/>
      <c r="G66" s="208"/>
      <c r="H66" s="236" t="s">
        <v>523</v>
      </c>
      <c r="I66" s="195" t="s">
        <v>138</v>
      </c>
      <c r="J66" s="648">
        <f t="shared" si="0"/>
        <v>1.44986744</v>
      </c>
      <c r="K66" s="649"/>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86" t="str">
        <f>J53</f>
        <v>-</v>
      </c>
      <c r="Q68" s="986"/>
      <c r="R68" s="204" t="s">
        <v>9</v>
      </c>
      <c r="V68" s="197"/>
    </row>
    <row r="69" spans="1:22" ht="18" hidden="1" customHeight="1">
      <c r="A69" s="196"/>
      <c r="B69" s="47" t="s">
        <v>558</v>
      </c>
      <c r="C69" s="47"/>
      <c r="D69" s="47"/>
      <c r="E69" s="47"/>
      <c r="H69" s="27"/>
      <c r="I69" s="28"/>
      <c r="J69" s="211"/>
      <c r="L69" s="47"/>
      <c r="N69" s="120" t="s">
        <v>583</v>
      </c>
      <c r="O69" s="28" t="s">
        <v>138</v>
      </c>
      <c r="P69" s="986">
        <f>J55</f>
        <v>5</v>
      </c>
      <c r="Q69" s="986"/>
      <c r="R69" s="316" t="s">
        <v>168</v>
      </c>
      <c r="V69" s="197"/>
    </row>
    <row r="70" spans="1:22" ht="18" hidden="1" customHeight="1">
      <c r="A70" s="196"/>
      <c r="B70" s="47" t="s">
        <v>559</v>
      </c>
      <c r="C70" s="47"/>
      <c r="D70" s="47"/>
      <c r="E70" s="47"/>
      <c r="H70" s="27"/>
      <c r="I70" s="28"/>
      <c r="J70" s="211"/>
      <c r="L70" s="47"/>
      <c r="N70" s="120" t="s">
        <v>584</v>
      </c>
      <c r="O70" s="28" t="s">
        <v>138</v>
      </c>
      <c r="P70" s="960">
        <f>J66</f>
        <v>1.44986744</v>
      </c>
      <c r="Q70" s="986"/>
      <c r="R70" s="316" t="s">
        <v>168</v>
      </c>
      <c r="V70" s="197"/>
    </row>
    <row r="71" spans="1:22" ht="18" hidden="1" customHeight="1">
      <c r="A71" s="196"/>
      <c r="B71" s="47" t="s">
        <v>560</v>
      </c>
      <c r="C71" s="47"/>
      <c r="D71" s="47"/>
      <c r="E71" s="47"/>
      <c r="H71" s="27"/>
      <c r="I71" s="28"/>
      <c r="J71" s="211"/>
      <c r="L71" s="47"/>
      <c r="N71" s="120" t="s">
        <v>522</v>
      </c>
      <c r="O71" s="28" t="s">
        <v>138</v>
      </c>
      <c r="P71" s="986">
        <f>O53</f>
        <v>1</v>
      </c>
      <c r="Q71" s="986"/>
      <c r="R71" s="204" t="s">
        <v>9</v>
      </c>
      <c r="V71" s="197"/>
    </row>
    <row r="72" spans="1:22" ht="18" hidden="1" customHeight="1">
      <c r="A72" s="196"/>
      <c r="B72" s="47" t="s">
        <v>585</v>
      </c>
      <c r="C72" s="47"/>
      <c r="D72" s="47"/>
      <c r="E72" s="47"/>
      <c r="H72" s="27"/>
      <c r="I72" s="28"/>
      <c r="J72" s="211"/>
      <c r="L72" s="47"/>
      <c r="N72" s="120" t="s">
        <v>506</v>
      </c>
      <c r="O72" s="28" t="s">
        <v>138</v>
      </c>
      <c r="P72" s="986">
        <v>10</v>
      </c>
      <c r="Q72" s="986"/>
      <c r="R72" s="204"/>
      <c r="V72" s="197"/>
    </row>
    <row r="73" spans="1:22" ht="18" hidden="1" customHeight="1">
      <c r="A73" s="196"/>
      <c r="B73" s="47" t="s">
        <v>588</v>
      </c>
      <c r="C73" s="47"/>
      <c r="D73" s="47"/>
      <c r="E73" s="47"/>
      <c r="H73" s="27"/>
      <c r="I73" s="28"/>
      <c r="J73" s="211"/>
      <c r="L73" s="47"/>
      <c r="O73" s="28" t="s">
        <v>138</v>
      </c>
      <c r="P73" s="960">
        <v>20</v>
      </c>
      <c r="Q73" s="960"/>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705">
        <f>S32</f>
        <v>20</v>
      </c>
      <c r="T75" s="707"/>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637">
        <f>J66</f>
        <v>1.44986744</v>
      </c>
      <c r="K78" s="639"/>
      <c r="L78" s="28"/>
      <c r="M78" s="637"/>
      <c r="N78" s="639"/>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1.44986744</v>
      </c>
      <c r="S81" s="308" t="s">
        <v>361</v>
      </c>
      <c r="V81" s="197"/>
    </row>
    <row r="82" spans="1:22" ht="18" hidden="1" customHeight="1">
      <c r="A82" s="196"/>
      <c r="I82" s="27" t="s">
        <v>138</v>
      </c>
      <c r="J82" s="640">
        <f>J81*((L81+N81)/(P81+R81))</f>
        <v>15.504194610238377</v>
      </c>
      <c r="K82" s="640"/>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639">
        <f>J57</f>
        <v>5</v>
      </c>
      <c r="H86" s="639"/>
      <c r="I86" s="27" t="str">
        <f>IF(G86&gt;J86,"&gt;","&lt;")</f>
        <v>&gt;</v>
      </c>
      <c r="J86" s="637">
        <f>J78</f>
        <v>1.44986744</v>
      </c>
      <c r="K86" s="639"/>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637">
        <f>P73</f>
        <v>20</v>
      </c>
      <c r="H89" s="637"/>
      <c r="I89" s="27" t="str">
        <f>IF(G89&gt;J89,"&gt;","&lt;")</f>
        <v>&gt;</v>
      </c>
      <c r="J89" s="637">
        <f>J82</f>
        <v>15.504194610238377</v>
      </c>
      <c r="K89" s="637"/>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650" t="str">
        <f>B50</f>
        <v>T1</v>
      </c>
      <c r="C95" s="651"/>
      <c r="D95" s="663" t="str">
        <f>D50</f>
        <v>Core7</v>
      </c>
      <c r="E95" s="664"/>
      <c r="F95" s="267"/>
      <c r="H95" s="639" t="str">
        <f>H50</f>
        <v>(Metering)</v>
      </c>
      <c r="I95" s="639"/>
      <c r="J95" s="639"/>
      <c r="K95" s="639"/>
      <c r="L95" s="639"/>
      <c r="M95" s="639"/>
      <c r="P95" s="198"/>
      <c r="V95" s="197"/>
    </row>
    <row r="96" spans="1:22" ht="18" hidden="1" customHeight="1">
      <c r="A96" s="196"/>
      <c r="B96" s="660">
        <f>B51</f>
        <v>0</v>
      </c>
      <c r="C96" s="660"/>
      <c r="D96" s="665"/>
      <c r="E96" s="666"/>
      <c r="F96" s="267"/>
      <c r="V96" s="197"/>
    </row>
    <row r="97" spans="1:23" ht="18" hidden="1" customHeight="1">
      <c r="A97" s="196"/>
      <c r="H97" s="661" t="s">
        <v>401</v>
      </c>
      <c r="I97" s="661"/>
      <c r="J97" s="661" t="s">
        <v>402</v>
      </c>
      <c r="K97" s="661"/>
      <c r="L97" s="662" t="s">
        <v>403</v>
      </c>
      <c r="M97" s="662"/>
      <c r="V97" s="197"/>
    </row>
    <row r="98" spans="1:23" ht="18" hidden="1" customHeight="1">
      <c r="A98" s="196"/>
      <c r="B98" s="47" t="s">
        <v>404</v>
      </c>
      <c r="H98" s="650">
        <f>H53</f>
        <v>2000</v>
      </c>
      <c r="I98" s="651"/>
      <c r="J98" s="650" t="str">
        <f>J53</f>
        <v>-</v>
      </c>
      <c r="K98" s="651"/>
      <c r="L98" s="652" t="str">
        <f>L53</f>
        <v>-</v>
      </c>
      <c r="M98" s="653"/>
      <c r="N98" s="203" t="s">
        <v>353</v>
      </c>
      <c r="O98" s="268">
        <f>O53</f>
        <v>1</v>
      </c>
      <c r="P98" s="27" t="s">
        <v>9</v>
      </c>
      <c r="V98" s="197"/>
    </row>
    <row r="99" spans="1:23" ht="18" hidden="1" customHeight="1">
      <c r="A99" s="196"/>
      <c r="B99" s="47" t="s">
        <v>405</v>
      </c>
      <c r="H99" s="14"/>
      <c r="I99" s="14"/>
      <c r="K99" s="14"/>
      <c r="L99" s="650" t="str">
        <f>J54</f>
        <v>0.2S</v>
      </c>
      <c r="M99" s="651"/>
      <c r="N99" s="14"/>
      <c r="V99" s="197"/>
    </row>
    <row r="100" spans="1:23" ht="18" hidden="1" customHeight="1">
      <c r="A100" s="196"/>
      <c r="B100" s="47" t="s">
        <v>407</v>
      </c>
      <c r="I100" s="120"/>
      <c r="K100" s="120" t="s">
        <v>508</v>
      </c>
      <c r="L100" s="656" t="s">
        <v>7</v>
      </c>
      <c r="M100" s="657"/>
      <c r="N100" s="204" t="s">
        <v>344</v>
      </c>
      <c r="T100" s="307"/>
      <c r="U100" s="18"/>
      <c r="V100" s="197"/>
    </row>
    <row r="101" spans="1:23" ht="18" hidden="1" customHeight="1">
      <c r="A101" s="196"/>
      <c r="B101" s="30" t="s">
        <v>579</v>
      </c>
      <c r="I101" s="120"/>
      <c r="K101" s="120" t="s">
        <v>580</v>
      </c>
      <c r="L101" s="656" t="s">
        <v>7</v>
      </c>
      <c r="M101" s="657"/>
      <c r="T101" s="307"/>
      <c r="U101" s="18"/>
      <c r="V101" s="197"/>
      <c r="W101" s="30" t="e">
        <f>J130</f>
        <v>#VALUE!</v>
      </c>
    </row>
    <row r="102" spans="1:23" ht="18" hidden="1" customHeight="1">
      <c r="A102" s="196"/>
      <c r="B102" s="47" t="s">
        <v>573</v>
      </c>
      <c r="I102" s="120"/>
      <c r="K102" s="120" t="s">
        <v>504</v>
      </c>
      <c r="L102" s="656" t="s">
        <v>7</v>
      </c>
      <c r="M102" s="657"/>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648">
        <f t="shared" ref="J106:J111" si="1">J61</f>
        <v>8.0000000000000002E-3</v>
      </c>
      <c r="K106" s="649"/>
      <c r="L106" s="3" t="s">
        <v>168</v>
      </c>
      <c r="N106" s="209" t="s">
        <v>521</v>
      </c>
      <c r="V106" s="197"/>
    </row>
    <row r="107" spans="1:23" ht="18" hidden="1" customHeight="1">
      <c r="A107" s="196"/>
      <c r="B107" s="96" t="s">
        <v>416</v>
      </c>
      <c r="D107" s="308">
        <f>D62</f>
        <v>0</v>
      </c>
      <c r="I107" s="189" t="s">
        <v>138</v>
      </c>
      <c r="J107" s="642">
        <f t="shared" si="1"/>
        <v>0</v>
      </c>
      <c r="K107" s="643"/>
      <c r="L107" s="210" t="s">
        <v>168</v>
      </c>
      <c r="P107" s="256"/>
      <c r="V107" s="197"/>
    </row>
    <row r="108" spans="1:23" ht="18" hidden="1" customHeight="1">
      <c r="A108" s="196"/>
      <c r="B108" s="96" t="s">
        <v>416</v>
      </c>
      <c r="C108" s="14"/>
      <c r="D108" s="47">
        <f>D63</f>
        <v>0</v>
      </c>
      <c r="E108" s="14"/>
      <c r="G108" s="211"/>
      <c r="H108" s="27"/>
      <c r="I108" s="101" t="s">
        <v>138</v>
      </c>
      <c r="J108" s="644">
        <f t="shared" si="1"/>
        <v>0</v>
      </c>
      <c r="K108" s="645"/>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644">
        <f t="shared" si="1"/>
        <v>0</v>
      </c>
      <c r="K109" s="645"/>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646">
        <f t="shared" si="1"/>
        <v>1.44186744</v>
      </c>
      <c r="K110" s="647"/>
      <c r="L110" s="309" t="s">
        <v>168</v>
      </c>
      <c r="O110" s="27" t="s">
        <v>138</v>
      </c>
      <c r="P110" s="637" t="e">
        <f>P109*R109*T109</f>
        <v>#VALUE!</v>
      </c>
      <c r="Q110" s="639"/>
      <c r="R110" s="27" t="s">
        <v>168</v>
      </c>
      <c r="S110" s="27"/>
      <c r="T110" s="27"/>
      <c r="V110" s="197"/>
    </row>
    <row r="111" spans="1:23" ht="18" hidden="1" customHeight="1">
      <c r="A111" s="196"/>
      <c r="B111" s="1" t="s">
        <v>424</v>
      </c>
      <c r="C111" s="2"/>
      <c r="D111" s="2"/>
      <c r="E111" s="2"/>
      <c r="F111" s="208"/>
      <c r="G111" s="208"/>
      <c r="H111" s="236" t="s">
        <v>523</v>
      </c>
      <c r="I111" s="195" t="s">
        <v>138</v>
      </c>
      <c r="J111" s="897">
        <f t="shared" si="1"/>
        <v>1.44986744</v>
      </c>
      <c r="K111" s="649"/>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705">
        <f>S75</f>
        <v>20</v>
      </c>
      <c r="T113" s="707"/>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637" t="e">
        <f>P110</f>
        <v>#VALUE!</v>
      </c>
      <c r="K116" s="639"/>
      <c r="L116" s="28" t="s">
        <v>358</v>
      </c>
      <c r="M116" s="637">
        <f>J111</f>
        <v>1.44986744</v>
      </c>
      <c r="N116" s="639"/>
      <c r="V116" s="197"/>
    </row>
    <row r="117" spans="1:22" ht="18" hidden="1" customHeight="1">
      <c r="A117" s="196"/>
      <c r="I117" s="28" t="s">
        <v>138</v>
      </c>
      <c r="J117" s="637" t="e">
        <f>J116+M116</f>
        <v>#VALUE!</v>
      </c>
      <c r="K117" s="639"/>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1.44986744</v>
      </c>
      <c r="S120" s="308" t="s">
        <v>361</v>
      </c>
      <c r="V120" s="197"/>
    </row>
    <row r="121" spans="1:22" ht="18" hidden="1" customHeight="1">
      <c r="A121" s="196"/>
      <c r="I121" s="27" t="s">
        <v>138</v>
      </c>
      <c r="J121" s="640" t="e">
        <f>J120*((L120+N120)/(P120+R120))</f>
        <v>#VALUE!</v>
      </c>
      <c r="K121" s="640"/>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639" t="str">
        <f>L102</f>
        <v>-</v>
      </c>
      <c r="H125" s="639"/>
      <c r="I125" s="27" t="e">
        <f>IF(G125&gt;J125,"&gt;","&lt;")</f>
        <v>#VALUE!</v>
      </c>
      <c r="J125" s="637" t="e">
        <f>J117</f>
        <v>#VALUE!</v>
      </c>
      <c r="K125" s="639"/>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637">
        <f>S113</f>
        <v>20</v>
      </c>
      <c r="H128" s="637"/>
      <c r="I128" s="27" t="e">
        <f>IF(G128&gt;J128,"&gt;","&lt;")</f>
        <v>#VALUE!</v>
      </c>
      <c r="J128" s="637" t="e">
        <f>J121</f>
        <v>#VALUE!</v>
      </c>
      <c r="K128" s="637"/>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512</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614" t="s">
        <v>97</v>
      </c>
      <c r="B140" s="620"/>
      <c r="C140" s="615"/>
      <c r="D140" s="614" t="s">
        <v>98</v>
      </c>
      <c r="E140" s="620"/>
      <c r="F140" s="615"/>
      <c r="G140" s="614" t="s">
        <v>99</v>
      </c>
      <c r="H140" s="615"/>
      <c r="I140" s="614" t="s">
        <v>100</v>
      </c>
      <c r="J140" s="615"/>
      <c r="K140" s="614" t="s">
        <v>513</v>
      </c>
      <c r="L140" s="615"/>
      <c r="M140" s="614" t="s">
        <v>114</v>
      </c>
      <c r="N140" s="615"/>
      <c r="O140" s="614"/>
      <c r="P140" s="615"/>
      <c r="Q140" s="614" t="s">
        <v>516</v>
      </c>
      <c r="R140" s="615"/>
      <c r="S140" s="614" t="s">
        <v>105</v>
      </c>
      <c r="T140" s="620"/>
      <c r="U140" s="620"/>
      <c r="V140" s="615"/>
    </row>
    <row r="141" spans="1:22" ht="18" customHeight="1">
      <c r="A141" s="616"/>
      <c r="B141" s="621"/>
      <c r="C141" s="617"/>
      <c r="D141" s="616"/>
      <c r="E141" s="621"/>
      <c r="F141" s="617"/>
      <c r="G141" s="616"/>
      <c r="H141" s="617"/>
      <c r="I141" s="616"/>
      <c r="J141" s="617"/>
      <c r="K141" s="616"/>
      <c r="L141" s="617"/>
      <c r="M141" s="616"/>
      <c r="N141" s="617"/>
      <c r="O141" s="616"/>
      <c r="P141" s="617"/>
      <c r="Q141" s="616"/>
      <c r="R141" s="617"/>
      <c r="S141" s="616"/>
      <c r="T141" s="621"/>
      <c r="U141" s="621"/>
      <c r="V141" s="617"/>
    </row>
    <row r="142" spans="1:22" ht="18" customHeight="1">
      <c r="A142" s="616"/>
      <c r="B142" s="621"/>
      <c r="C142" s="617"/>
      <c r="D142" s="616"/>
      <c r="E142" s="621"/>
      <c r="F142" s="617"/>
      <c r="G142" s="616"/>
      <c r="H142" s="617"/>
      <c r="I142" s="616"/>
      <c r="J142" s="617"/>
      <c r="K142" s="616"/>
      <c r="L142" s="617"/>
      <c r="M142" s="616"/>
      <c r="N142" s="617"/>
      <c r="O142" s="616"/>
      <c r="P142" s="617"/>
      <c r="Q142" s="616"/>
      <c r="R142" s="617"/>
      <c r="S142" s="616"/>
      <c r="T142" s="621"/>
      <c r="U142" s="621"/>
      <c r="V142" s="617"/>
    </row>
    <row r="143" spans="1:22" ht="18" customHeight="1">
      <c r="A143" s="618"/>
      <c r="B143" s="622"/>
      <c r="C143" s="619"/>
      <c r="D143" s="618"/>
      <c r="E143" s="622"/>
      <c r="F143" s="619"/>
      <c r="G143" s="618"/>
      <c r="H143" s="619"/>
      <c r="I143" s="618"/>
      <c r="J143" s="619"/>
      <c r="K143" s="618"/>
      <c r="L143" s="619"/>
      <c r="M143" s="618"/>
      <c r="N143" s="619"/>
      <c r="O143" s="618"/>
      <c r="P143" s="619"/>
      <c r="Q143" s="618"/>
      <c r="R143" s="619"/>
      <c r="S143" s="618"/>
      <c r="T143" s="622"/>
      <c r="U143" s="622"/>
      <c r="V143" s="619"/>
    </row>
    <row r="144" spans="1:22" ht="18" customHeight="1">
      <c r="A144" s="623" t="str">
        <f>B95</f>
        <v>T1</v>
      </c>
      <c r="B144" s="623" t="str">
        <f>D95</f>
        <v>Core7</v>
      </c>
      <c r="C144" s="623"/>
      <c r="D144" s="613">
        <f>H98</f>
        <v>2000</v>
      </c>
      <c r="E144" s="613"/>
      <c r="F144" s="624">
        <f>O98</f>
        <v>1</v>
      </c>
      <c r="G144" s="627">
        <f>'CT-VT Burdens'!S19</f>
        <v>80</v>
      </c>
      <c r="H144" s="630">
        <f>'CT-VT Burdens'!S10</f>
        <v>2.5</v>
      </c>
      <c r="I144" s="783" t="str">
        <f>L99</f>
        <v>0.2S</v>
      </c>
      <c r="J144" s="783"/>
      <c r="K144" s="612">
        <f>H12</f>
        <v>5</v>
      </c>
      <c r="L144" s="612"/>
      <c r="M144" s="612">
        <f>H14</f>
        <v>10</v>
      </c>
      <c r="N144" s="612"/>
      <c r="O144" s="613" t="s">
        <v>7</v>
      </c>
      <c r="P144" s="613"/>
      <c r="Q144" s="629" t="str">
        <f>CONCATENATE(T7," ",T8," ",T9," ",T10)</f>
        <v xml:space="preserve">XC-RACK   </v>
      </c>
      <c r="R144" s="629"/>
      <c r="S144" s="628" t="str">
        <f>J47</f>
        <v>Not suitable</v>
      </c>
      <c r="T144" s="628"/>
      <c r="U144" s="628"/>
      <c r="V144" s="628"/>
    </row>
    <row r="145" spans="1:22" ht="18" customHeight="1">
      <c r="A145" s="623"/>
      <c r="B145" s="623"/>
      <c r="C145" s="623"/>
      <c r="D145" s="613" t="str">
        <f>J98</f>
        <v>-</v>
      </c>
      <c r="E145" s="613"/>
      <c r="F145" s="625"/>
      <c r="G145" s="627"/>
      <c r="H145" s="630"/>
      <c r="I145" s="783"/>
      <c r="J145" s="783"/>
      <c r="K145" s="785" t="s">
        <v>7</v>
      </c>
      <c r="L145" s="612"/>
      <c r="M145" s="785" t="s">
        <v>7</v>
      </c>
      <c r="N145" s="612"/>
      <c r="O145" s="613" t="s">
        <v>7</v>
      </c>
      <c r="P145" s="613"/>
      <c r="Q145" s="629"/>
      <c r="R145" s="629"/>
      <c r="S145" s="961" t="s">
        <v>7</v>
      </c>
      <c r="T145" s="628"/>
      <c r="U145" s="628"/>
      <c r="V145" s="628"/>
    </row>
    <row r="146" spans="1:22" ht="18" customHeight="1">
      <c r="A146" s="623"/>
      <c r="B146" s="623"/>
      <c r="C146" s="623"/>
      <c r="D146" s="613" t="s">
        <v>7</v>
      </c>
      <c r="E146" s="613"/>
      <c r="F146" s="626"/>
      <c r="G146" s="627"/>
      <c r="H146" s="630"/>
      <c r="I146" s="783"/>
      <c r="J146" s="783"/>
      <c r="K146" s="612" t="s">
        <v>7</v>
      </c>
      <c r="L146" s="612"/>
      <c r="M146" s="612" t="s">
        <v>7</v>
      </c>
      <c r="N146" s="612"/>
      <c r="O146" s="613" t="s">
        <v>7</v>
      </c>
      <c r="P146" s="613"/>
      <c r="Q146" s="629"/>
      <c r="R146" s="629"/>
      <c r="S146" s="628" t="s">
        <v>7</v>
      </c>
      <c r="T146" s="628"/>
      <c r="U146" s="628"/>
      <c r="V146" s="628"/>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J121:K121"/>
    <mergeCell ref="G125:H125"/>
    <mergeCell ref="J125:K125"/>
    <mergeCell ref="G128:H128"/>
    <mergeCell ref="J128:K128"/>
    <mergeCell ref="A140:C143"/>
    <mergeCell ref="D140:F143"/>
    <mergeCell ref="G140:H143"/>
    <mergeCell ref="I140:J143"/>
    <mergeCell ref="K140:L143"/>
    <mergeCell ref="P110:Q110"/>
    <mergeCell ref="J111:K111"/>
    <mergeCell ref="S113:T113"/>
    <mergeCell ref="J116:K116"/>
    <mergeCell ref="M116:N116"/>
    <mergeCell ref="J117:K117"/>
    <mergeCell ref="L102:M102"/>
    <mergeCell ref="J106:K106"/>
    <mergeCell ref="J107:K107"/>
    <mergeCell ref="J108:K108"/>
    <mergeCell ref="J109:K109"/>
    <mergeCell ref="J110:K110"/>
    <mergeCell ref="H98:I98"/>
    <mergeCell ref="J98:K98"/>
    <mergeCell ref="L98:M98"/>
    <mergeCell ref="L99:M99"/>
    <mergeCell ref="L100:M100"/>
    <mergeCell ref="L101:M101"/>
    <mergeCell ref="B95:C95"/>
    <mergeCell ref="D95:E96"/>
    <mergeCell ref="H95:M95"/>
    <mergeCell ref="B96:C96"/>
    <mergeCell ref="H97:I97"/>
    <mergeCell ref="J97:K97"/>
    <mergeCell ref="L97:M97"/>
    <mergeCell ref="J78:K78"/>
    <mergeCell ref="M78:N78"/>
    <mergeCell ref="J82:K82"/>
    <mergeCell ref="G86:H86"/>
    <mergeCell ref="J86:K86"/>
    <mergeCell ref="G89:H89"/>
    <mergeCell ref="J89:K89"/>
    <mergeCell ref="P69:Q69"/>
    <mergeCell ref="P70:Q70"/>
    <mergeCell ref="P71:Q71"/>
    <mergeCell ref="P72:Q72"/>
    <mergeCell ref="P73:Q73"/>
    <mergeCell ref="S75:T75"/>
    <mergeCell ref="J63:K63"/>
    <mergeCell ref="J64:K64"/>
    <mergeCell ref="J65:K65"/>
    <mergeCell ref="P65:Q65"/>
    <mergeCell ref="J66:K66"/>
    <mergeCell ref="P68:Q68"/>
    <mergeCell ref="J54:K54"/>
    <mergeCell ref="J55:K55"/>
    <mergeCell ref="J56:K56"/>
    <mergeCell ref="J57:K57"/>
    <mergeCell ref="J61:K61"/>
    <mergeCell ref="J62:K62"/>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B7:C7"/>
    <mergeCell ref="D7:E7"/>
    <mergeCell ref="H12:I12"/>
    <mergeCell ref="H13:I13"/>
    <mergeCell ref="H14:I14"/>
    <mergeCell ref="J18:K18"/>
    <mergeCell ref="J19:K19"/>
    <mergeCell ref="J20:K20"/>
    <mergeCell ref="H10:I10"/>
    <mergeCell ref="J10:K10"/>
    <mergeCell ref="T10:U10"/>
    <mergeCell ref="H11:I11"/>
    <mergeCell ref="T11:U11"/>
    <mergeCell ref="H7:M7"/>
    <mergeCell ref="T7:U7"/>
    <mergeCell ref="T8:U8"/>
    <mergeCell ref="H9:I9"/>
    <mergeCell ref="J9:K9"/>
    <mergeCell ref="L9:M9"/>
    <mergeCell ref="T9:U9"/>
    <mergeCell ref="L10:M10"/>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47:J47 I90:J92 I129:J135">
    <cfRule type="cellIs" dxfId="13" priority="2" stopIfTrue="1" operator="equal">
      <formula>"Not suitable"</formula>
    </cfRule>
  </conditionalFormatting>
  <conditionalFormatting sqref="S43 S46 S86 S89 S125 S128">
    <cfRule type="cellIs" dxfId="12" priority="1" stopIfTrue="1" operator="equal">
      <formula>"Not satisfied"</formula>
    </cfRule>
  </conditionalFormatting>
  <dataValidations count="3">
    <dataValidation type="list" allowBlank="1" showInputMessage="1" showErrorMessage="1" sqref="WVL983043:WVM983044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D8:E8" xr:uid="{4ED645D2-194D-4FD2-883D-B92C93EAF896}">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607F5C45-3DE3-415C-8291-435CC5535A30}">
      <formula1>"Core1,Core2,Core3"</formula1>
    </dataValidation>
    <dataValidation type="list" allowBlank="1" showInputMessage="1" showErrorMessage="1" sqref="D7:E7" xr:uid="{8A3E6A9F-4E76-4767-B8BF-7388E49EC15C}">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1" manualBreakCount="1">
    <brk id="48" max="21" man="1"/>
  </rowBreaks>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E3ACC-478F-49E2-81E0-2F12165725D6}">
  <sheetPr codeName="Sheet168">
    <tabColor theme="3" tint="0.59999389629810485"/>
  </sheetPr>
  <dimension ref="A1:Y44"/>
  <sheetViews>
    <sheetView view="pageBreakPreview" topLeftCell="A19"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478"/>
      <c r="B2" s="4"/>
      <c r="C2" s="4"/>
      <c r="D2" s="4"/>
      <c r="E2" s="4"/>
      <c r="F2" s="4"/>
      <c r="G2" s="4"/>
      <c r="H2" s="4"/>
      <c r="I2" s="4"/>
      <c r="J2" s="4"/>
      <c r="K2" s="4"/>
      <c r="L2" s="4"/>
      <c r="M2" s="4"/>
      <c r="N2" s="4"/>
      <c r="O2" s="4"/>
      <c r="P2" s="4"/>
      <c r="Q2" s="4"/>
      <c r="R2" s="4"/>
      <c r="S2" s="4"/>
      <c r="T2" s="4"/>
      <c r="U2" s="4"/>
      <c r="V2" s="71"/>
      <c r="W2" s="4"/>
      <c r="X2" s="4"/>
    </row>
    <row r="3" spans="1:24" ht="18" customHeight="1">
      <c r="A3" s="69"/>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D22" s="27"/>
      <c r="E22" s="879" t="s">
        <v>940</v>
      </c>
      <c r="F22" s="879"/>
      <c r="G22" s="879"/>
      <c r="H22" s="879"/>
      <c r="I22" s="879"/>
      <c r="J22" s="879"/>
      <c r="K22" s="879"/>
      <c r="L22" s="879"/>
      <c r="M22" s="879"/>
      <c r="N22" s="879"/>
      <c r="O22" s="879"/>
      <c r="P22" s="879"/>
      <c r="Q22" s="879"/>
      <c r="R22" s="879"/>
      <c r="S22" s="27"/>
      <c r="T22" s="27"/>
      <c r="U22" s="27"/>
      <c r="V22" s="189"/>
      <c r="W22" s="27"/>
      <c r="X22" s="27"/>
    </row>
    <row r="23" spans="1:24" ht="18" customHeight="1">
      <c r="A23" s="69"/>
      <c r="B23" s="27"/>
      <c r="C23" s="27"/>
      <c r="D23" s="27"/>
      <c r="E23" s="879"/>
      <c r="F23" s="879"/>
      <c r="G23" s="879"/>
      <c r="H23" s="879"/>
      <c r="I23" s="879"/>
      <c r="J23" s="879"/>
      <c r="K23" s="879"/>
      <c r="L23" s="879"/>
      <c r="M23" s="879"/>
      <c r="N23" s="879"/>
      <c r="O23" s="879"/>
      <c r="P23" s="879"/>
      <c r="Q23" s="879"/>
      <c r="R23" s="879"/>
      <c r="S23" s="27"/>
      <c r="T23" s="27"/>
      <c r="U23" s="27"/>
      <c r="V23" s="189"/>
      <c r="W23" s="27"/>
      <c r="X23" s="27"/>
    </row>
    <row r="24" spans="1:24" ht="18" customHeight="1">
      <c r="A24" s="69"/>
      <c r="C24" s="190"/>
      <c r="D24" s="190"/>
      <c r="E24" s="879"/>
      <c r="F24" s="879"/>
      <c r="G24" s="879"/>
      <c r="H24" s="879"/>
      <c r="I24" s="879"/>
      <c r="J24" s="879"/>
      <c r="K24" s="879"/>
      <c r="L24" s="879"/>
      <c r="M24" s="879"/>
      <c r="N24" s="879"/>
      <c r="O24" s="879"/>
      <c r="P24" s="879"/>
      <c r="Q24" s="879"/>
      <c r="R24" s="879"/>
      <c r="S24" s="4"/>
      <c r="T24" s="4"/>
      <c r="U24" s="4"/>
      <c r="V24" s="71"/>
      <c r="W24" s="4"/>
      <c r="X24" s="4"/>
    </row>
    <row r="25" spans="1:24" ht="18" customHeight="1">
      <c r="A25" s="69"/>
      <c r="B25" s="26"/>
      <c r="C25" s="4"/>
      <c r="D25" s="73"/>
      <c r="E25" s="879"/>
      <c r="F25" s="879"/>
      <c r="G25" s="879"/>
      <c r="H25" s="879"/>
      <c r="I25" s="879"/>
      <c r="J25" s="879"/>
      <c r="K25" s="879"/>
      <c r="L25" s="879"/>
      <c r="M25" s="879"/>
      <c r="N25" s="879"/>
      <c r="O25" s="879"/>
      <c r="P25" s="879"/>
      <c r="Q25" s="879"/>
      <c r="R25" s="879"/>
      <c r="S25" s="4"/>
      <c r="T25" s="4"/>
      <c r="U25" s="4"/>
      <c r="V25" s="71"/>
      <c r="W25" s="4"/>
      <c r="X25" s="4"/>
    </row>
    <row r="26" spans="1:24" ht="18" customHeight="1">
      <c r="A26" s="69"/>
      <c r="O26" s="4"/>
      <c r="P26" s="4"/>
      <c r="Q26" s="4"/>
      <c r="R26" s="4"/>
      <c r="S26" s="4"/>
      <c r="T26" s="4"/>
      <c r="U26" s="4"/>
      <c r="V26" s="71"/>
      <c r="W26" s="4"/>
      <c r="X26" s="4"/>
    </row>
    <row r="27" spans="1:24" ht="18" customHeight="1">
      <c r="A27" s="69"/>
      <c r="B27" s="191"/>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4"/>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433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133B1-C2B3-4E2A-BDA4-7E258346A09E}">
  <sheetPr>
    <tabColor rgb="FF99CCFF"/>
  </sheetPr>
  <dimension ref="A1:Y44"/>
  <sheetViews>
    <sheetView view="pageBreakPreview" topLeftCell="A4"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965</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509953"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88916-E6F6-4FC6-84D6-9453CF059262}">
  <sheetPr codeName="Sheet78">
    <tabColor rgb="FFFFFF00"/>
  </sheetPr>
  <dimension ref="A1:AI166"/>
  <sheetViews>
    <sheetView showZeros="0" view="pageBreakPreview" zoomScaleNormal="100" zoomScaleSheetLayoutView="100" workbookViewId="0">
      <selection activeCell="K13" sqref="K13"/>
    </sheetView>
  </sheetViews>
  <sheetFormatPr defaultColWidth="4.33203125" defaultRowHeight="18" customHeight="1"/>
  <cols>
    <col min="1" max="4" width="4.33203125" style="30"/>
    <col min="5" max="5" width="4.33203125" style="30" customWidth="1"/>
    <col min="6" max="7" width="4.33203125" style="30"/>
    <col min="8" max="8" width="4.33203125" style="30" customWidth="1"/>
    <col min="9" max="10" width="4.33203125" style="30"/>
    <col min="11" max="11" width="4.33203125" style="30" customWidth="1"/>
    <col min="12"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35"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74" t="str">
        <f>Title!R1</f>
        <v>N-19957.1-DF5W</v>
      </c>
      <c r="S1" s="775"/>
      <c r="T1" s="775"/>
      <c r="U1" s="775"/>
      <c r="V1" s="776"/>
      <c r="W1" s="14"/>
      <c r="X1" s="14"/>
    </row>
    <row r="2" spans="1:35" ht="18" customHeight="1">
      <c r="A2" s="720"/>
      <c r="B2" s="721"/>
      <c r="C2" s="721"/>
      <c r="D2" s="721"/>
      <c r="E2" s="721"/>
      <c r="F2" s="721"/>
      <c r="G2" s="722"/>
      <c r="H2" s="729" t="str">
        <f>Title!H2</f>
        <v>ADEQUACY CHECK</v>
      </c>
      <c r="I2" s="730"/>
      <c r="J2" s="730"/>
      <c r="K2" s="730"/>
      <c r="L2" s="730"/>
      <c r="M2" s="730"/>
      <c r="N2" s="731"/>
      <c r="O2" s="702" t="str">
        <f>Title!O2</f>
        <v>Date</v>
      </c>
      <c r="P2" s="703"/>
      <c r="Q2" s="704"/>
      <c r="R2" s="777">
        <f>Title!R2</f>
        <v>46106</v>
      </c>
      <c r="S2" s="775"/>
      <c r="T2" s="775"/>
      <c r="U2" s="775"/>
      <c r="V2" s="776"/>
      <c r="W2" s="14"/>
      <c r="X2" s="14"/>
    </row>
    <row r="3" spans="1:35" ht="21"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8" t="str">
        <f>Title!R3</f>
        <v>-</v>
      </c>
      <c r="S3" s="710"/>
      <c r="T3" s="710"/>
      <c r="U3" s="710"/>
      <c r="V3" s="709"/>
      <c r="W3" s="14"/>
      <c r="X3" s="14"/>
    </row>
    <row r="4" spans="1:35" ht="18" customHeight="1">
      <c r="A4" s="723"/>
      <c r="B4" s="724"/>
      <c r="C4" s="724"/>
      <c r="D4" s="724"/>
      <c r="E4" s="724"/>
      <c r="F4" s="724"/>
      <c r="G4" s="725"/>
      <c r="H4" s="738"/>
      <c r="I4" s="739"/>
      <c r="J4" s="739"/>
      <c r="K4" s="739"/>
      <c r="L4" s="739"/>
      <c r="M4" s="739"/>
      <c r="N4" s="740"/>
      <c r="O4" s="702" t="str">
        <f>Title!O4</f>
        <v>Revision No.</v>
      </c>
      <c r="P4" s="703"/>
      <c r="Q4" s="704"/>
      <c r="R4" s="774" t="str">
        <f>Title!R4</f>
        <v>A</v>
      </c>
      <c r="S4" s="775"/>
      <c r="T4" s="775"/>
      <c r="U4" s="775"/>
      <c r="V4" s="776"/>
      <c r="W4" s="14"/>
      <c r="X4" s="14"/>
    </row>
    <row r="5" spans="1:35" ht="18" customHeight="1">
      <c r="A5" s="708" t="str">
        <f>Title!A5</f>
        <v>Prep. By</v>
      </c>
      <c r="B5" s="709"/>
      <c r="C5" s="25" t="str">
        <f>Title!C5</f>
        <v>AP</v>
      </c>
      <c r="D5" s="708" t="str">
        <f>Title!D5</f>
        <v>Checked By</v>
      </c>
      <c r="E5" s="710"/>
      <c r="F5" s="709"/>
      <c r="G5" s="25" t="str">
        <f>Title!G5</f>
        <v>RB</v>
      </c>
      <c r="H5" s="1204" t="s">
        <v>936</v>
      </c>
      <c r="I5" s="1205"/>
      <c r="J5" s="1205"/>
      <c r="K5" s="1205"/>
      <c r="L5" s="1205"/>
      <c r="M5" s="1205"/>
      <c r="N5" s="1206"/>
      <c r="O5" s="714" t="str">
        <f>Title!O5</f>
        <v>Contractor</v>
      </c>
      <c r="P5" s="715"/>
      <c r="Q5" s="716"/>
      <c r="R5" s="774" t="str">
        <f>Title!R5</f>
        <v>HITACHI</v>
      </c>
      <c r="S5" s="775"/>
      <c r="T5" s="775"/>
      <c r="U5" s="775"/>
      <c r="V5" s="776"/>
      <c r="W5" s="14"/>
      <c r="X5" s="14"/>
    </row>
    <row r="6" spans="1:35" ht="18" customHeight="1">
      <c r="A6" s="196"/>
      <c r="V6" s="197"/>
    </row>
    <row r="7" spans="1:35" ht="18" customHeight="1">
      <c r="A7" s="196"/>
      <c r="B7" s="656" t="s">
        <v>120</v>
      </c>
      <c r="C7" s="657"/>
      <c r="D7" s="894" t="s">
        <v>396</v>
      </c>
      <c r="E7" s="995"/>
      <c r="V7" s="197"/>
    </row>
    <row r="8" spans="1:35" ht="18" customHeight="1">
      <c r="A8" s="196"/>
      <c r="V8" s="197"/>
    </row>
    <row r="9" spans="1:35" ht="18" customHeight="1">
      <c r="A9" s="196"/>
      <c r="B9" s="30" t="s">
        <v>785</v>
      </c>
      <c r="H9" s="200">
        <v>400</v>
      </c>
      <c r="I9" s="201" t="s">
        <v>786</v>
      </c>
      <c r="J9" s="203" t="s">
        <v>353</v>
      </c>
      <c r="K9" s="122">
        <v>0.11</v>
      </c>
      <c r="L9" s="201" t="s">
        <v>786</v>
      </c>
      <c r="M9" s="30" t="s">
        <v>174</v>
      </c>
      <c r="V9" s="197"/>
    </row>
    <row r="10" spans="1:35" ht="18" customHeight="1">
      <c r="A10" s="196"/>
      <c r="B10" s="30" t="s">
        <v>787</v>
      </c>
      <c r="H10" s="656" t="s">
        <v>806</v>
      </c>
      <c r="I10" s="657"/>
      <c r="V10" s="197"/>
    </row>
    <row r="11" spans="1:35" ht="18" customHeight="1">
      <c r="A11" s="196"/>
      <c r="B11" s="30" t="s">
        <v>573</v>
      </c>
      <c r="H11" s="656">
        <v>50</v>
      </c>
      <c r="I11" s="657"/>
      <c r="J11" s="30" t="s">
        <v>168</v>
      </c>
      <c r="V11" s="197"/>
      <c r="W11" s="30" t="str">
        <f>G39</f>
        <v>Suitably Dimensioned</v>
      </c>
    </row>
    <row r="12" spans="1:35" ht="18" customHeight="1">
      <c r="A12" s="196"/>
      <c r="V12" s="197"/>
    </row>
    <row r="13" spans="1:35" ht="18" customHeight="1">
      <c r="A13" s="196"/>
      <c r="V13" s="197"/>
    </row>
    <row r="14" spans="1:35" ht="18" customHeight="1">
      <c r="A14" s="196"/>
      <c r="C14" s="141" t="s">
        <v>416</v>
      </c>
      <c r="D14" s="285"/>
      <c r="E14" s="511" t="s">
        <v>399</v>
      </c>
      <c r="F14" s="397"/>
      <c r="G14" s="397"/>
      <c r="H14" s="397"/>
      <c r="I14" s="145"/>
      <c r="J14" s="272" t="s">
        <v>138</v>
      </c>
      <c r="K14" s="688">
        <f>'CT-VT Burdens'!Q48</f>
        <v>0.02</v>
      </c>
      <c r="L14" s="689"/>
      <c r="M14" s="3" t="s">
        <v>168</v>
      </c>
      <c r="O14" s="14"/>
      <c r="V14" s="197"/>
    </row>
    <row r="15" spans="1:35" ht="18" customHeight="1">
      <c r="A15" s="196"/>
      <c r="C15" s="96" t="s">
        <v>416</v>
      </c>
      <c r="D15" s="14"/>
      <c r="E15" s="30" t="s">
        <v>920</v>
      </c>
      <c r="F15" s="14"/>
      <c r="G15" s="14"/>
      <c r="H15" s="211"/>
      <c r="I15" s="27"/>
      <c r="J15" s="101" t="s">
        <v>138</v>
      </c>
      <c r="K15" s="688">
        <f>'CT-VT Burdens'!Q99</f>
        <v>0.02</v>
      </c>
      <c r="L15" s="689"/>
      <c r="M15" s="214" t="s">
        <v>168</v>
      </c>
      <c r="O15" s="14"/>
      <c r="V15" s="197"/>
      <c r="Y15" s="96" t="s">
        <v>416</v>
      </c>
      <c r="Z15" s="14"/>
      <c r="AA15" s="47" t="s">
        <v>789</v>
      </c>
      <c r="AB15" s="14"/>
      <c r="AD15" s="211"/>
      <c r="AE15" s="27"/>
      <c r="AF15" s="101" t="s">
        <v>138</v>
      </c>
      <c r="AG15" s="688">
        <f>'CT-VT Burdens'!AO48</f>
        <v>0</v>
      </c>
      <c r="AH15" s="689"/>
      <c r="AI15" s="214" t="s">
        <v>168</v>
      </c>
    </row>
    <row r="16" spans="1:35" ht="18" customHeight="1">
      <c r="A16" s="196"/>
      <c r="C16" s="96" t="s">
        <v>416</v>
      </c>
      <c r="D16" s="14"/>
      <c r="E16" s="986" t="s">
        <v>928</v>
      </c>
      <c r="F16" s="987"/>
      <c r="H16" s="211"/>
      <c r="I16" s="27"/>
      <c r="J16" s="101" t="s">
        <v>138</v>
      </c>
      <c r="K16" s="688">
        <f>'CT-VT Burdens'!Q48</f>
        <v>0.02</v>
      </c>
      <c r="L16" s="689"/>
      <c r="M16" s="214" t="s">
        <v>168</v>
      </c>
      <c r="O16" s="14"/>
      <c r="V16" s="197"/>
      <c r="Y16" s="96" t="s">
        <v>416</v>
      </c>
      <c r="Z16" s="14"/>
      <c r="AA16" s="47" t="s">
        <v>205</v>
      </c>
      <c r="AB16" s="14"/>
      <c r="AD16" s="211"/>
      <c r="AE16" s="27"/>
      <c r="AF16" s="101" t="s">
        <v>138</v>
      </c>
      <c r="AG16" s="688">
        <f>'CT-VT Burdens'!AO92</f>
        <v>0</v>
      </c>
      <c r="AH16" s="689"/>
      <c r="AI16" s="214" t="s">
        <v>168</v>
      </c>
    </row>
    <row r="17" spans="1:35" ht="18" customHeight="1">
      <c r="A17" s="196"/>
      <c r="C17" s="96" t="s">
        <v>416</v>
      </c>
      <c r="D17" s="14"/>
      <c r="E17" s="308" t="s">
        <v>519</v>
      </c>
      <c r="F17" s="14"/>
      <c r="H17" s="211"/>
      <c r="I17" s="28"/>
      <c r="J17" s="101" t="s">
        <v>138</v>
      </c>
      <c r="K17" s="688">
        <f>'CT-VT Burdens'!Q48</f>
        <v>0.02</v>
      </c>
      <c r="L17" s="689"/>
      <c r="M17" s="214" t="s">
        <v>168</v>
      </c>
      <c r="O17" s="14"/>
      <c r="V17" s="197"/>
      <c r="Y17" s="96" t="s">
        <v>416</v>
      </c>
      <c r="Z17" s="14"/>
      <c r="AA17" s="47" t="s">
        <v>790</v>
      </c>
      <c r="AB17" s="14"/>
      <c r="AD17" s="211"/>
      <c r="AE17" s="28" t="s">
        <v>140</v>
      </c>
      <c r="AF17" s="101" t="s">
        <v>138</v>
      </c>
      <c r="AG17" s="688">
        <v>0.2</v>
      </c>
      <c r="AH17" s="689"/>
      <c r="AI17" s="214" t="s">
        <v>168</v>
      </c>
    </row>
    <row r="18" spans="1:35" ht="18" customHeight="1">
      <c r="A18" s="196"/>
      <c r="C18" s="96" t="s">
        <v>416</v>
      </c>
      <c r="D18" s="14"/>
      <c r="E18" s="308" t="s">
        <v>929</v>
      </c>
      <c r="F18" s="14"/>
      <c r="H18" s="211"/>
      <c r="I18" s="28"/>
      <c r="J18" s="189" t="s">
        <v>138</v>
      </c>
      <c r="K18" s="688">
        <f>'CT-VT Burdens'!Q92</f>
        <v>5.8000000000000003E-2</v>
      </c>
      <c r="L18" s="689"/>
      <c r="M18" s="214" t="s">
        <v>168</v>
      </c>
      <c r="O18" s="14"/>
      <c r="V18" s="197"/>
      <c r="Y18" s="96"/>
      <c r="Z18" s="14"/>
      <c r="AA18" s="47"/>
      <c r="AB18" s="14"/>
      <c r="AD18" s="211"/>
      <c r="AE18" s="28"/>
      <c r="AF18" s="101"/>
      <c r="AG18" s="212"/>
      <c r="AH18" s="213"/>
      <c r="AI18" s="214"/>
    </row>
    <row r="19" spans="1:35" ht="18" customHeight="1">
      <c r="A19" s="196"/>
      <c r="B19" s="117"/>
      <c r="C19" s="96" t="s">
        <v>416</v>
      </c>
      <c r="D19" s="14"/>
      <c r="E19" s="308" t="s">
        <v>190</v>
      </c>
      <c r="F19" s="14"/>
      <c r="H19" s="211"/>
      <c r="I19" s="28"/>
      <c r="J19" s="101" t="s">
        <v>138</v>
      </c>
      <c r="K19" s="688">
        <f>'CT-VT Burdens'!Q49</f>
        <v>0.01</v>
      </c>
      <c r="L19" s="689"/>
      <c r="M19" s="214" t="s">
        <v>168</v>
      </c>
      <c r="N19" s="14"/>
      <c r="O19" s="14"/>
      <c r="P19" s="28"/>
      <c r="Q19" s="211"/>
      <c r="R19" s="14"/>
      <c r="S19" s="14"/>
      <c r="T19" s="14"/>
      <c r="U19" s="14"/>
      <c r="V19" s="197"/>
      <c r="Y19" s="96" t="s">
        <v>416</v>
      </c>
      <c r="Z19" s="14"/>
      <c r="AA19" s="47" t="s">
        <v>791</v>
      </c>
      <c r="AB19" s="14"/>
      <c r="AD19" s="211"/>
      <c r="AE19" s="28" t="s">
        <v>140</v>
      </c>
      <c r="AF19" s="101" t="s">
        <v>138</v>
      </c>
      <c r="AG19" s="688">
        <v>1</v>
      </c>
      <c r="AH19" s="689"/>
      <c r="AI19" s="214" t="s">
        <v>168</v>
      </c>
    </row>
    <row r="20" spans="1:35" ht="18" customHeight="1">
      <c r="A20" s="196"/>
      <c r="B20" s="117"/>
      <c r="C20" s="96" t="s">
        <v>416</v>
      </c>
      <c r="D20" s="14"/>
      <c r="E20" s="308" t="s">
        <v>917</v>
      </c>
      <c r="F20" s="14"/>
      <c r="H20" s="211"/>
      <c r="I20" s="28"/>
      <c r="J20" s="189" t="s">
        <v>138</v>
      </c>
      <c r="K20" s="688">
        <f>'CT-VT Burdens'!Q98</f>
        <v>0.1</v>
      </c>
      <c r="L20" s="684"/>
      <c r="M20" s="214"/>
      <c r="N20" s="14"/>
      <c r="O20" s="14"/>
      <c r="P20" s="28"/>
      <c r="Q20" s="211"/>
      <c r="R20" s="14"/>
      <c r="S20" s="14"/>
      <c r="T20" s="14"/>
      <c r="U20" s="14"/>
      <c r="V20" s="197"/>
      <c r="Y20" s="14"/>
      <c r="Z20" s="14"/>
      <c r="AA20" s="47"/>
      <c r="AB20" s="14"/>
      <c r="AD20" s="211"/>
      <c r="AE20" s="28"/>
      <c r="AF20" s="28"/>
      <c r="AG20" s="588"/>
      <c r="AH20" s="589"/>
      <c r="AI20" s="47"/>
    </row>
    <row r="21" spans="1:35" ht="18" customHeight="1">
      <c r="A21" s="196"/>
      <c r="C21" s="96" t="s">
        <v>792</v>
      </c>
      <c r="D21" s="14"/>
      <c r="E21" s="47"/>
      <c r="F21" s="14"/>
      <c r="H21" s="211"/>
      <c r="I21" s="27"/>
      <c r="J21" s="101" t="s">
        <v>138</v>
      </c>
      <c r="K21" s="644">
        <f>SUM(K14:L20)</f>
        <v>0.24800000000000003</v>
      </c>
      <c r="L21" s="645"/>
      <c r="M21" s="214" t="s">
        <v>168</v>
      </c>
      <c r="R21" s="14"/>
      <c r="S21" s="14"/>
      <c r="T21" s="14"/>
      <c r="U21" s="293"/>
      <c r="V21" s="197"/>
    </row>
    <row r="22" spans="1:35" ht="18" customHeight="1">
      <c r="A22" s="196"/>
      <c r="C22" s="196" t="s">
        <v>423</v>
      </c>
      <c r="D22" s="14"/>
      <c r="E22" s="14"/>
      <c r="F22" s="14"/>
      <c r="I22" s="27"/>
      <c r="J22" s="101" t="s">
        <v>138</v>
      </c>
      <c r="K22" s="644">
        <f>'CT-VT Burdens'!S39</f>
        <v>2.7035014500000001</v>
      </c>
      <c r="L22" s="799"/>
      <c r="M22" s="309" t="s">
        <v>168</v>
      </c>
      <c r="R22" s="14"/>
      <c r="S22" s="14"/>
      <c r="T22" s="14"/>
      <c r="U22" s="293"/>
      <c r="V22" s="197"/>
    </row>
    <row r="23" spans="1:35" ht="18" customHeight="1">
      <c r="A23" s="196"/>
      <c r="C23" s="1" t="s">
        <v>424</v>
      </c>
      <c r="D23" s="2"/>
      <c r="E23" s="2"/>
      <c r="F23" s="2"/>
      <c r="G23" s="208"/>
      <c r="H23" s="208"/>
      <c r="I23" s="236" t="s">
        <v>523</v>
      </c>
      <c r="J23" s="195" t="s">
        <v>138</v>
      </c>
      <c r="K23" s="1197">
        <f>K21+K22</f>
        <v>2.9515014500000003</v>
      </c>
      <c r="L23" s="1198"/>
      <c r="M23" s="3" t="s">
        <v>168</v>
      </c>
      <c r="R23" s="14"/>
      <c r="S23" s="14"/>
      <c r="T23" s="14"/>
      <c r="U23" s="293"/>
      <c r="V23" s="197"/>
    </row>
    <row r="24" spans="1:35" ht="18" customHeight="1">
      <c r="A24" s="196"/>
      <c r="R24" s="14"/>
      <c r="S24" s="14"/>
      <c r="T24" s="14"/>
      <c r="U24" s="14"/>
      <c r="V24" s="197"/>
    </row>
    <row r="25" spans="1:35" ht="18" customHeight="1">
      <c r="A25" s="196"/>
      <c r="R25" s="14"/>
      <c r="S25" s="14"/>
      <c r="T25" s="14"/>
      <c r="U25" s="198"/>
      <c r="V25" s="197"/>
    </row>
    <row r="26" spans="1:35" ht="18" customHeight="1">
      <c r="A26" s="196"/>
      <c r="B26" s="117" t="s">
        <v>793</v>
      </c>
      <c r="V26" s="197"/>
    </row>
    <row r="27" spans="1:35" ht="18" customHeight="1">
      <c r="A27" s="196"/>
      <c r="V27" s="197"/>
    </row>
    <row r="28" spans="1:35" ht="18" customHeight="1">
      <c r="A28" s="196"/>
      <c r="B28" s="14" t="s">
        <v>794</v>
      </c>
      <c r="C28" s="14"/>
      <c r="D28" s="120"/>
      <c r="J28" s="28" t="s">
        <v>138</v>
      </c>
      <c r="K28" s="47" t="s">
        <v>792</v>
      </c>
      <c r="M28" s="47"/>
      <c r="N28" s="47"/>
      <c r="P28" s="102" t="s">
        <v>353</v>
      </c>
      <c r="Q28" s="30" t="s">
        <v>795</v>
      </c>
      <c r="R28" s="14"/>
      <c r="V28" s="197"/>
    </row>
    <row r="29" spans="1:35" ht="18" customHeight="1">
      <c r="A29" s="196"/>
      <c r="B29" s="14"/>
      <c r="C29" s="14"/>
      <c r="D29" s="120"/>
      <c r="J29" s="28" t="s">
        <v>138</v>
      </c>
      <c r="K29" s="641">
        <f>K21</f>
        <v>0.24800000000000003</v>
      </c>
      <c r="L29" s="638"/>
      <c r="M29" s="102" t="s">
        <v>353</v>
      </c>
      <c r="N29" s="641">
        <f>K9/SQRT(3)*1000</f>
        <v>63.508529610858844</v>
      </c>
      <c r="O29" s="638"/>
      <c r="V29" s="197"/>
    </row>
    <row r="30" spans="1:35" ht="18" customHeight="1">
      <c r="A30" s="196"/>
      <c r="B30" s="14"/>
      <c r="C30" s="14"/>
      <c r="D30" s="120"/>
      <c r="J30" s="28" t="s">
        <v>138</v>
      </c>
      <c r="K30" s="911">
        <f>K29/N29</f>
        <v>3.904987275246196E-3</v>
      </c>
      <c r="L30" s="911"/>
      <c r="M30" s="47" t="s">
        <v>9</v>
      </c>
      <c r="N30" s="47"/>
      <c r="O30" s="14"/>
      <c r="P30" s="28"/>
      <c r="Q30" s="14"/>
      <c r="R30" s="14"/>
      <c r="V30" s="197"/>
    </row>
    <row r="31" spans="1:35" ht="18" customHeight="1">
      <c r="A31" s="196"/>
      <c r="V31" s="197"/>
    </row>
    <row r="32" spans="1:35" ht="18" customHeight="1">
      <c r="A32" s="196"/>
      <c r="B32" s="14" t="s">
        <v>796</v>
      </c>
      <c r="C32" s="14"/>
      <c r="D32" s="14"/>
      <c r="E32" s="14"/>
      <c r="F32" s="14"/>
      <c r="G32" s="14"/>
      <c r="H32" s="14"/>
      <c r="I32" s="47"/>
      <c r="J32" s="28" t="s">
        <v>138</v>
      </c>
      <c r="K32" s="638" t="s">
        <v>797</v>
      </c>
      <c r="L32" s="638"/>
      <c r="M32" s="28" t="s">
        <v>326</v>
      </c>
      <c r="N32" s="47" t="s">
        <v>798</v>
      </c>
      <c r="O32" s="14"/>
      <c r="P32" s="28"/>
      <c r="Q32" s="479"/>
      <c r="V32" s="197"/>
    </row>
    <row r="33" spans="1:22" ht="18" customHeight="1">
      <c r="A33" s="196"/>
      <c r="J33" s="28" t="s">
        <v>138</v>
      </c>
      <c r="K33" s="639">
        <f>K30*K30</f>
        <v>1.524892561983471E-5</v>
      </c>
      <c r="L33" s="639"/>
      <c r="M33" s="28" t="s">
        <v>326</v>
      </c>
      <c r="N33" s="637">
        <f>'CT-VT Burdens'!S39</f>
        <v>2.7035014500000001</v>
      </c>
      <c r="O33" s="637"/>
      <c r="V33" s="197"/>
    </row>
    <row r="34" spans="1:22" ht="18" customHeight="1">
      <c r="A34" s="196"/>
      <c r="J34" s="28" t="s">
        <v>138</v>
      </c>
      <c r="K34" s="1163">
        <f>K33*N33</f>
        <v>4.1225492524165291E-5</v>
      </c>
      <c r="L34" s="1163"/>
      <c r="M34" s="30" t="s">
        <v>168</v>
      </c>
      <c r="V34" s="197"/>
    </row>
    <row r="35" spans="1:22" ht="18" customHeight="1">
      <c r="A35" s="196"/>
      <c r="V35" s="197"/>
    </row>
    <row r="36" spans="1:22" ht="18" customHeight="1">
      <c r="A36" s="196"/>
      <c r="B36" s="14" t="s">
        <v>799</v>
      </c>
      <c r="C36" s="14"/>
      <c r="D36" s="14"/>
      <c r="E36" s="28"/>
      <c r="F36" s="14"/>
      <c r="G36" s="14"/>
      <c r="H36" s="102"/>
      <c r="I36" s="47"/>
      <c r="J36" s="47"/>
      <c r="K36" s="14"/>
      <c r="V36" s="197"/>
    </row>
    <row r="37" spans="1:22" ht="18" customHeight="1">
      <c r="A37" s="196"/>
      <c r="B37" s="14"/>
      <c r="C37" s="14"/>
      <c r="D37" s="269"/>
      <c r="E37" s="120" t="s">
        <v>800</v>
      </c>
      <c r="F37" s="27" t="str">
        <f>IF(D38&gt;=G38,"&gt;","&lt;")</f>
        <v>&gt;</v>
      </c>
      <c r="G37" s="293" t="s">
        <v>131</v>
      </c>
      <c r="H37" s="230"/>
      <c r="J37" s="28"/>
      <c r="K37" s="230"/>
      <c r="V37" s="197"/>
    </row>
    <row r="38" spans="1:22" ht="18" customHeight="1">
      <c r="A38" s="196"/>
      <c r="D38" s="639">
        <f>H11</f>
        <v>50</v>
      </c>
      <c r="E38" s="639"/>
      <c r="F38" s="27" t="str">
        <f>F37</f>
        <v>&gt;</v>
      </c>
      <c r="G38" s="1163">
        <f>K23</f>
        <v>2.9515014500000003</v>
      </c>
      <c r="H38" s="639"/>
      <c r="I38" s="14"/>
      <c r="J38" s="269"/>
      <c r="V38" s="197"/>
    </row>
    <row r="39" spans="1:22" ht="18" customHeight="1">
      <c r="A39" s="196"/>
      <c r="D39" s="211"/>
      <c r="E39" s="256" t="s">
        <v>801</v>
      </c>
      <c r="F39" s="27"/>
      <c r="G39" s="18" t="str">
        <f>IF(F37="&gt;","Suitably Dimensioned","Under Dimensioned")</f>
        <v>Suitably Dimensioned</v>
      </c>
      <c r="H39" s="27"/>
      <c r="I39" s="120"/>
      <c r="J39" s="27"/>
      <c r="K39" s="120"/>
      <c r="V39" s="197"/>
    </row>
    <row r="40" spans="1:22" ht="18" customHeight="1">
      <c r="A40" s="196"/>
      <c r="V40" s="197"/>
    </row>
    <row r="41" spans="1:22" ht="18" customHeight="1">
      <c r="A41" s="196"/>
      <c r="V41" s="197"/>
    </row>
    <row r="42" spans="1:22" ht="18" customHeight="1">
      <c r="A42" s="196"/>
      <c r="V42" s="197"/>
    </row>
    <row r="43" spans="1:22" ht="18" customHeight="1">
      <c r="A43" s="196"/>
      <c r="V43" s="197"/>
    </row>
    <row r="44" spans="1:22" ht="18" customHeight="1">
      <c r="A44" s="196"/>
      <c r="V44" s="197"/>
    </row>
    <row r="45" spans="1:22" s="14" customFormat="1" ht="18" customHeight="1">
      <c r="A45" s="206"/>
      <c r="B45" s="207"/>
      <c r="C45" s="207"/>
      <c r="D45" s="207"/>
      <c r="E45" s="207"/>
      <c r="F45" s="207"/>
      <c r="G45" s="207"/>
      <c r="H45" s="207"/>
      <c r="I45" s="207"/>
      <c r="J45" s="207"/>
      <c r="K45" s="207"/>
      <c r="L45" s="207"/>
      <c r="M45" s="207"/>
      <c r="N45" s="207"/>
      <c r="O45" s="207"/>
      <c r="P45" s="207"/>
      <c r="Q45" s="236"/>
      <c r="R45" s="194"/>
      <c r="S45" s="1195"/>
      <c r="T45" s="1196"/>
      <c r="U45" s="207"/>
      <c r="V45" s="140"/>
    </row>
    <row r="46" spans="1:22" ht="18" customHeight="1">
      <c r="A46" s="238"/>
      <c r="B46" s="239"/>
      <c r="C46" s="239"/>
      <c r="D46" s="239"/>
      <c r="E46" s="239"/>
      <c r="F46" s="239"/>
      <c r="G46" s="239"/>
      <c r="H46" s="239"/>
      <c r="I46" s="239"/>
      <c r="J46" s="239"/>
      <c r="K46" s="239"/>
      <c r="L46" s="239"/>
      <c r="M46" s="239"/>
      <c r="N46" s="239"/>
      <c r="O46" s="239"/>
      <c r="P46" s="239"/>
      <c r="Q46" s="239"/>
      <c r="R46" s="239"/>
      <c r="S46" s="239"/>
      <c r="T46" s="239"/>
      <c r="U46" s="239"/>
      <c r="V46" s="240"/>
    </row>
    <row r="47" spans="1:22" ht="18" customHeight="1">
      <c r="A47" s="196"/>
      <c r="B47" s="656" t="str">
        <f>B7</f>
        <v>T1</v>
      </c>
      <c r="C47" s="657"/>
      <c r="D47" s="894" t="s">
        <v>517</v>
      </c>
      <c r="E47" s="995"/>
      <c r="V47" s="197"/>
    </row>
    <row r="48" spans="1:22" ht="18" customHeight="1">
      <c r="A48" s="196"/>
      <c r="V48" s="197"/>
    </row>
    <row r="49" spans="1:23" ht="18" customHeight="1">
      <c r="A49" s="196"/>
      <c r="B49" s="30" t="s">
        <v>785</v>
      </c>
      <c r="H49" s="200">
        <v>400</v>
      </c>
      <c r="I49" s="201" t="s">
        <v>786</v>
      </c>
      <c r="J49" s="203" t="s">
        <v>353</v>
      </c>
      <c r="K49" s="122">
        <v>0.11</v>
      </c>
      <c r="L49" s="201" t="s">
        <v>786</v>
      </c>
      <c r="M49" s="30" t="s">
        <v>174</v>
      </c>
      <c r="V49" s="197"/>
    </row>
    <row r="50" spans="1:23" ht="18" customHeight="1">
      <c r="A50" s="196"/>
      <c r="B50" s="30" t="s">
        <v>787</v>
      </c>
      <c r="H50" s="656">
        <v>0.2</v>
      </c>
      <c r="I50" s="657"/>
      <c r="V50" s="197"/>
    </row>
    <row r="51" spans="1:23" ht="18" customHeight="1">
      <c r="A51" s="196"/>
      <c r="B51" s="30" t="s">
        <v>573</v>
      </c>
      <c r="H51" s="656">
        <v>50</v>
      </c>
      <c r="I51" s="657"/>
      <c r="J51" s="30" t="s">
        <v>168</v>
      </c>
      <c r="V51" s="197"/>
      <c r="W51" s="30" t="str">
        <f>G81</f>
        <v>Suitably Dimensioned</v>
      </c>
    </row>
    <row r="52" spans="1:23" ht="18" customHeight="1">
      <c r="A52" s="196"/>
      <c r="V52" s="197"/>
    </row>
    <row r="53" spans="1:23" ht="18" customHeight="1">
      <c r="A53" s="196"/>
      <c r="V53" s="197"/>
    </row>
    <row r="54" spans="1:23" ht="18" customHeight="1">
      <c r="A54" s="196"/>
      <c r="C54" s="141" t="s">
        <v>416</v>
      </c>
      <c r="D54" s="285"/>
      <c r="E54" s="511" t="s">
        <v>255</v>
      </c>
      <c r="F54" s="397"/>
      <c r="G54" s="397"/>
      <c r="H54" s="397"/>
      <c r="I54" s="145"/>
      <c r="J54" s="272" t="s">
        <v>138</v>
      </c>
      <c r="K54" s="688">
        <f>'CT-VT Burdens'!Q85</f>
        <v>8.0000000000000002E-3</v>
      </c>
      <c r="L54" s="689"/>
      <c r="M54" s="3" t="s">
        <v>168</v>
      </c>
      <c r="V54" s="197"/>
    </row>
    <row r="55" spans="1:23" ht="18" customHeight="1">
      <c r="A55" s="196"/>
      <c r="C55" s="96" t="s">
        <v>416</v>
      </c>
      <c r="D55" s="14"/>
      <c r="E55" s="308"/>
      <c r="F55" s="14"/>
      <c r="H55" s="211"/>
      <c r="I55" s="27"/>
      <c r="J55" s="101" t="s">
        <v>138</v>
      </c>
      <c r="K55" s="688"/>
      <c r="L55" s="689"/>
      <c r="M55" s="214" t="s">
        <v>168</v>
      </c>
      <c r="V55" s="197"/>
    </row>
    <row r="56" spans="1:23" ht="18" customHeight="1">
      <c r="A56" s="196"/>
      <c r="C56" s="96" t="s">
        <v>416</v>
      </c>
      <c r="D56" s="14"/>
      <c r="E56" s="308"/>
      <c r="F56" s="14"/>
      <c r="H56" s="211"/>
      <c r="I56" s="27"/>
      <c r="J56" s="101" t="s">
        <v>138</v>
      </c>
      <c r="K56" s="688"/>
      <c r="L56" s="689"/>
      <c r="M56" s="214" t="s">
        <v>168</v>
      </c>
      <c r="V56" s="197"/>
    </row>
    <row r="57" spans="1:23" ht="18" customHeight="1">
      <c r="A57" s="196"/>
      <c r="C57" s="96" t="s">
        <v>416</v>
      </c>
      <c r="D57" s="14"/>
      <c r="E57" s="308"/>
      <c r="F57" s="14"/>
      <c r="H57" s="211"/>
      <c r="I57" s="28"/>
      <c r="J57" s="101" t="s">
        <v>138</v>
      </c>
      <c r="K57" s="688"/>
      <c r="L57" s="689"/>
      <c r="M57" s="214" t="s">
        <v>168</v>
      </c>
      <c r="V57" s="197"/>
    </row>
    <row r="58" spans="1:23" ht="18" customHeight="1">
      <c r="A58" s="196"/>
      <c r="C58" s="96" t="s">
        <v>416</v>
      </c>
      <c r="D58" s="14"/>
      <c r="E58" s="308"/>
      <c r="F58" s="14"/>
      <c r="H58" s="211"/>
      <c r="I58" s="28"/>
      <c r="J58" s="189" t="s">
        <v>138</v>
      </c>
      <c r="K58" s="688"/>
      <c r="L58" s="689"/>
      <c r="M58" s="214" t="s">
        <v>168</v>
      </c>
      <c r="V58" s="197"/>
    </row>
    <row r="59" spans="1:23" ht="18" customHeight="1">
      <c r="A59" s="196"/>
      <c r="C59" s="96" t="s">
        <v>416</v>
      </c>
      <c r="D59" s="14"/>
      <c r="E59" s="308"/>
      <c r="F59" s="14"/>
      <c r="H59" s="211"/>
      <c r="I59" s="28"/>
      <c r="J59" s="189" t="s">
        <v>138</v>
      </c>
      <c r="K59" s="688"/>
      <c r="L59" s="684"/>
      <c r="M59" s="214" t="s">
        <v>168</v>
      </c>
      <c r="V59" s="197"/>
    </row>
    <row r="60" spans="1:23" ht="18" customHeight="1">
      <c r="A60" s="196"/>
      <c r="C60" s="96" t="s">
        <v>416</v>
      </c>
      <c r="D60" s="14"/>
      <c r="E60" s="308"/>
      <c r="F60" s="14"/>
      <c r="H60" s="211"/>
      <c r="I60" s="28"/>
      <c r="J60" s="189" t="s">
        <v>138</v>
      </c>
      <c r="K60" s="688"/>
      <c r="L60" s="684"/>
      <c r="M60" s="214" t="s">
        <v>168</v>
      </c>
      <c r="V60" s="197"/>
    </row>
    <row r="61" spans="1:23" ht="18" hidden="1" customHeight="1">
      <c r="A61" s="196"/>
      <c r="C61" s="96" t="s">
        <v>416</v>
      </c>
      <c r="D61" s="14"/>
      <c r="E61" s="308" t="s">
        <v>259</v>
      </c>
      <c r="F61" s="14"/>
      <c r="H61" s="211"/>
      <c r="I61" s="28"/>
      <c r="J61" s="101"/>
      <c r="K61" s="688"/>
      <c r="L61" s="684"/>
      <c r="M61" s="214" t="s">
        <v>168</v>
      </c>
      <c r="V61" s="197"/>
    </row>
    <row r="62" spans="1:23" ht="18" customHeight="1">
      <c r="A62" s="196"/>
      <c r="B62" s="117"/>
      <c r="C62" s="96" t="s">
        <v>416</v>
      </c>
      <c r="D62" s="14"/>
      <c r="E62" s="47"/>
      <c r="F62" s="14"/>
      <c r="H62" s="211"/>
      <c r="I62" s="28"/>
      <c r="J62" s="101" t="s">
        <v>138</v>
      </c>
      <c r="K62" s="688"/>
      <c r="L62" s="689"/>
      <c r="M62" s="214" t="s">
        <v>168</v>
      </c>
      <c r="N62" s="14"/>
      <c r="P62" s="28"/>
      <c r="Q62" s="211"/>
      <c r="R62" s="14"/>
      <c r="S62" s="14"/>
      <c r="T62" s="14"/>
      <c r="U62" s="14"/>
      <c r="V62" s="197"/>
    </row>
    <row r="63" spans="1:23" ht="18" customHeight="1">
      <c r="A63" s="196"/>
      <c r="C63" s="96" t="s">
        <v>792</v>
      </c>
      <c r="D63" s="14"/>
      <c r="E63" s="47"/>
      <c r="F63" s="14"/>
      <c r="H63" s="211"/>
      <c r="I63" s="27"/>
      <c r="J63" s="101" t="s">
        <v>138</v>
      </c>
      <c r="K63" s="644">
        <f>SUM(K54:L62)</f>
        <v>8.0000000000000002E-3</v>
      </c>
      <c r="L63" s="645"/>
      <c r="M63" s="214" t="s">
        <v>168</v>
      </c>
      <c r="R63" s="14"/>
      <c r="S63" s="14"/>
      <c r="T63" s="14"/>
      <c r="U63" s="293"/>
      <c r="V63" s="197"/>
    </row>
    <row r="64" spans="1:23" ht="18" customHeight="1">
      <c r="A64" s="196"/>
      <c r="C64" s="196" t="s">
        <v>423</v>
      </c>
      <c r="D64" s="14"/>
      <c r="E64" s="14"/>
      <c r="F64" s="14"/>
      <c r="I64" s="27"/>
      <c r="J64" s="101" t="s">
        <v>138</v>
      </c>
      <c r="K64" s="1197">
        <f>'CT-VT Burdens'!S39</f>
        <v>2.7035014500000001</v>
      </c>
      <c r="L64" s="1198"/>
      <c r="M64" s="309" t="s">
        <v>168</v>
      </c>
      <c r="R64" s="14"/>
      <c r="S64" s="14"/>
      <c r="T64" s="14"/>
      <c r="U64" s="293"/>
      <c r="V64" s="197"/>
    </row>
    <row r="65" spans="1:22" ht="18" customHeight="1">
      <c r="A65" s="196"/>
      <c r="C65" s="1" t="s">
        <v>424</v>
      </c>
      <c r="D65" s="2"/>
      <c r="E65" s="2"/>
      <c r="F65" s="2"/>
      <c r="G65" s="208"/>
      <c r="H65" s="208"/>
      <c r="I65" s="236" t="s">
        <v>523</v>
      </c>
      <c r="J65" s="195" t="s">
        <v>138</v>
      </c>
      <c r="K65" s="1197">
        <f>K63+K64</f>
        <v>2.7115014500000001</v>
      </c>
      <c r="L65" s="1198"/>
      <c r="M65" s="3" t="s">
        <v>168</v>
      </c>
      <c r="R65" s="14"/>
      <c r="S65" s="14"/>
      <c r="T65" s="14"/>
      <c r="U65" s="293"/>
      <c r="V65" s="197"/>
    </row>
    <row r="66" spans="1:22" ht="18" customHeight="1">
      <c r="A66" s="96"/>
      <c r="B66" s="14"/>
      <c r="C66" s="120"/>
      <c r="D66" s="47"/>
      <c r="E66" s="47"/>
      <c r="F66" s="47"/>
      <c r="G66" s="47"/>
      <c r="H66" s="47"/>
      <c r="I66" s="47"/>
      <c r="J66" s="14"/>
      <c r="K66" s="28"/>
      <c r="L66" s="14"/>
      <c r="M66" s="14"/>
      <c r="N66" s="230"/>
      <c r="O66" s="14"/>
      <c r="P66" s="14"/>
      <c r="R66" s="14"/>
      <c r="S66" s="14"/>
      <c r="T66" s="14"/>
      <c r="U66" s="14"/>
      <c r="V66" s="197"/>
    </row>
    <row r="67" spans="1:22" ht="18" customHeight="1">
      <c r="A67" s="196"/>
      <c r="R67" s="14"/>
      <c r="S67" s="14"/>
      <c r="T67" s="14"/>
      <c r="U67" s="198"/>
      <c r="V67" s="197"/>
    </row>
    <row r="68" spans="1:22" ht="18" customHeight="1">
      <c r="A68" s="196"/>
      <c r="B68" s="117" t="s">
        <v>793</v>
      </c>
      <c r="V68" s="197"/>
    </row>
    <row r="69" spans="1:22" ht="18" customHeight="1">
      <c r="A69" s="196"/>
      <c r="V69" s="197"/>
    </row>
    <row r="70" spans="1:22" ht="18" customHeight="1">
      <c r="A70" s="196"/>
      <c r="B70" s="14" t="s">
        <v>794</v>
      </c>
      <c r="C70" s="14"/>
      <c r="D70" s="120"/>
      <c r="J70" s="28" t="s">
        <v>138</v>
      </c>
      <c r="K70" s="47" t="s">
        <v>792</v>
      </c>
      <c r="M70" s="47"/>
      <c r="N70" s="47"/>
      <c r="P70" s="102" t="s">
        <v>353</v>
      </c>
      <c r="Q70" s="30" t="s">
        <v>795</v>
      </c>
      <c r="R70" s="14"/>
      <c r="V70" s="197"/>
    </row>
    <row r="71" spans="1:22" ht="18" customHeight="1">
      <c r="A71" s="196"/>
      <c r="B71" s="14"/>
      <c r="C71" s="14"/>
      <c r="D71" s="120"/>
      <c r="J71" s="28" t="s">
        <v>138</v>
      </c>
      <c r="K71" s="641">
        <f>K63</f>
        <v>8.0000000000000002E-3</v>
      </c>
      <c r="L71" s="638"/>
      <c r="M71" s="102" t="s">
        <v>353</v>
      </c>
      <c r="N71" s="641">
        <f>K49/SQRT(3)*1000</f>
        <v>63.508529610858844</v>
      </c>
      <c r="O71" s="638"/>
      <c r="V71" s="197"/>
    </row>
    <row r="72" spans="1:22" ht="18" customHeight="1">
      <c r="A72" s="196"/>
      <c r="B72" s="14"/>
      <c r="C72" s="14"/>
      <c r="D72" s="120"/>
      <c r="J72" s="28" t="s">
        <v>138</v>
      </c>
      <c r="K72" s="911">
        <f>K71/N71</f>
        <v>1.259673314595547E-4</v>
      </c>
      <c r="L72" s="911"/>
      <c r="M72" s="47" t="s">
        <v>9</v>
      </c>
      <c r="N72" s="47"/>
      <c r="O72" s="14"/>
      <c r="P72" s="28"/>
      <c r="Q72" s="14"/>
      <c r="R72" s="14"/>
      <c r="V72" s="197"/>
    </row>
    <row r="73" spans="1:22" ht="18" customHeight="1">
      <c r="A73" s="196"/>
      <c r="V73" s="197"/>
    </row>
    <row r="74" spans="1:22" ht="18" customHeight="1">
      <c r="A74" s="196"/>
      <c r="B74" s="14" t="s">
        <v>796</v>
      </c>
      <c r="C74" s="14"/>
      <c r="D74" s="14"/>
      <c r="E74" s="14"/>
      <c r="F74" s="14"/>
      <c r="G74" s="14"/>
      <c r="H74" s="14"/>
      <c r="I74" s="47"/>
      <c r="J74" s="28" t="s">
        <v>138</v>
      </c>
      <c r="K74" s="638" t="s">
        <v>797</v>
      </c>
      <c r="L74" s="638"/>
      <c r="M74" s="28" t="s">
        <v>326</v>
      </c>
      <c r="N74" s="47" t="s">
        <v>798</v>
      </c>
      <c r="O74" s="14"/>
      <c r="P74" s="28"/>
      <c r="Q74" s="479"/>
      <c r="V74" s="197"/>
    </row>
    <row r="75" spans="1:22" ht="18" customHeight="1">
      <c r="A75" s="196"/>
      <c r="J75" s="28" t="s">
        <v>138</v>
      </c>
      <c r="K75" s="639">
        <f>K72*K72</f>
        <v>1.5867768595041319E-8</v>
      </c>
      <c r="L75" s="639"/>
      <c r="M75" s="28" t="s">
        <v>326</v>
      </c>
      <c r="N75" s="637">
        <f>N33</f>
        <v>2.7035014500000001</v>
      </c>
      <c r="O75" s="637"/>
      <c r="V75" s="197"/>
    </row>
    <row r="76" spans="1:22" ht="18" customHeight="1">
      <c r="A76" s="196"/>
      <c r="J76" s="28" t="s">
        <v>138</v>
      </c>
      <c r="K76" s="1163">
        <f>K75*N75</f>
        <v>4.289853540495867E-8</v>
      </c>
      <c r="L76" s="1163"/>
      <c r="M76" s="30" t="s">
        <v>168</v>
      </c>
      <c r="V76" s="197"/>
    </row>
    <row r="77" spans="1:22" ht="18" customHeight="1">
      <c r="A77" s="196"/>
      <c r="V77" s="197"/>
    </row>
    <row r="78" spans="1:22" ht="18" customHeight="1">
      <c r="A78" s="196"/>
      <c r="B78" s="14" t="s">
        <v>799</v>
      </c>
      <c r="C78" s="14"/>
      <c r="D78" s="14"/>
      <c r="E78" s="28"/>
      <c r="F78" s="14"/>
      <c r="G78" s="14"/>
      <c r="H78" s="102"/>
      <c r="I78" s="47"/>
      <c r="J78" s="47"/>
      <c r="K78" s="14"/>
      <c r="V78" s="197"/>
    </row>
    <row r="79" spans="1:22" ht="18" customHeight="1">
      <c r="A79" s="196"/>
      <c r="B79" s="14"/>
      <c r="C79" s="14"/>
      <c r="D79" s="269"/>
      <c r="E79" s="120" t="s">
        <v>800</v>
      </c>
      <c r="F79" s="27" t="str">
        <f>IF(D80&gt;=G80,"&gt;","&lt;")</f>
        <v>&gt;</v>
      </c>
      <c r="G79" s="489" t="s">
        <v>131</v>
      </c>
      <c r="H79" s="230"/>
      <c r="J79" s="28"/>
      <c r="K79" s="230"/>
      <c r="V79" s="197"/>
    </row>
    <row r="80" spans="1:22" ht="18" customHeight="1">
      <c r="A80" s="196"/>
      <c r="D80" s="639">
        <f>H51</f>
        <v>50</v>
      </c>
      <c r="E80" s="639"/>
      <c r="F80" s="27" t="str">
        <f>F79</f>
        <v>&gt;</v>
      </c>
      <c r="G80" s="637">
        <f>K65</f>
        <v>2.7115014500000001</v>
      </c>
      <c r="H80" s="637"/>
      <c r="I80" s="14"/>
      <c r="J80" s="269"/>
      <c r="V80" s="197"/>
    </row>
    <row r="81" spans="1:23" ht="18" customHeight="1">
      <c r="A81" s="196"/>
      <c r="D81" s="211"/>
      <c r="E81" s="256" t="s">
        <v>801</v>
      </c>
      <c r="F81" s="27"/>
      <c r="G81" s="18" t="str">
        <f>IF(F79="&gt;","Suitably Dimensioned","Under Dimensioned")</f>
        <v>Suitably Dimensioned</v>
      </c>
      <c r="H81" s="27"/>
      <c r="I81" s="120"/>
      <c r="J81" s="27"/>
      <c r="K81" s="120"/>
      <c r="V81" s="197"/>
    </row>
    <row r="82" spans="1:23" ht="18" customHeight="1">
      <c r="A82" s="196"/>
      <c r="V82" s="197"/>
    </row>
    <row r="83" spans="1:23" ht="18" customHeight="1">
      <c r="A83" s="196"/>
      <c r="V83" s="197"/>
    </row>
    <row r="84" spans="1:23" ht="18" customHeight="1">
      <c r="A84" s="196"/>
      <c r="V84" s="197"/>
    </row>
    <row r="85" spans="1:23" ht="18" customHeight="1">
      <c r="A85" s="196"/>
      <c r="V85" s="197"/>
    </row>
    <row r="86" spans="1:23" s="14" customFormat="1" ht="18" customHeight="1">
      <c r="A86" s="206"/>
      <c r="B86" s="207"/>
      <c r="C86" s="207"/>
      <c r="D86" s="207"/>
      <c r="E86" s="207"/>
      <c r="F86" s="207"/>
      <c r="G86" s="207"/>
      <c r="H86" s="207"/>
      <c r="I86" s="207"/>
      <c r="J86" s="207"/>
      <c r="K86" s="207"/>
      <c r="L86" s="207"/>
      <c r="M86" s="207"/>
      <c r="N86" s="207"/>
      <c r="O86" s="207"/>
      <c r="P86" s="207"/>
      <c r="Q86" s="236"/>
      <c r="R86" s="194"/>
      <c r="S86" s="1195"/>
      <c r="T86" s="1196"/>
      <c r="U86" s="207"/>
      <c r="V86" s="140"/>
    </row>
    <row r="87" spans="1:23" ht="18" customHeight="1">
      <c r="A87" s="238"/>
      <c r="B87" s="239"/>
      <c r="C87" s="239"/>
      <c r="D87" s="239"/>
      <c r="E87" s="239"/>
      <c r="F87" s="239"/>
      <c r="G87" s="239"/>
      <c r="H87" s="239"/>
      <c r="I87" s="239"/>
      <c r="J87" s="239"/>
      <c r="K87" s="239"/>
      <c r="L87" s="239"/>
      <c r="M87" s="239"/>
      <c r="N87" s="239"/>
      <c r="O87" s="239"/>
      <c r="P87" s="239"/>
      <c r="Q87" s="239"/>
      <c r="R87" s="239"/>
      <c r="S87" s="239"/>
      <c r="T87" s="239"/>
      <c r="U87" s="239"/>
      <c r="V87" s="240"/>
    </row>
    <row r="88" spans="1:23" ht="18" customHeight="1">
      <c r="A88" s="196"/>
      <c r="B88" s="656" t="s">
        <v>120</v>
      </c>
      <c r="C88" s="657"/>
      <c r="D88" s="894" t="s">
        <v>121</v>
      </c>
      <c r="E88" s="995"/>
      <c r="V88" s="197"/>
    </row>
    <row r="89" spans="1:23" ht="18" customHeight="1">
      <c r="A89" s="196"/>
      <c r="V89" s="197"/>
    </row>
    <row r="90" spans="1:23" ht="18" customHeight="1">
      <c r="A90" s="196"/>
      <c r="B90" s="30" t="s">
        <v>785</v>
      </c>
      <c r="H90" s="200">
        <v>400</v>
      </c>
      <c r="I90" s="201" t="s">
        <v>786</v>
      </c>
      <c r="J90" s="203" t="s">
        <v>353</v>
      </c>
      <c r="K90" s="122">
        <v>0.11</v>
      </c>
      <c r="L90" s="201" t="s">
        <v>786</v>
      </c>
      <c r="M90" s="30" t="s">
        <v>174</v>
      </c>
      <c r="V90" s="197"/>
    </row>
    <row r="91" spans="1:23" ht="18" customHeight="1">
      <c r="A91" s="196"/>
      <c r="B91" s="30" t="s">
        <v>787</v>
      </c>
      <c r="H91" s="656">
        <v>0.2</v>
      </c>
      <c r="I91" s="657"/>
      <c r="V91" s="197"/>
    </row>
    <row r="92" spans="1:23" ht="18" customHeight="1">
      <c r="A92" s="196"/>
      <c r="B92" s="30" t="s">
        <v>573</v>
      </c>
      <c r="H92" s="656">
        <v>50</v>
      </c>
      <c r="I92" s="657"/>
      <c r="J92" s="30" t="s">
        <v>168</v>
      </c>
      <c r="V92" s="197"/>
      <c r="W92" s="30" t="str">
        <f>G118</f>
        <v>Suitably Dimensioned</v>
      </c>
    </row>
    <row r="93" spans="1:23" ht="18" customHeight="1">
      <c r="A93" s="196"/>
      <c r="V93" s="197"/>
    </row>
    <row r="94" spans="1:23" ht="18" customHeight="1">
      <c r="A94" s="196"/>
      <c r="V94" s="197"/>
    </row>
    <row r="95" spans="1:23" ht="18" customHeight="1">
      <c r="A95" s="196"/>
      <c r="C95" s="141" t="s">
        <v>416</v>
      </c>
      <c r="D95" s="285"/>
      <c r="E95" s="146" t="s">
        <v>255</v>
      </c>
      <c r="F95" s="239"/>
      <c r="G95" s="239"/>
      <c r="H95" s="239"/>
      <c r="I95" s="145"/>
      <c r="J95" s="272" t="s">
        <v>138</v>
      </c>
      <c r="K95" s="688">
        <f>'CT-VT Burdens'!Q85</f>
        <v>8.0000000000000002E-3</v>
      </c>
      <c r="L95" s="689"/>
      <c r="M95" s="3" t="s">
        <v>168</v>
      </c>
      <c r="V95" s="197"/>
    </row>
    <row r="96" spans="1:23" ht="18" customHeight="1">
      <c r="A96" s="196"/>
      <c r="C96" s="96" t="s">
        <v>416</v>
      </c>
      <c r="D96" s="14"/>
      <c r="E96" s="47"/>
      <c r="F96" s="14"/>
      <c r="H96" s="211"/>
      <c r="I96" s="27"/>
      <c r="J96" s="101" t="s">
        <v>138</v>
      </c>
      <c r="K96" s="688"/>
      <c r="L96" s="689"/>
      <c r="M96" s="214" t="s">
        <v>168</v>
      </c>
      <c r="V96" s="197"/>
    </row>
    <row r="97" spans="1:22" ht="18" customHeight="1">
      <c r="A97" s="196"/>
      <c r="C97" s="96" t="s">
        <v>416</v>
      </c>
      <c r="D97" s="14"/>
      <c r="E97" s="47"/>
      <c r="F97" s="14"/>
      <c r="H97" s="211"/>
      <c r="I97" s="27"/>
      <c r="J97" s="101" t="s">
        <v>138</v>
      </c>
      <c r="K97" s="688"/>
      <c r="L97" s="689"/>
      <c r="M97" s="214" t="s">
        <v>168</v>
      </c>
      <c r="V97" s="197"/>
    </row>
    <row r="98" spans="1:22" ht="18" customHeight="1">
      <c r="A98" s="196"/>
      <c r="C98" s="96" t="s">
        <v>416</v>
      </c>
      <c r="D98" s="14"/>
      <c r="E98" s="47"/>
      <c r="F98" s="14"/>
      <c r="H98" s="211"/>
      <c r="I98" s="27"/>
      <c r="J98" s="101" t="s">
        <v>138</v>
      </c>
      <c r="K98" s="688"/>
      <c r="L98" s="689"/>
      <c r="M98" s="214" t="s">
        <v>168</v>
      </c>
      <c r="V98" s="197"/>
    </row>
    <row r="99" spans="1:22" ht="18" customHeight="1">
      <c r="A99" s="196"/>
      <c r="B99" s="117"/>
      <c r="C99" s="96" t="s">
        <v>416</v>
      </c>
      <c r="D99" s="14"/>
      <c r="E99" s="47"/>
      <c r="F99" s="14"/>
      <c r="H99" s="211"/>
      <c r="I99" s="27"/>
      <c r="J99" s="101" t="s">
        <v>138</v>
      </c>
      <c r="K99" s="688"/>
      <c r="L99" s="689"/>
      <c r="M99" s="214" t="s">
        <v>168</v>
      </c>
      <c r="N99" s="14"/>
      <c r="O99" s="14"/>
      <c r="P99" s="28"/>
      <c r="Q99" s="211"/>
      <c r="R99" s="14"/>
      <c r="S99" s="14"/>
      <c r="T99" s="14"/>
      <c r="U99" s="14"/>
      <c r="V99" s="197"/>
    </row>
    <row r="100" spans="1:22" ht="18" customHeight="1">
      <c r="A100" s="196"/>
      <c r="C100" s="96" t="s">
        <v>792</v>
      </c>
      <c r="D100" s="14"/>
      <c r="E100" s="47"/>
      <c r="F100" s="14"/>
      <c r="H100" s="211"/>
      <c r="I100" s="27"/>
      <c r="J100" s="101" t="s">
        <v>138</v>
      </c>
      <c r="K100" s="644">
        <f>SUM(K95:L99)</f>
        <v>8.0000000000000002E-3</v>
      </c>
      <c r="L100" s="645"/>
      <c r="M100" s="214" t="s">
        <v>168</v>
      </c>
      <c r="R100" s="14"/>
      <c r="S100" s="14"/>
      <c r="T100" s="14"/>
      <c r="U100" s="293"/>
      <c r="V100" s="197"/>
    </row>
    <row r="101" spans="1:22" ht="18" customHeight="1">
      <c r="A101" s="196"/>
      <c r="C101" s="196" t="s">
        <v>423</v>
      </c>
      <c r="D101" s="14"/>
      <c r="E101" s="14"/>
      <c r="F101" s="14"/>
      <c r="I101" s="27"/>
      <c r="J101" s="101" t="s">
        <v>138</v>
      </c>
      <c r="K101" s="1197">
        <f>'CT-VT Burdens'!S39</f>
        <v>2.7035014500000001</v>
      </c>
      <c r="L101" s="1198"/>
      <c r="M101" s="309" t="s">
        <v>168</v>
      </c>
      <c r="R101" s="14"/>
      <c r="S101" s="14"/>
      <c r="T101" s="14"/>
      <c r="U101" s="293"/>
      <c r="V101" s="197"/>
    </row>
    <row r="102" spans="1:22" ht="18" customHeight="1">
      <c r="A102" s="196"/>
      <c r="C102" s="1" t="s">
        <v>424</v>
      </c>
      <c r="D102" s="2"/>
      <c r="E102" s="2"/>
      <c r="F102" s="2"/>
      <c r="G102" s="208"/>
      <c r="H102" s="208"/>
      <c r="I102" s="236" t="s">
        <v>523</v>
      </c>
      <c r="J102" s="195" t="s">
        <v>138</v>
      </c>
      <c r="K102" s="1197">
        <f>K100+K101</f>
        <v>2.7115014500000001</v>
      </c>
      <c r="L102" s="1198"/>
      <c r="M102" s="3" t="s">
        <v>168</v>
      </c>
      <c r="R102" s="14"/>
      <c r="S102" s="14"/>
      <c r="T102" s="14"/>
      <c r="U102" s="293"/>
      <c r="V102" s="197"/>
    </row>
    <row r="103" spans="1:22" ht="18" customHeight="1">
      <c r="A103" s="96"/>
      <c r="B103" s="14"/>
      <c r="C103" s="120"/>
      <c r="D103" s="47"/>
      <c r="E103" s="47"/>
      <c r="F103" s="47"/>
      <c r="G103" s="47"/>
      <c r="H103" s="47"/>
      <c r="I103" s="47"/>
      <c r="J103" s="14"/>
      <c r="K103" s="28"/>
      <c r="L103" s="14"/>
      <c r="M103" s="14"/>
      <c r="N103" s="230"/>
      <c r="O103" s="230"/>
      <c r="P103" s="14"/>
      <c r="R103" s="14"/>
      <c r="S103" s="14"/>
      <c r="T103" s="14"/>
      <c r="U103" s="14"/>
      <c r="V103" s="197"/>
    </row>
    <row r="104" spans="1:22" ht="18" customHeight="1">
      <c r="A104" s="196"/>
      <c r="P104" s="479"/>
      <c r="R104" s="14"/>
      <c r="S104" s="14"/>
      <c r="T104" s="14"/>
      <c r="U104" s="198"/>
      <c r="V104" s="197"/>
    </row>
    <row r="105" spans="1:22" ht="18" customHeight="1">
      <c r="A105" s="196"/>
      <c r="B105" s="117" t="s">
        <v>793</v>
      </c>
      <c r="V105" s="197"/>
    </row>
    <row r="106" spans="1:22" ht="18" customHeight="1">
      <c r="A106" s="196"/>
      <c r="V106" s="197"/>
    </row>
    <row r="107" spans="1:22" ht="18" customHeight="1">
      <c r="A107" s="196"/>
      <c r="B107" s="14" t="s">
        <v>794</v>
      </c>
      <c r="C107" s="14"/>
      <c r="D107" s="120"/>
      <c r="J107" s="28" t="s">
        <v>138</v>
      </c>
      <c r="K107" s="47" t="s">
        <v>792</v>
      </c>
      <c r="M107" s="47"/>
      <c r="N107" s="47"/>
      <c r="P107" s="102" t="s">
        <v>353</v>
      </c>
      <c r="Q107" s="30" t="s">
        <v>795</v>
      </c>
      <c r="R107" s="14"/>
      <c r="V107" s="197"/>
    </row>
    <row r="108" spans="1:22" ht="18" customHeight="1">
      <c r="A108" s="196"/>
      <c r="B108" s="14"/>
      <c r="C108" s="14"/>
      <c r="D108" s="120"/>
      <c r="J108" s="28" t="s">
        <v>138</v>
      </c>
      <c r="K108" s="641">
        <f>K100</f>
        <v>8.0000000000000002E-3</v>
      </c>
      <c r="L108" s="638"/>
      <c r="M108" s="102" t="s">
        <v>353</v>
      </c>
      <c r="N108" s="641">
        <f>K90/SQRT(3)*1000</f>
        <v>63.508529610858844</v>
      </c>
      <c r="O108" s="638"/>
      <c r="V108" s="197"/>
    </row>
    <row r="109" spans="1:22" ht="18" customHeight="1">
      <c r="A109" s="196"/>
      <c r="B109" s="14"/>
      <c r="C109" s="14"/>
      <c r="D109" s="120"/>
      <c r="J109" s="28" t="s">
        <v>138</v>
      </c>
      <c r="K109" s="911">
        <f>K108/N108</f>
        <v>1.259673314595547E-4</v>
      </c>
      <c r="L109" s="911"/>
      <c r="M109" s="47" t="s">
        <v>9</v>
      </c>
      <c r="N109" s="47"/>
      <c r="O109" s="14"/>
      <c r="P109" s="28"/>
      <c r="Q109" s="14"/>
      <c r="R109" s="14"/>
      <c r="V109" s="197"/>
    </row>
    <row r="110" spans="1:22" ht="18" customHeight="1">
      <c r="A110" s="196"/>
      <c r="V110" s="197"/>
    </row>
    <row r="111" spans="1:22" ht="18" customHeight="1">
      <c r="A111" s="196"/>
      <c r="B111" s="14" t="s">
        <v>796</v>
      </c>
      <c r="C111" s="14"/>
      <c r="D111" s="14"/>
      <c r="E111" s="14"/>
      <c r="F111" s="14"/>
      <c r="G111" s="14"/>
      <c r="H111" s="14"/>
      <c r="I111" s="47"/>
      <c r="J111" s="28" t="s">
        <v>138</v>
      </c>
      <c r="K111" s="638" t="s">
        <v>797</v>
      </c>
      <c r="L111" s="638"/>
      <c r="M111" s="28" t="s">
        <v>326</v>
      </c>
      <c r="N111" s="47" t="s">
        <v>798</v>
      </c>
      <c r="O111" s="14"/>
      <c r="P111" s="28"/>
      <c r="V111" s="197"/>
    </row>
    <row r="112" spans="1:22" ht="18" customHeight="1">
      <c r="A112" s="196"/>
      <c r="J112" s="28" t="s">
        <v>138</v>
      </c>
      <c r="K112" s="639">
        <f>K109*K109</f>
        <v>1.5867768595041319E-8</v>
      </c>
      <c r="L112" s="639"/>
      <c r="M112" s="28" t="s">
        <v>326</v>
      </c>
      <c r="N112" s="637">
        <f>N75</f>
        <v>2.7035014500000001</v>
      </c>
      <c r="O112" s="637"/>
      <c r="V112" s="197"/>
    </row>
    <row r="113" spans="1:22" ht="18" customHeight="1">
      <c r="A113" s="196"/>
      <c r="J113" s="28" t="s">
        <v>138</v>
      </c>
      <c r="K113" s="1163">
        <f>K112*N112</f>
        <v>4.289853540495867E-8</v>
      </c>
      <c r="L113" s="1163"/>
      <c r="M113" s="30" t="s">
        <v>168</v>
      </c>
      <c r="V113" s="197"/>
    </row>
    <row r="114" spans="1:22" ht="18" customHeight="1">
      <c r="A114" s="196"/>
      <c r="V114" s="197"/>
    </row>
    <row r="115" spans="1:22" ht="18" customHeight="1">
      <c r="A115" s="196"/>
      <c r="B115" s="14" t="s">
        <v>799</v>
      </c>
      <c r="C115" s="14"/>
      <c r="D115" s="14"/>
      <c r="E115" s="28"/>
      <c r="F115" s="14"/>
      <c r="G115" s="14"/>
      <c r="H115" s="102"/>
      <c r="I115" s="47"/>
      <c r="J115" s="47"/>
      <c r="K115" s="14"/>
      <c r="V115" s="197"/>
    </row>
    <row r="116" spans="1:22" ht="18" customHeight="1">
      <c r="A116" s="196"/>
      <c r="B116" s="14"/>
      <c r="C116" s="14"/>
      <c r="D116" s="269"/>
      <c r="E116" s="120" t="s">
        <v>800</v>
      </c>
      <c r="F116" s="27" t="str">
        <f>IF(D117&gt;=G117,"&gt;","&lt;")</f>
        <v>&gt;</v>
      </c>
      <c r="G116" s="293" t="s">
        <v>131</v>
      </c>
      <c r="H116" s="230"/>
      <c r="J116" s="28"/>
      <c r="K116" s="230"/>
      <c r="V116" s="197"/>
    </row>
    <row r="117" spans="1:22" ht="18" customHeight="1">
      <c r="A117" s="196"/>
      <c r="D117" s="639">
        <f>H92</f>
        <v>50</v>
      </c>
      <c r="E117" s="639"/>
      <c r="F117" s="27" t="str">
        <f>F116</f>
        <v>&gt;</v>
      </c>
      <c r="G117" s="1163">
        <f>K102</f>
        <v>2.7115014500000001</v>
      </c>
      <c r="H117" s="639"/>
      <c r="I117" s="14"/>
      <c r="J117" s="269"/>
      <c r="V117" s="197"/>
    </row>
    <row r="118" spans="1:22" ht="18" customHeight="1">
      <c r="A118" s="196"/>
      <c r="D118" s="211"/>
      <c r="E118" s="256" t="s">
        <v>801</v>
      </c>
      <c r="F118" s="27"/>
      <c r="G118" s="18" t="str">
        <f>IF(F117="&gt;","Suitably Dimensioned","Under Dimensioned")</f>
        <v>Suitably Dimensioned</v>
      </c>
      <c r="H118" s="27"/>
      <c r="I118" s="120"/>
      <c r="J118" s="27"/>
      <c r="K118" s="120"/>
      <c r="V118" s="197"/>
    </row>
    <row r="119" spans="1:22" ht="18" customHeight="1">
      <c r="A119" s="196"/>
      <c r="D119" s="211"/>
      <c r="E119" s="256"/>
      <c r="F119" s="27"/>
      <c r="G119" s="18"/>
      <c r="H119" s="27"/>
      <c r="I119" s="120"/>
      <c r="J119" s="27"/>
      <c r="K119" s="120"/>
      <c r="V119" s="197"/>
    </row>
    <row r="120" spans="1:22" ht="18" customHeight="1">
      <c r="A120" s="196"/>
      <c r="D120" s="211"/>
      <c r="E120" s="256"/>
      <c r="F120" s="27"/>
      <c r="G120" s="18"/>
      <c r="H120" s="27"/>
      <c r="I120" s="120"/>
      <c r="J120" s="27"/>
      <c r="K120" s="120"/>
      <c r="V120" s="197"/>
    </row>
    <row r="121" spans="1:22" ht="18" customHeight="1">
      <c r="A121" s="196"/>
      <c r="D121" s="211"/>
      <c r="E121" s="256"/>
      <c r="F121" s="27"/>
      <c r="G121" s="18"/>
      <c r="H121" s="27"/>
      <c r="I121" s="120"/>
      <c r="J121" s="27"/>
      <c r="K121" s="120"/>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s="14" customFormat="1" ht="18" customHeight="1">
      <c r="A126" s="206"/>
      <c r="B126" s="207"/>
      <c r="C126" s="207"/>
      <c r="D126" s="207"/>
      <c r="E126" s="207"/>
      <c r="F126" s="207"/>
      <c r="G126" s="207"/>
      <c r="H126" s="207"/>
      <c r="I126" s="207"/>
      <c r="J126" s="207"/>
      <c r="K126" s="207"/>
      <c r="L126" s="207"/>
      <c r="M126" s="207"/>
      <c r="N126" s="207"/>
      <c r="O126" s="207"/>
      <c r="P126" s="207"/>
      <c r="Q126" s="236"/>
      <c r="R126" s="194"/>
      <c r="S126" s="237"/>
      <c r="T126" s="207"/>
      <c r="U126" s="207"/>
      <c r="V126" s="140"/>
    </row>
    <row r="127" spans="1:22" s="14" customFormat="1" ht="18" customHeight="1">
      <c r="A127" s="141"/>
      <c r="B127" s="285"/>
      <c r="C127" s="285"/>
      <c r="D127" s="285"/>
      <c r="E127" s="285"/>
      <c r="F127" s="285"/>
      <c r="G127" s="285"/>
      <c r="H127" s="285"/>
      <c r="I127" s="285"/>
      <c r="J127" s="285"/>
      <c r="K127" s="285"/>
      <c r="L127" s="285"/>
      <c r="M127" s="285"/>
      <c r="N127" s="285"/>
      <c r="O127" s="285"/>
      <c r="P127" s="285"/>
      <c r="Q127" s="286"/>
      <c r="R127" s="145"/>
      <c r="S127" s="287"/>
      <c r="T127" s="285"/>
      <c r="U127" s="285"/>
      <c r="V127" s="288"/>
    </row>
    <row r="128" spans="1:22" ht="18" customHeight="1">
      <c r="A128" s="96" t="s">
        <v>804</v>
      </c>
      <c r="V128" s="197"/>
    </row>
    <row r="129" spans="1:22" ht="18" customHeight="1">
      <c r="A129" s="660" t="s">
        <v>127</v>
      </c>
      <c r="B129" s="660"/>
      <c r="C129" s="660"/>
      <c r="D129" s="660"/>
      <c r="E129" s="660" t="s">
        <v>128</v>
      </c>
      <c r="F129" s="660"/>
      <c r="G129" s="660"/>
      <c r="H129" s="660"/>
      <c r="I129" s="660"/>
      <c r="J129" s="782" t="s">
        <v>129</v>
      </c>
      <c r="K129" s="782"/>
      <c r="L129" s="782" t="s">
        <v>100</v>
      </c>
      <c r="M129" s="782"/>
      <c r="N129" s="782" t="s">
        <v>112</v>
      </c>
      <c r="O129" s="782"/>
      <c r="P129" s="782"/>
      <c r="Q129" s="660" t="s">
        <v>805</v>
      </c>
      <c r="R129" s="660"/>
      <c r="S129" s="660"/>
      <c r="T129" s="660"/>
      <c r="U129" s="660"/>
      <c r="V129" s="660"/>
    </row>
    <row r="130" spans="1:22" ht="18" customHeight="1">
      <c r="A130" s="660"/>
      <c r="B130" s="660"/>
      <c r="C130" s="660"/>
      <c r="D130" s="660"/>
      <c r="E130" s="660"/>
      <c r="F130" s="660"/>
      <c r="G130" s="660"/>
      <c r="H130" s="660"/>
      <c r="I130" s="660"/>
      <c r="J130" s="782"/>
      <c r="K130" s="782"/>
      <c r="L130" s="782"/>
      <c r="M130" s="782"/>
      <c r="N130" s="782"/>
      <c r="O130" s="782"/>
      <c r="P130" s="782"/>
      <c r="Q130" s="660"/>
      <c r="R130" s="660"/>
      <c r="S130" s="660"/>
      <c r="T130" s="660"/>
      <c r="U130" s="660"/>
      <c r="V130" s="660"/>
    </row>
    <row r="131" spans="1:22" ht="18" customHeight="1">
      <c r="A131" s="660"/>
      <c r="B131" s="660"/>
      <c r="C131" s="660"/>
      <c r="D131" s="660"/>
      <c r="E131" s="1203"/>
      <c r="F131" s="1203"/>
      <c r="G131" s="660"/>
      <c r="H131" s="660"/>
      <c r="I131" s="660"/>
      <c r="J131" s="782"/>
      <c r="K131" s="782"/>
      <c r="L131" s="782"/>
      <c r="M131" s="782"/>
      <c r="N131" s="782"/>
      <c r="O131" s="782"/>
      <c r="P131" s="782"/>
      <c r="Q131" s="660"/>
      <c r="R131" s="660"/>
      <c r="S131" s="660"/>
      <c r="T131" s="660"/>
      <c r="U131" s="660"/>
      <c r="V131" s="660"/>
    </row>
    <row r="132" spans="1:22" ht="18" customHeight="1">
      <c r="A132" s="824" t="str">
        <f>B7</f>
        <v>T1</v>
      </c>
      <c r="B132" s="826"/>
      <c r="C132" s="786" t="str">
        <f>D7</f>
        <v>Core1</v>
      </c>
      <c r="D132" s="787"/>
      <c r="E132" s="355">
        <f>H9</f>
        <v>400</v>
      </c>
      <c r="F132" s="258" t="str">
        <f>I9</f>
        <v>/ √3</v>
      </c>
      <c r="G132" s="356" t="s">
        <v>353</v>
      </c>
      <c r="H132" s="255">
        <f>K9</f>
        <v>0.11</v>
      </c>
      <c r="I132" s="258" t="str">
        <f>L9</f>
        <v>/ √3</v>
      </c>
      <c r="J132" s="649">
        <f>'CT-VT Burdens'!S37</f>
        <v>150</v>
      </c>
      <c r="K132" s="1202">
        <f>'CT-VT Burdens'!S28</f>
        <v>2.5</v>
      </c>
      <c r="L132" s="649" t="str">
        <f>H10</f>
        <v>0.5/3P</v>
      </c>
      <c r="M132" s="649"/>
      <c r="N132" s="649">
        <f>H11</f>
        <v>50</v>
      </c>
      <c r="O132" s="649"/>
      <c r="P132" s="649"/>
      <c r="Q132" s="649" t="str">
        <f>G39</f>
        <v>Suitably Dimensioned</v>
      </c>
      <c r="R132" s="649"/>
      <c r="S132" s="649"/>
      <c r="T132" s="649"/>
      <c r="U132" s="649"/>
      <c r="V132" s="649"/>
    </row>
    <row r="133" spans="1:22" ht="18" customHeight="1">
      <c r="A133" s="1199"/>
      <c r="B133" s="1200"/>
      <c r="C133" s="649" t="str">
        <f>D47</f>
        <v>Core2</v>
      </c>
      <c r="D133" s="649"/>
      <c r="E133" s="355">
        <f>H49</f>
        <v>400</v>
      </c>
      <c r="F133" s="258" t="str">
        <f>I49</f>
        <v>/ √3</v>
      </c>
      <c r="G133" s="480" t="s">
        <v>353</v>
      </c>
      <c r="H133" s="255">
        <f>K49</f>
        <v>0.11</v>
      </c>
      <c r="I133" s="258" t="str">
        <f>L49</f>
        <v>/ √3</v>
      </c>
      <c r="J133" s="649"/>
      <c r="K133" s="1202"/>
      <c r="L133" s="649">
        <f>H50</f>
        <v>0.2</v>
      </c>
      <c r="M133" s="649"/>
      <c r="N133" s="649">
        <f>H51</f>
        <v>50</v>
      </c>
      <c r="O133" s="649"/>
      <c r="P133" s="649"/>
      <c r="Q133" s="649" t="str">
        <f>G81</f>
        <v>Suitably Dimensioned</v>
      </c>
      <c r="R133" s="649"/>
      <c r="S133" s="649"/>
      <c r="T133" s="649"/>
      <c r="U133" s="649"/>
      <c r="V133" s="649"/>
    </row>
    <row r="134" spans="1:22" ht="18" customHeight="1">
      <c r="A134" s="1186"/>
      <c r="B134" s="1201"/>
      <c r="C134" s="649" t="str">
        <f>D88</f>
        <v>Core3</v>
      </c>
      <c r="D134" s="649"/>
      <c r="E134" s="355">
        <f>H90</f>
        <v>400</v>
      </c>
      <c r="F134" s="573" t="str">
        <f>I90</f>
        <v>/ √3</v>
      </c>
      <c r="G134" s="584" t="s">
        <v>353</v>
      </c>
      <c r="H134" s="583">
        <f>K90</f>
        <v>0.11</v>
      </c>
      <c r="I134" s="573" t="str">
        <f>L90</f>
        <v>/ √3</v>
      </c>
      <c r="J134" s="649"/>
      <c r="K134" s="1202"/>
      <c r="L134" s="884">
        <f>H91</f>
        <v>0.2</v>
      </c>
      <c r="M134" s="884"/>
      <c r="N134" s="884">
        <f>H92</f>
        <v>50</v>
      </c>
      <c r="O134" s="884"/>
      <c r="P134" s="884"/>
      <c r="Q134" s="649" t="str">
        <f>G118</f>
        <v>Suitably Dimensioned</v>
      </c>
      <c r="R134" s="649"/>
      <c r="S134" s="649"/>
      <c r="T134" s="649"/>
      <c r="U134" s="649"/>
      <c r="V134" s="649"/>
    </row>
    <row r="135" spans="1:22" ht="18" customHeight="1">
      <c r="A135" s="196"/>
      <c r="V135" s="197"/>
    </row>
    <row r="136" spans="1:22" ht="18" customHeight="1">
      <c r="A136" s="196"/>
      <c r="V136" s="197"/>
    </row>
    <row r="137" spans="1:22" ht="18" customHeight="1">
      <c r="A137" s="196"/>
      <c r="V137" s="197"/>
    </row>
    <row r="138" spans="1:22" ht="18" customHeight="1">
      <c r="A138" s="196"/>
      <c r="V138" s="197"/>
    </row>
    <row r="139" spans="1:22" ht="18" customHeight="1">
      <c r="A139" s="196"/>
      <c r="V139" s="197"/>
    </row>
    <row r="140" spans="1:22" ht="18" customHeight="1">
      <c r="A140" s="196"/>
      <c r="V140" s="197"/>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s="14" customFormat="1" ht="18" customHeight="1">
      <c r="A166" s="206"/>
      <c r="B166" s="207"/>
      <c r="C166" s="207"/>
      <c r="D166" s="207"/>
      <c r="E166" s="207"/>
      <c r="F166" s="207"/>
      <c r="G166" s="207"/>
      <c r="H166" s="207"/>
      <c r="I166" s="207"/>
      <c r="J166" s="207"/>
      <c r="K166" s="207"/>
      <c r="L166" s="207"/>
      <c r="M166" s="207"/>
      <c r="N166" s="207"/>
      <c r="O166" s="207"/>
      <c r="P166" s="207"/>
      <c r="Q166" s="236"/>
      <c r="R166" s="194"/>
      <c r="S166" s="1195"/>
      <c r="T166" s="1196"/>
      <c r="U166" s="207"/>
      <c r="V166" s="140"/>
    </row>
  </sheetData>
  <mergeCells count="115">
    <mergeCell ref="B7:C7"/>
    <mergeCell ref="D7:E7"/>
    <mergeCell ref="H10:I10"/>
    <mergeCell ref="H11:I11"/>
    <mergeCell ref="K14:L14"/>
    <mergeCell ref="K15:L15"/>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K19:L19"/>
    <mergeCell ref="AG19:AH19"/>
    <mergeCell ref="K21:L21"/>
    <mergeCell ref="K22:L22"/>
    <mergeCell ref="K23:L23"/>
    <mergeCell ref="K29:L29"/>
    <mergeCell ref="N29:O29"/>
    <mergeCell ref="AG15:AH15"/>
    <mergeCell ref="K16:L16"/>
    <mergeCell ref="AG16:AH16"/>
    <mergeCell ref="K17:L17"/>
    <mergeCell ref="AG17:AH17"/>
    <mergeCell ref="K18:L18"/>
    <mergeCell ref="S45:T45"/>
    <mergeCell ref="B47:C47"/>
    <mergeCell ref="D47:E47"/>
    <mergeCell ref="H50:I50"/>
    <mergeCell ref="H51:I51"/>
    <mergeCell ref="K54:L54"/>
    <mergeCell ref="K30:L30"/>
    <mergeCell ref="K32:L32"/>
    <mergeCell ref="K33:L33"/>
    <mergeCell ref="N33:O33"/>
    <mergeCell ref="K34:L34"/>
    <mergeCell ref="D38:E38"/>
    <mergeCell ref="G38:H38"/>
    <mergeCell ref="S86:T86"/>
    <mergeCell ref="K64:L64"/>
    <mergeCell ref="K65:L65"/>
    <mergeCell ref="K71:L71"/>
    <mergeCell ref="N71:O71"/>
    <mergeCell ref="K72:L72"/>
    <mergeCell ref="K74:L74"/>
    <mergeCell ref="K55:L55"/>
    <mergeCell ref="K56:L56"/>
    <mergeCell ref="K57:L57"/>
    <mergeCell ref="K58:L58"/>
    <mergeCell ref="K62:L62"/>
    <mergeCell ref="K63:L63"/>
    <mergeCell ref="K59:L59"/>
    <mergeCell ref="K60:L60"/>
    <mergeCell ref="K61:L61"/>
    <mergeCell ref="B88:C88"/>
    <mergeCell ref="D88:E88"/>
    <mergeCell ref="H91:I91"/>
    <mergeCell ref="H92:I92"/>
    <mergeCell ref="K95:L95"/>
    <mergeCell ref="K96:L96"/>
    <mergeCell ref="K75:L75"/>
    <mergeCell ref="N75:O75"/>
    <mergeCell ref="K76:L76"/>
    <mergeCell ref="D80:E80"/>
    <mergeCell ref="G80:H80"/>
    <mergeCell ref="A132:B134"/>
    <mergeCell ref="C132:D132"/>
    <mergeCell ref="J132:J134"/>
    <mergeCell ref="K132:K134"/>
    <mergeCell ref="L132:M132"/>
    <mergeCell ref="N132:P132"/>
    <mergeCell ref="Q132:V132"/>
    <mergeCell ref="C133:D133"/>
    <mergeCell ref="K113:L113"/>
    <mergeCell ref="D117:E117"/>
    <mergeCell ref="G117:H117"/>
    <mergeCell ref="A129:D131"/>
    <mergeCell ref="E129:I131"/>
    <mergeCell ref="J129:K131"/>
    <mergeCell ref="L129:M131"/>
    <mergeCell ref="E16:F16"/>
    <mergeCell ref="K20:L20"/>
    <mergeCell ref="S166:T166"/>
    <mergeCell ref="L133:M133"/>
    <mergeCell ref="N133:P133"/>
    <mergeCell ref="Q133:V133"/>
    <mergeCell ref="C134:D134"/>
    <mergeCell ref="L134:M134"/>
    <mergeCell ref="N134:P134"/>
    <mergeCell ref="Q134:V134"/>
    <mergeCell ref="N129:P131"/>
    <mergeCell ref="Q129:V131"/>
    <mergeCell ref="K108:L108"/>
    <mergeCell ref="N108:O108"/>
    <mergeCell ref="K109:L109"/>
    <mergeCell ref="K111:L111"/>
    <mergeCell ref="K112:L112"/>
    <mergeCell ref="N112:O112"/>
    <mergeCell ref="K97:L97"/>
    <mergeCell ref="K98:L98"/>
    <mergeCell ref="K99:L99"/>
    <mergeCell ref="K100:L100"/>
    <mergeCell ref="K101:L101"/>
    <mergeCell ref="K102:L102"/>
  </mergeCells>
  <phoneticPr fontId="5" type="noConversion"/>
  <conditionalFormatting sqref="G39 G81 G118:G121">
    <cfRule type="cellIs" dxfId="11" priority="2" stopIfTrue="1" operator="equal">
      <formula>"Under Dimentioned"</formula>
    </cfRule>
  </conditionalFormatting>
  <dataValidations count="1">
    <dataValidation type="list" allowBlank="1" showInputMessage="1" showErrorMessage="1" sqref="D88 IZ88 SV88 ACR88 AMN88 AWJ88 BGF88 BQB88 BZX88 CJT88 CTP88 DDL88 DNH88 DXD88 EGZ88 EQV88 FAR88 FKN88 FUJ88 GEF88 GOB88 GXX88 HHT88 HRP88 IBL88 ILH88 IVD88 JEZ88 JOV88 JYR88 KIN88 KSJ88 LCF88 LMB88 LVX88 MFT88 MPP88 MZL88 NJH88 NTD88 OCZ88 OMV88 OWR88 PGN88 PQJ88 QAF88 QKB88 QTX88 RDT88 RNP88 RXL88 SHH88 SRD88 TAZ88 TKV88 TUR88 UEN88 UOJ88 UYF88 VIB88 VRX88 WBT88 WLP88 WVL88 D65620 IZ65620 SV65620 ACR65620 AMN65620 AWJ65620 BGF65620 BQB65620 BZX65620 CJT65620 CTP65620 DDL65620 DNH65620 DXD65620 EGZ65620 EQV65620 FAR65620 FKN65620 FUJ65620 GEF65620 GOB65620 GXX65620 HHT65620 HRP65620 IBL65620 ILH65620 IVD65620 JEZ65620 JOV65620 JYR65620 KIN65620 KSJ65620 LCF65620 LMB65620 LVX65620 MFT65620 MPP65620 MZL65620 NJH65620 NTD65620 OCZ65620 OMV65620 OWR65620 PGN65620 PQJ65620 QAF65620 QKB65620 QTX65620 RDT65620 RNP65620 RXL65620 SHH65620 SRD65620 TAZ65620 TKV65620 TUR65620 UEN65620 UOJ65620 UYF65620 VIB65620 VRX65620 WBT65620 WLP65620 WVL65620 D131156 IZ131156 SV131156 ACR131156 AMN131156 AWJ131156 BGF131156 BQB131156 BZX131156 CJT131156 CTP131156 DDL131156 DNH131156 DXD131156 EGZ131156 EQV131156 FAR131156 FKN131156 FUJ131156 GEF131156 GOB131156 GXX131156 HHT131156 HRP131156 IBL131156 ILH131156 IVD131156 JEZ131156 JOV131156 JYR131156 KIN131156 KSJ131156 LCF131156 LMB131156 LVX131156 MFT131156 MPP131156 MZL131156 NJH131156 NTD131156 OCZ131156 OMV131156 OWR131156 PGN131156 PQJ131156 QAF131156 QKB131156 QTX131156 RDT131156 RNP131156 RXL131156 SHH131156 SRD131156 TAZ131156 TKV131156 TUR131156 UEN131156 UOJ131156 UYF131156 VIB131156 VRX131156 WBT131156 WLP131156 WVL131156 D196692 IZ196692 SV196692 ACR196692 AMN196692 AWJ196692 BGF196692 BQB196692 BZX196692 CJT196692 CTP196692 DDL196692 DNH196692 DXD196692 EGZ196692 EQV196692 FAR196692 FKN196692 FUJ196692 GEF196692 GOB196692 GXX196692 HHT196692 HRP196692 IBL196692 ILH196692 IVD196692 JEZ196692 JOV196692 JYR196692 KIN196692 KSJ196692 LCF196692 LMB196692 LVX196692 MFT196692 MPP196692 MZL196692 NJH196692 NTD196692 OCZ196692 OMV196692 OWR196692 PGN196692 PQJ196692 QAF196692 QKB196692 QTX196692 RDT196692 RNP196692 RXL196692 SHH196692 SRD196692 TAZ196692 TKV196692 TUR196692 UEN196692 UOJ196692 UYF196692 VIB196692 VRX196692 WBT196692 WLP196692 WVL196692 D262228 IZ262228 SV262228 ACR262228 AMN262228 AWJ262228 BGF262228 BQB262228 BZX262228 CJT262228 CTP262228 DDL262228 DNH262228 DXD262228 EGZ262228 EQV262228 FAR262228 FKN262228 FUJ262228 GEF262228 GOB262228 GXX262228 HHT262228 HRP262228 IBL262228 ILH262228 IVD262228 JEZ262228 JOV262228 JYR262228 KIN262228 KSJ262228 LCF262228 LMB262228 LVX262228 MFT262228 MPP262228 MZL262228 NJH262228 NTD262228 OCZ262228 OMV262228 OWR262228 PGN262228 PQJ262228 QAF262228 QKB262228 QTX262228 RDT262228 RNP262228 RXL262228 SHH262228 SRD262228 TAZ262228 TKV262228 TUR262228 UEN262228 UOJ262228 UYF262228 VIB262228 VRX262228 WBT262228 WLP262228 WVL262228 D327764 IZ327764 SV327764 ACR327764 AMN327764 AWJ327764 BGF327764 BQB327764 BZX327764 CJT327764 CTP327764 DDL327764 DNH327764 DXD327764 EGZ327764 EQV327764 FAR327764 FKN327764 FUJ327764 GEF327764 GOB327764 GXX327764 HHT327764 HRP327764 IBL327764 ILH327764 IVD327764 JEZ327764 JOV327764 JYR327764 KIN327764 KSJ327764 LCF327764 LMB327764 LVX327764 MFT327764 MPP327764 MZL327764 NJH327764 NTD327764 OCZ327764 OMV327764 OWR327764 PGN327764 PQJ327764 QAF327764 QKB327764 QTX327764 RDT327764 RNP327764 RXL327764 SHH327764 SRD327764 TAZ327764 TKV327764 TUR327764 UEN327764 UOJ327764 UYF327764 VIB327764 VRX327764 WBT327764 WLP327764 WVL327764 D393300 IZ393300 SV393300 ACR393300 AMN393300 AWJ393300 BGF393300 BQB393300 BZX393300 CJT393300 CTP393300 DDL393300 DNH393300 DXD393300 EGZ393300 EQV393300 FAR393300 FKN393300 FUJ393300 GEF393300 GOB393300 GXX393300 HHT393300 HRP393300 IBL393300 ILH393300 IVD393300 JEZ393300 JOV393300 JYR393300 KIN393300 KSJ393300 LCF393300 LMB393300 LVX393300 MFT393300 MPP393300 MZL393300 NJH393300 NTD393300 OCZ393300 OMV393300 OWR393300 PGN393300 PQJ393300 QAF393300 QKB393300 QTX393300 RDT393300 RNP393300 RXL393300 SHH393300 SRD393300 TAZ393300 TKV393300 TUR393300 UEN393300 UOJ393300 UYF393300 VIB393300 VRX393300 WBT393300 WLP393300 WVL393300 D458836 IZ458836 SV458836 ACR458836 AMN458836 AWJ458836 BGF458836 BQB458836 BZX458836 CJT458836 CTP458836 DDL458836 DNH458836 DXD458836 EGZ458836 EQV458836 FAR458836 FKN458836 FUJ458836 GEF458836 GOB458836 GXX458836 HHT458836 HRP458836 IBL458836 ILH458836 IVD458836 JEZ458836 JOV458836 JYR458836 KIN458836 KSJ458836 LCF458836 LMB458836 LVX458836 MFT458836 MPP458836 MZL458836 NJH458836 NTD458836 OCZ458836 OMV458836 OWR458836 PGN458836 PQJ458836 QAF458836 QKB458836 QTX458836 RDT458836 RNP458836 RXL458836 SHH458836 SRD458836 TAZ458836 TKV458836 TUR458836 UEN458836 UOJ458836 UYF458836 VIB458836 VRX458836 WBT458836 WLP458836 WVL458836 D524372 IZ524372 SV524372 ACR524372 AMN524372 AWJ524372 BGF524372 BQB524372 BZX524372 CJT524372 CTP524372 DDL524372 DNH524372 DXD524372 EGZ524372 EQV524372 FAR524372 FKN524372 FUJ524372 GEF524372 GOB524372 GXX524372 HHT524372 HRP524372 IBL524372 ILH524372 IVD524372 JEZ524372 JOV524372 JYR524372 KIN524372 KSJ524372 LCF524372 LMB524372 LVX524372 MFT524372 MPP524372 MZL524372 NJH524372 NTD524372 OCZ524372 OMV524372 OWR524372 PGN524372 PQJ524372 QAF524372 QKB524372 QTX524372 RDT524372 RNP524372 RXL524372 SHH524372 SRD524372 TAZ524372 TKV524372 TUR524372 UEN524372 UOJ524372 UYF524372 VIB524372 VRX524372 WBT524372 WLP524372 WVL524372 D589908 IZ589908 SV589908 ACR589908 AMN589908 AWJ589908 BGF589908 BQB589908 BZX589908 CJT589908 CTP589908 DDL589908 DNH589908 DXD589908 EGZ589908 EQV589908 FAR589908 FKN589908 FUJ589908 GEF589908 GOB589908 GXX589908 HHT589908 HRP589908 IBL589908 ILH589908 IVD589908 JEZ589908 JOV589908 JYR589908 KIN589908 KSJ589908 LCF589908 LMB589908 LVX589908 MFT589908 MPP589908 MZL589908 NJH589908 NTD589908 OCZ589908 OMV589908 OWR589908 PGN589908 PQJ589908 QAF589908 QKB589908 QTX589908 RDT589908 RNP589908 RXL589908 SHH589908 SRD589908 TAZ589908 TKV589908 TUR589908 UEN589908 UOJ589908 UYF589908 VIB589908 VRX589908 WBT589908 WLP589908 WVL589908 D655444 IZ655444 SV655444 ACR655444 AMN655444 AWJ655444 BGF655444 BQB655444 BZX655444 CJT655444 CTP655444 DDL655444 DNH655444 DXD655444 EGZ655444 EQV655444 FAR655444 FKN655444 FUJ655444 GEF655444 GOB655444 GXX655444 HHT655444 HRP655444 IBL655444 ILH655444 IVD655444 JEZ655444 JOV655444 JYR655444 KIN655444 KSJ655444 LCF655444 LMB655444 LVX655444 MFT655444 MPP655444 MZL655444 NJH655444 NTD655444 OCZ655444 OMV655444 OWR655444 PGN655444 PQJ655444 QAF655444 QKB655444 QTX655444 RDT655444 RNP655444 RXL655444 SHH655444 SRD655444 TAZ655444 TKV655444 TUR655444 UEN655444 UOJ655444 UYF655444 VIB655444 VRX655444 WBT655444 WLP655444 WVL655444 D720980 IZ720980 SV720980 ACR720980 AMN720980 AWJ720980 BGF720980 BQB720980 BZX720980 CJT720980 CTP720980 DDL720980 DNH720980 DXD720980 EGZ720980 EQV720980 FAR720980 FKN720980 FUJ720980 GEF720980 GOB720980 GXX720980 HHT720980 HRP720980 IBL720980 ILH720980 IVD720980 JEZ720980 JOV720980 JYR720980 KIN720980 KSJ720980 LCF720980 LMB720980 LVX720980 MFT720980 MPP720980 MZL720980 NJH720980 NTD720980 OCZ720980 OMV720980 OWR720980 PGN720980 PQJ720980 QAF720980 QKB720980 QTX720980 RDT720980 RNP720980 RXL720980 SHH720980 SRD720980 TAZ720980 TKV720980 TUR720980 UEN720980 UOJ720980 UYF720980 VIB720980 VRX720980 WBT720980 WLP720980 WVL720980 D786516 IZ786516 SV786516 ACR786516 AMN786516 AWJ786516 BGF786516 BQB786516 BZX786516 CJT786516 CTP786516 DDL786516 DNH786516 DXD786516 EGZ786516 EQV786516 FAR786516 FKN786516 FUJ786516 GEF786516 GOB786516 GXX786516 HHT786516 HRP786516 IBL786516 ILH786516 IVD786516 JEZ786516 JOV786516 JYR786516 KIN786516 KSJ786516 LCF786516 LMB786516 LVX786516 MFT786516 MPP786516 MZL786516 NJH786516 NTD786516 OCZ786516 OMV786516 OWR786516 PGN786516 PQJ786516 QAF786516 QKB786516 QTX786516 RDT786516 RNP786516 RXL786516 SHH786516 SRD786516 TAZ786516 TKV786516 TUR786516 UEN786516 UOJ786516 UYF786516 VIB786516 VRX786516 WBT786516 WLP786516 WVL786516 D852052 IZ852052 SV852052 ACR852052 AMN852052 AWJ852052 BGF852052 BQB852052 BZX852052 CJT852052 CTP852052 DDL852052 DNH852052 DXD852052 EGZ852052 EQV852052 FAR852052 FKN852052 FUJ852052 GEF852052 GOB852052 GXX852052 HHT852052 HRP852052 IBL852052 ILH852052 IVD852052 JEZ852052 JOV852052 JYR852052 KIN852052 KSJ852052 LCF852052 LMB852052 LVX852052 MFT852052 MPP852052 MZL852052 NJH852052 NTD852052 OCZ852052 OMV852052 OWR852052 PGN852052 PQJ852052 QAF852052 QKB852052 QTX852052 RDT852052 RNP852052 RXL852052 SHH852052 SRD852052 TAZ852052 TKV852052 TUR852052 UEN852052 UOJ852052 UYF852052 VIB852052 VRX852052 WBT852052 WLP852052 WVL852052 D917588 IZ917588 SV917588 ACR917588 AMN917588 AWJ917588 BGF917588 BQB917588 BZX917588 CJT917588 CTP917588 DDL917588 DNH917588 DXD917588 EGZ917588 EQV917588 FAR917588 FKN917588 FUJ917588 GEF917588 GOB917588 GXX917588 HHT917588 HRP917588 IBL917588 ILH917588 IVD917588 JEZ917588 JOV917588 JYR917588 KIN917588 KSJ917588 LCF917588 LMB917588 LVX917588 MFT917588 MPP917588 MZL917588 NJH917588 NTD917588 OCZ917588 OMV917588 OWR917588 PGN917588 PQJ917588 QAF917588 QKB917588 QTX917588 RDT917588 RNP917588 RXL917588 SHH917588 SRD917588 TAZ917588 TKV917588 TUR917588 UEN917588 UOJ917588 UYF917588 VIB917588 VRX917588 WBT917588 WLP917588 WVL917588 D983124 IZ983124 SV983124 ACR983124 AMN983124 AWJ983124 BGF983124 BQB983124 BZX983124 CJT983124 CTP983124 DDL983124 DNH983124 DXD983124 EGZ983124 EQV983124 FAR983124 FKN983124 FUJ983124 GEF983124 GOB983124 GXX983124 HHT983124 HRP983124 IBL983124 ILH983124 IVD983124 JEZ983124 JOV983124 JYR983124 KIN983124 KSJ983124 LCF983124 LMB983124 LVX983124 MFT983124 MPP983124 MZL983124 NJH983124 NTD983124 OCZ983124 OMV983124 OWR983124 PGN983124 PQJ983124 QAF983124 QKB983124 QTX983124 RDT983124 RNP983124 RXL983124 SHH983124 SRD983124 TAZ983124 TKV983124 TUR983124 UEN983124 UOJ983124 UYF983124 VIB983124 VRX983124 WBT983124 WLP983124 WVL983124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47 IZ47 SV47 ACR47 AMN47 AWJ47 BGF47 BQB47 BZX47 CJT47 CTP47 DDL47 DNH47 DXD47 EGZ47 EQV47 FAR47 FKN47 FUJ47 GEF47 GOB47 GXX47 HHT47 HRP47 IBL47 ILH47 IVD47 JEZ47 JOV47 JYR47 KIN47 KSJ47 LCF47 LMB47 LVX47 MFT47 MPP47 MZL47 NJH47 NTD47 OCZ47 OMV47 OWR47 PGN47 PQJ47 QAF47 QKB47 QTX47 RDT47 RNP47 RXL47 SHH47 SRD47 TAZ47 TKV47 TUR47 UEN47 UOJ47 UYF47 VIB47 VRX47 WBT47 WLP47 WVL47 D65580 IZ65580 SV65580 ACR65580 AMN65580 AWJ65580 BGF65580 BQB65580 BZX65580 CJT65580 CTP65580 DDL65580 DNH65580 DXD65580 EGZ65580 EQV65580 FAR65580 FKN65580 FUJ65580 GEF65580 GOB65580 GXX65580 HHT65580 HRP65580 IBL65580 ILH65580 IVD65580 JEZ65580 JOV65580 JYR65580 KIN65580 KSJ65580 LCF65580 LMB65580 LVX65580 MFT65580 MPP65580 MZL65580 NJH65580 NTD65580 OCZ65580 OMV65580 OWR65580 PGN65580 PQJ65580 QAF65580 QKB65580 QTX65580 RDT65580 RNP65580 RXL65580 SHH65580 SRD65580 TAZ65580 TKV65580 TUR65580 UEN65580 UOJ65580 UYF65580 VIB65580 VRX65580 WBT65580 WLP65580 WVL65580 D131116 IZ131116 SV131116 ACR131116 AMN131116 AWJ131116 BGF131116 BQB131116 BZX131116 CJT131116 CTP131116 DDL131116 DNH131116 DXD131116 EGZ131116 EQV131116 FAR131116 FKN131116 FUJ131116 GEF131116 GOB131116 GXX131116 HHT131116 HRP131116 IBL131116 ILH131116 IVD131116 JEZ131116 JOV131116 JYR131116 KIN131116 KSJ131116 LCF131116 LMB131116 LVX131116 MFT131116 MPP131116 MZL131116 NJH131116 NTD131116 OCZ131116 OMV131116 OWR131116 PGN131116 PQJ131116 QAF131116 QKB131116 QTX131116 RDT131116 RNP131116 RXL131116 SHH131116 SRD131116 TAZ131116 TKV131116 TUR131116 UEN131116 UOJ131116 UYF131116 VIB131116 VRX131116 WBT131116 WLP131116 WVL131116 D196652 IZ196652 SV196652 ACR196652 AMN196652 AWJ196652 BGF196652 BQB196652 BZX196652 CJT196652 CTP196652 DDL196652 DNH196652 DXD196652 EGZ196652 EQV196652 FAR196652 FKN196652 FUJ196652 GEF196652 GOB196652 GXX196652 HHT196652 HRP196652 IBL196652 ILH196652 IVD196652 JEZ196652 JOV196652 JYR196652 KIN196652 KSJ196652 LCF196652 LMB196652 LVX196652 MFT196652 MPP196652 MZL196652 NJH196652 NTD196652 OCZ196652 OMV196652 OWR196652 PGN196652 PQJ196652 QAF196652 QKB196652 QTX196652 RDT196652 RNP196652 RXL196652 SHH196652 SRD196652 TAZ196652 TKV196652 TUR196652 UEN196652 UOJ196652 UYF196652 VIB196652 VRX196652 WBT196652 WLP196652 WVL196652 D262188 IZ262188 SV262188 ACR262188 AMN262188 AWJ262188 BGF262188 BQB262188 BZX262188 CJT262188 CTP262188 DDL262188 DNH262188 DXD262188 EGZ262188 EQV262188 FAR262188 FKN262188 FUJ262188 GEF262188 GOB262188 GXX262188 HHT262188 HRP262188 IBL262188 ILH262188 IVD262188 JEZ262188 JOV262188 JYR262188 KIN262188 KSJ262188 LCF262188 LMB262188 LVX262188 MFT262188 MPP262188 MZL262188 NJH262188 NTD262188 OCZ262188 OMV262188 OWR262188 PGN262188 PQJ262188 QAF262188 QKB262188 QTX262188 RDT262188 RNP262188 RXL262188 SHH262188 SRD262188 TAZ262188 TKV262188 TUR262188 UEN262188 UOJ262188 UYF262188 VIB262188 VRX262188 WBT262188 WLP262188 WVL262188 D327724 IZ327724 SV327724 ACR327724 AMN327724 AWJ327724 BGF327724 BQB327724 BZX327724 CJT327724 CTP327724 DDL327724 DNH327724 DXD327724 EGZ327724 EQV327724 FAR327724 FKN327724 FUJ327724 GEF327724 GOB327724 GXX327724 HHT327724 HRP327724 IBL327724 ILH327724 IVD327724 JEZ327724 JOV327724 JYR327724 KIN327724 KSJ327724 LCF327724 LMB327724 LVX327724 MFT327724 MPP327724 MZL327724 NJH327724 NTD327724 OCZ327724 OMV327724 OWR327724 PGN327724 PQJ327724 QAF327724 QKB327724 QTX327724 RDT327724 RNP327724 RXL327724 SHH327724 SRD327724 TAZ327724 TKV327724 TUR327724 UEN327724 UOJ327724 UYF327724 VIB327724 VRX327724 WBT327724 WLP327724 WVL327724 D393260 IZ393260 SV393260 ACR393260 AMN393260 AWJ393260 BGF393260 BQB393260 BZX393260 CJT393260 CTP393260 DDL393260 DNH393260 DXD393260 EGZ393260 EQV393260 FAR393260 FKN393260 FUJ393260 GEF393260 GOB393260 GXX393260 HHT393260 HRP393260 IBL393260 ILH393260 IVD393260 JEZ393260 JOV393260 JYR393260 KIN393260 KSJ393260 LCF393260 LMB393260 LVX393260 MFT393260 MPP393260 MZL393260 NJH393260 NTD393260 OCZ393260 OMV393260 OWR393260 PGN393260 PQJ393260 QAF393260 QKB393260 QTX393260 RDT393260 RNP393260 RXL393260 SHH393260 SRD393260 TAZ393260 TKV393260 TUR393260 UEN393260 UOJ393260 UYF393260 VIB393260 VRX393260 WBT393260 WLP393260 WVL393260 D458796 IZ458796 SV458796 ACR458796 AMN458796 AWJ458796 BGF458796 BQB458796 BZX458796 CJT458796 CTP458796 DDL458796 DNH458796 DXD458796 EGZ458796 EQV458796 FAR458796 FKN458796 FUJ458796 GEF458796 GOB458796 GXX458796 HHT458796 HRP458796 IBL458796 ILH458796 IVD458796 JEZ458796 JOV458796 JYR458796 KIN458796 KSJ458796 LCF458796 LMB458796 LVX458796 MFT458796 MPP458796 MZL458796 NJH458796 NTD458796 OCZ458796 OMV458796 OWR458796 PGN458796 PQJ458796 QAF458796 QKB458796 QTX458796 RDT458796 RNP458796 RXL458796 SHH458796 SRD458796 TAZ458796 TKV458796 TUR458796 UEN458796 UOJ458796 UYF458796 VIB458796 VRX458796 WBT458796 WLP458796 WVL458796 D524332 IZ524332 SV524332 ACR524332 AMN524332 AWJ524332 BGF524332 BQB524332 BZX524332 CJT524332 CTP524332 DDL524332 DNH524332 DXD524332 EGZ524332 EQV524332 FAR524332 FKN524332 FUJ524332 GEF524332 GOB524332 GXX524332 HHT524332 HRP524332 IBL524332 ILH524332 IVD524332 JEZ524332 JOV524332 JYR524332 KIN524332 KSJ524332 LCF524332 LMB524332 LVX524332 MFT524332 MPP524332 MZL524332 NJH524332 NTD524332 OCZ524332 OMV524332 OWR524332 PGN524332 PQJ524332 QAF524332 QKB524332 QTX524332 RDT524332 RNP524332 RXL524332 SHH524332 SRD524332 TAZ524332 TKV524332 TUR524332 UEN524332 UOJ524332 UYF524332 VIB524332 VRX524332 WBT524332 WLP524332 WVL524332 D589868 IZ589868 SV589868 ACR589868 AMN589868 AWJ589868 BGF589868 BQB589868 BZX589868 CJT589868 CTP589868 DDL589868 DNH589868 DXD589868 EGZ589868 EQV589868 FAR589868 FKN589868 FUJ589868 GEF589868 GOB589868 GXX589868 HHT589868 HRP589868 IBL589868 ILH589868 IVD589868 JEZ589868 JOV589868 JYR589868 KIN589868 KSJ589868 LCF589868 LMB589868 LVX589868 MFT589868 MPP589868 MZL589868 NJH589868 NTD589868 OCZ589868 OMV589868 OWR589868 PGN589868 PQJ589868 QAF589868 QKB589868 QTX589868 RDT589868 RNP589868 RXL589868 SHH589868 SRD589868 TAZ589868 TKV589868 TUR589868 UEN589868 UOJ589868 UYF589868 VIB589868 VRX589868 WBT589868 WLP589868 WVL589868 D655404 IZ655404 SV655404 ACR655404 AMN655404 AWJ655404 BGF655404 BQB655404 BZX655404 CJT655404 CTP655404 DDL655404 DNH655404 DXD655404 EGZ655404 EQV655404 FAR655404 FKN655404 FUJ655404 GEF655404 GOB655404 GXX655404 HHT655404 HRP655404 IBL655404 ILH655404 IVD655404 JEZ655404 JOV655404 JYR655404 KIN655404 KSJ655404 LCF655404 LMB655404 LVX655404 MFT655404 MPP655404 MZL655404 NJH655404 NTD655404 OCZ655404 OMV655404 OWR655404 PGN655404 PQJ655404 QAF655404 QKB655404 QTX655404 RDT655404 RNP655404 RXL655404 SHH655404 SRD655404 TAZ655404 TKV655404 TUR655404 UEN655404 UOJ655404 UYF655404 VIB655404 VRX655404 WBT655404 WLP655404 WVL655404 D720940 IZ720940 SV720940 ACR720940 AMN720940 AWJ720940 BGF720940 BQB720940 BZX720940 CJT720940 CTP720940 DDL720940 DNH720940 DXD720940 EGZ720940 EQV720940 FAR720940 FKN720940 FUJ720940 GEF720940 GOB720940 GXX720940 HHT720940 HRP720940 IBL720940 ILH720940 IVD720940 JEZ720940 JOV720940 JYR720940 KIN720940 KSJ720940 LCF720940 LMB720940 LVX720940 MFT720940 MPP720940 MZL720940 NJH720940 NTD720940 OCZ720940 OMV720940 OWR720940 PGN720940 PQJ720940 QAF720940 QKB720940 QTX720940 RDT720940 RNP720940 RXL720940 SHH720940 SRD720940 TAZ720940 TKV720940 TUR720940 UEN720940 UOJ720940 UYF720940 VIB720940 VRX720940 WBT720940 WLP720940 WVL720940 D786476 IZ786476 SV786476 ACR786476 AMN786476 AWJ786476 BGF786476 BQB786476 BZX786476 CJT786476 CTP786476 DDL786476 DNH786476 DXD786476 EGZ786476 EQV786476 FAR786476 FKN786476 FUJ786476 GEF786476 GOB786476 GXX786476 HHT786476 HRP786476 IBL786476 ILH786476 IVD786476 JEZ786476 JOV786476 JYR786476 KIN786476 KSJ786476 LCF786476 LMB786476 LVX786476 MFT786476 MPP786476 MZL786476 NJH786476 NTD786476 OCZ786476 OMV786476 OWR786476 PGN786476 PQJ786476 QAF786476 QKB786476 QTX786476 RDT786476 RNP786476 RXL786476 SHH786476 SRD786476 TAZ786476 TKV786476 TUR786476 UEN786476 UOJ786476 UYF786476 VIB786476 VRX786476 WBT786476 WLP786476 WVL786476 D852012 IZ852012 SV852012 ACR852012 AMN852012 AWJ852012 BGF852012 BQB852012 BZX852012 CJT852012 CTP852012 DDL852012 DNH852012 DXD852012 EGZ852012 EQV852012 FAR852012 FKN852012 FUJ852012 GEF852012 GOB852012 GXX852012 HHT852012 HRP852012 IBL852012 ILH852012 IVD852012 JEZ852012 JOV852012 JYR852012 KIN852012 KSJ852012 LCF852012 LMB852012 LVX852012 MFT852012 MPP852012 MZL852012 NJH852012 NTD852012 OCZ852012 OMV852012 OWR852012 PGN852012 PQJ852012 QAF852012 QKB852012 QTX852012 RDT852012 RNP852012 RXL852012 SHH852012 SRD852012 TAZ852012 TKV852012 TUR852012 UEN852012 UOJ852012 UYF852012 VIB852012 VRX852012 WBT852012 WLP852012 WVL852012 D917548 IZ917548 SV917548 ACR917548 AMN917548 AWJ917548 BGF917548 BQB917548 BZX917548 CJT917548 CTP917548 DDL917548 DNH917548 DXD917548 EGZ917548 EQV917548 FAR917548 FKN917548 FUJ917548 GEF917548 GOB917548 GXX917548 HHT917548 HRP917548 IBL917548 ILH917548 IVD917548 JEZ917548 JOV917548 JYR917548 KIN917548 KSJ917548 LCF917548 LMB917548 LVX917548 MFT917548 MPP917548 MZL917548 NJH917548 NTD917548 OCZ917548 OMV917548 OWR917548 PGN917548 PQJ917548 QAF917548 QKB917548 QTX917548 RDT917548 RNP917548 RXL917548 SHH917548 SRD917548 TAZ917548 TKV917548 TUR917548 UEN917548 UOJ917548 UYF917548 VIB917548 VRX917548 WBT917548 WLP917548 WVL917548 D983084 IZ983084 SV983084 ACR983084 AMN983084 AWJ983084 BGF983084 BQB983084 BZX983084 CJT983084 CTP983084 DDL983084 DNH983084 DXD983084 EGZ983084 EQV983084 FAR983084 FKN983084 FUJ983084 GEF983084 GOB983084 GXX983084 HHT983084 HRP983084 IBL983084 ILH983084 IVD983084 JEZ983084 JOV983084 JYR983084 KIN983084 KSJ983084 LCF983084 LMB983084 LVX983084 MFT983084 MPP983084 MZL983084 NJH983084 NTD983084 OCZ983084 OMV983084 OWR983084 PGN983084 PQJ983084 QAF983084 QKB983084 QTX983084 RDT983084 RNP983084 RXL983084 SHH983084 SRD983084 TAZ983084 TKV983084 TUR983084 UEN983084 UOJ983084 UYF983084 VIB983084 VRX983084 WBT983084 WLP983084 WVL983084" xr:uid="{F0C2698A-BD19-4870-94CA-F0D108E6ED35}">
      <formula1>"Core1,Core2,Core3"</formula1>
    </dataValidation>
  </dataValidations>
  <printOptions horizontalCentered="1" verticalCentered="1"/>
  <pageMargins left="0.5" right="0.5" top="0.5" bottom="0.5" header="0" footer="0"/>
  <pageSetup paperSize="9" scale="90" orientation="portrait" r:id="rId1"/>
  <headerFooter alignWithMargins="0"/>
  <rowBreaks count="3" manualBreakCount="3">
    <brk id="45" max="21" man="1"/>
    <brk id="86" max="21" man="1"/>
    <brk id="126"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15361" r:id="rId4" name="Button 1">
              <controlPr defaultSize="0" print="0" autoFill="0" autoPict="0" macro="[2]!Button1_Click">
                <anchor moveWithCells="1" sizeWithCells="1">
                  <from>
                    <xdr:col>23</xdr:col>
                    <xdr:colOff>518160</xdr:colOff>
                    <xdr:row>1</xdr:row>
                    <xdr:rowOff>426720</xdr:rowOff>
                  </from>
                  <to>
                    <xdr:col>27</xdr:col>
                    <xdr:colOff>182880</xdr:colOff>
                    <xdr:row>3</xdr:row>
                    <xdr:rowOff>426720</xdr:rowOff>
                  </to>
                </anchor>
              </controlPr>
            </control>
          </mc:Choice>
        </mc:AlternateContent>
      </controls>
    </mc:Choice>
  </mc:AlternateContent>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8DE8B-C2C7-4143-9E32-48F35B9B4803}">
  <sheetPr>
    <tabColor rgb="FF99CCFF"/>
  </sheetPr>
  <dimension ref="A1:Y45"/>
  <sheetViews>
    <sheetView view="pageBreakPreview" topLeftCell="A28"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966</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B33" s="4"/>
      <c r="C33" s="4"/>
      <c r="D33" s="4"/>
      <c r="E33" s="4"/>
      <c r="F33" s="4"/>
      <c r="G33" s="4"/>
      <c r="H33" s="4"/>
      <c r="I33" s="4"/>
      <c r="J33" s="4"/>
      <c r="K33" s="4"/>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M36" s="4"/>
      <c r="N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ht="18" customHeight="1">
      <c r="A43" s="69"/>
      <c r="N43" s="4"/>
      <c r="O43" s="4"/>
      <c r="P43" s="4"/>
      <c r="Q43" s="4"/>
      <c r="R43" s="4"/>
      <c r="S43" s="4"/>
      <c r="T43" s="4"/>
      <c r="U43" s="4"/>
      <c r="V43" s="71"/>
      <c r="W43" s="4"/>
      <c r="X43" s="4"/>
    </row>
    <row r="44" spans="1:25" s="107" customFormat="1" ht="18" customHeight="1">
      <c r="A44" s="193"/>
      <c r="B44" s="4"/>
      <c r="C44" s="4"/>
      <c r="D44" s="4"/>
      <c r="E44" s="4"/>
      <c r="F44" s="4"/>
      <c r="G44" s="4"/>
      <c r="H44" s="4"/>
      <c r="I44" s="4"/>
      <c r="J44" s="4"/>
      <c r="K44" s="4"/>
      <c r="L44" s="4"/>
      <c r="M44" s="4"/>
      <c r="N44" s="4"/>
      <c r="O44" s="4"/>
      <c r="P44" s="4"/>
      <c r="Q44" s="4"/>
      <c r="R44" s="4"/>
      <c r="S44" s="4"/>
      <c r="T44" s="4"/>
      <c r="U44" s="4"/>
      <c r="V44" s="71"/>
      <c r="W44" s="4"/>
      <c r="X44" s="4"/>
      <c r="Y44" s="5"/>
    </row>
    <row r="45" spans="1:25" ht="18" customHeight="1">
      <c r="A45" s="65"/>
      <c r="B45" s="66"/>
      <c r="C45" s="66"/>
      <c r="D45" s="66"/>
      <c r="E45" s="66"/>
      <c r="F45" s="66"/>
      <c r="G45" s="66"/>
      <c r="H45" s="66"/>
      <c r="I45" s="66"/>
      <c r="J45" s="66"/>
      <c r="K45" s="66"/>
      <c r="L45" s="66"/>
      <c r="M45" s="66"/>
      <c r="N45" s="66"/>
      <c r="O45" s="66"/>
      <c r="P45" s="66"/>
      <c r="Q45" s="66"/>
      <c r="R45" s="66"/>
      <c r="S45" s="66"/>
      <c r="T45" s="66"/>
      <c r="U45" s="66"/>
      <c r="V45" s="67"/>
      <c r="W45" s="4"/>
      <c r="X45"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51097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CBCAB-EBC0-495C-8B64-079C6DD14AA3}">
  <sheetPr>
    <tabColor rgb="FFFFFF00"/>
  </sheetPr>
  <dimension ref="A1:AI166"/>
  <sheetViews>
    <sheetView showZeros="0" view="pageBreakPreview" topLeftCell="A151" zoomScale="70" zoomScaleNormal="100" zoomScaleSheetLayoutView="70" workbookViewId="0">
      <selection activeCell="K13" sqref="K13"/>
    </sheetView>
  </sheetViews>
  <sheetFormatPr defaultColWidth="4.33203125" defaultRowHeight="18" customHeight="1"/>
  <cols>
    <col min="1" max="4" width="4.33203125" style="30"/>
    <col min="5" max="5" width="4.33203125" style="30" customWidth="1"/>
    <col min="6" max="7" width="4.33203125" style="30"/>
    <col min="8" max="8" width="4.33203125" style="30" customWidth="1"/>
    <col min="9" max="10" width="4.33203125" style="30"/>
    <col min="11" max="11" width="4.33203125" style="30" customWidth="1"/>
    <col min="12"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35"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74" t="str">
        <f>Title!R1</f>
        <v>N-19957.1-DF5W</v>
      </c>
      <c r="S1" s="775"/>
      <c r="T1" s="775"/>
      <c r="U1" s="775"/>
      <c r="V1" s="776"/>
      <c r="W1" s="14"/>
      <c r="X1" s="14"/>
    </row>
    <row r="2" spans="1:35" ht="18" customHeight="1">
      <c r="A2" s="720"/>
      <c r="B2" s="721"/>
      <c r="C2" s="721"/>
      <c r="D2" s="721"/>
      <c r="E2" s="721"/>
      <c r="F2" s="721"/>
      <c r="G2" s="722"/>
      <c r="H2" s="729" t="str">
        <f>Title!H2</f>
        <v>ADEQUACY CHECK</v>
      </c>
      <c r="I2" s="730"/>
      <c r="J2" s="730"/>
      <c r="K2" s="730"/>
      <c r="L2" s="730"/>
      <c r="M2" s="730"/>
      <c r="N2" s="731"/>
      <c r="O2" s="702" t="str">
        <f>Title!O2</f>
        <v>Date</v>
      </c>
      <c r="P2" s="703"/>
      <c r="Q2" s="704"/>
      <c r="R2" s="777">
        <f>Title!R2</f>
        <v>46106</v>
      </c>
      <c r="S2" s="775"/>
      <c r="T2" s="775"/>
      <c r="U2" s="775"/>
      <c r="V2" s="776"/>
      <c r="W2" s="14"/>
      <c r="X2" s="14"/>
    </row>
    <row r="3" spans="1:35" ht="21"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8" t="str">
        <f>Title!R3</f>
        <v>-</v>
      </c>
      <c r="S3" s="710"/>
      <c r="T3" s="710"/>
      <c r="U3" s="710"/>
      <c r="V3" s="709"/>
      <c r="W3" s="14"/>
      <c r="X3" s="14"/>
    </row>
    <row r="4" spans="1:35" ht="18" customHeight="1">
      <c r="A4" s="723"/>
      <c r="B4" s="724"/>
      <c r="C4" s="724"/>
      <c r="D4" s="724"/>
      <c r="E4" s="724"/>
      <c r="F4" s="724"/>
      <c r="G4" s="725"/>
      <c r="H4" s="738"/>
      <c r="I4" s="739"/>
      <c r="J4" s="739"/>
      <c r="K4" s="739"/>
      <c r="L4" s="739"/>
      <c r="M4" s="739"/>
      <c r="N4" s="740"/>
      <c r="O4" s="702" t="str">
        <f>Title!O4</f>
        <v>Revision No.</v>
      </c>
      <c r="P4" s="703"/>
      <c r="Q4" s="704"/>
      <c r="R4" s="774" t="str">
        <f>Title!R4</f>
        <v>A</v>
      </c>
      <c r="S4" s="775"/>
      <c r="T4" s="775"/>
      <c r="U4" s="775"/>
      <c r="V4" s="776"/>
      <c r="W4" s="14"/>
      <c r="X4" s="14"/>
    </row>
    <row r="5" spans="1:35" ht="18" customHeight="1">
      <c r="A5" s="708" t="str">
        <f>Title!A5</f>
        <v>Prep. By</v>
      </c>
      <c r="B5" s="709"/>
      <c r="C5" s="25" t="str">
        <f>Title!C5</f>
        <v>AP</v>
      </c>
      <c r="D5" s="708" t="str">
        <f>Title!D5</f>
        <v>Checked By</v>
      </c>
      <c r="E5" s="710"/>
      <c r="F5" s="709"/>
      <c r="G5" s="25" t="str">
        <f>Title!G5</f>
        <v>RB</v>
      </c>
      <c r="H5" s="1204" t="s">
        <v>953</v>
      </c>
      <c r="I5" s="1205"/>
      <c r="J5" s="1205"/>
      <c r="K5" s="1205"/>
      <c r="L5" s="1205"/>
      <c r="M5" s="1205"/>
      <c r="N5" s="1206"/>
      <c r="O5" s="714" t="str">
        <f>Title!O5</f>
        <v>Contractor</v>
      </c>
      <c r="P5" s="715"/>
      <c r="Q5" s="716"/>
      <c r="R5" s="774" t="str">
        <f>Title!R5</f>
        <v>HITACHI</v>
      </c>
      <c r="S5" s="775"/>
      <c r="T5" s="775"/>
      <c r="U5" s="775"/>
      <c r="V5" s="776"/>
      <c r="W5" s="14"/>
      <c r="X5" s="14"/>
    </row>
    <row r="6" spans="1:35" ht="18" customHeight="1">
      <c r="A6" s="196"/>
      <c r="V6" s="197"/>
    </row>
    <row r="7" spans="1:35" ht="18" customHeight="1">
      <c r="A7" s="196"/>
      <c r="B7" s="656" t="s">
        <v>120</v>
      </c>
      <c r="C7" s="657"/>
      <c r="D7" s="894" t="s">
        <v>396</v>
      </c>
      <c r="E7" s="995"/>
      <c r="V7" s="197"/>
    </row>
    <row r="8" spans="1:35" ht="18" customHeight="1">
      <c r="A8" s="196"/>
      <c r="V8" s="197"/>
    </row>
    <row r="9" spans="1:35" ht="18" customHeight="1">
      <c r="A9" s="196"/>
      <c r="B9" s="30" t="s">
        <v>785</v>
      </c>
      <c r="H9" s="200">
        <v>400</v>
      </c>
      <c r="I9" s="201" t="s">
        <v>786</v>
      </c>
      <c r="J9" s="203" t="s">
        <v>353</v>
      </c>
      <c r="K9" s="122">
        <v>0.11</v>
      </c>
      <c r="L9" s="201" t="s">
        <v>786</v>
      </c>
      <c r="M9" s="30" t="s">
        <v>174</v>
      </c>
      <c r="V9" s="197"/>
    </row>
    <row r="10" spans="1:35" ht="18" customHeight="1">
      <c r="A10" s="196"/>
      <c r="B10" s="30" t="s">
        <v>787</v>
      </c>
      <c r="H10" s="656" t="s">
        <v>806</v>
      </c>
      <c r="I10" s="657"/>
      <c r="V10" s="197"/>
    </row>
    <row r="11" spans="1:35" ht="18" customHeight="1">
      <c r="A11" s="196"/>
      <c r="B11" s="30" t="s">
        <v>573</v>
      </c>
      <c r="H11" s="656">
        <v>50</v>
      </c>
      <c r="I11" s="657"/>
      <c r="J11" s="30" t="s">
        <v>168</v>
      </c>
      <c r="V11" s="197"/>
      <c r="W11" s="30" t="str">
        <f>G40</f>
        <v>Suitably Dimensioned</v>
      </c>
    </row>
    <row r="12" spans="1:35" ht="18" customHeight="1">
      <c r="A12" s="196"/>
      <c r="V12" s="197"/>
    </row>
    <row r="13" spans="1:35" ht="18" customHeight="1">
      <c r="A13" s="196"/>
      <c r="V13" s="197"/>
    </row>
    <row r="14" spans="1:35" ht="18" customHeight="1">
      <c r="A14" s="196"/>
      <c r="C14" s="141" t="s">
        <v>416</v>
      </c>
      <c r="D14" s="285"/>
      <c r="E14" s="511" t="s">
        <v>399</v>
      </c>
      <c r="F14" s="397"/>
      <c r="G14" s="397"/>
      <c r="H14" s="397"/>
      <c r="I14" s="145"/>
      <c r="J14" s="272" t="s">
        <v>138</v>
      </c>
      <c r="K14" s="688">
        <f>'CT-VT Burdens'!Q48</f>
        <v>0.02</v>
      </c>
      <c r="L14" s="689"/>
      <c r="M14" s="3" t="s">
        <v>168</v>
      </c>
      <c r="O14" s="14"/>
      <c r="V14" s="197"/>
    </row>
    <row r="15" spans="1:35" ht="18" customHeight="1">
      <c r="A15" s="196"/>
      <c r="C15" s="96" t="s">
        <v>416</v>
      </c>
      <c r="D15" s="14"/>
      <c r="E15" s="308" t="s">
        <v>920</v>
      </c>
      <c r="F15" s="14"/>
      <c r="H15" s="211"/>
      <c r="I15" s="27"/>
      <c r="J15" s="101" t="s">
        <v>138</v>
      </c>
      <c r="K15" s="688">
        <f>'CT-VT Burdens'!Q99</f>
        <v>0.02</v>
      </c>
      <c r="L15" s="689"/>
      <c r="M15" s="214" t="s">
        <v>168</v>
      </c>
      <c r="O15" s="14"/>
      <c r="V15" s="197"/>
      <c r="Y15" s="96" t="s">
        <v>416</v>
      </c>
      <c r="Z15" s="14"/>
      <c r="AA15" s="47" t="s">
        <v>789</v>
      </c>
      <c r="AB15" s="14"/>
      <c r="AD15" s="211"/>
      <c r="AE15" s="27"/>
      <c r="AF15" s="101" t="s">
        <v>138</v>
      </c>
      <c r="AG15" s="688">
        <f>'CT-VT Burdens'!AO48</f>
        <v>0</v>
      </c>
      <c r="AH15" s="689"/>
      <c r="AI15" s="214" t="s">
        <v>168</v>
      </c>
    </row>
    <row r="16" spans="1:35" ht="18" customHeight="1">
      <c r="A16" s="196"/>
      <c r="C16" s="96" t="s">
        <v>416</v>
      </c>
      <c r="D16" s="14"/>
      <c r="E16" s="308" t="s">
        <v>928</v>
      </c>
      <c r="F16" s="14"/>
      <c r="H16" s="211"/>
      <c r="I16" s="27"/>
      <c r="J16" s="101" t="s">
        <v>138</v>
      </c>
      <c r="K16" s="688">
        <f>'CT-VT Burdens'!Q48</f>
        <v>0.02</v>
      </c>
      <c r="L16" s="689"/>
      <c r="M16" s="214" t="s">
        <v>168</v>
      </c>
      <c r="O16" s="14"/>
      <c r="V16" s="197"/>
      <c r="Y16" s="96" t="s">
        <v>416</v>
      </c>
      <c r="Z16" s="14"/>
      <c r="AA16" s="47" t="s">
        <v>205</v>
      </c>
      <c r="AB16" s="14"/>
      <c r="AD16" s="211"/>
      <c r="AE16" s="27"/>
      <c r="AF16" s="101" t="s">
        <v>138</v>
      </c>
      <c r="AG16" s="688">
        <f>'CT-VT Burdens'!AO92</f>
        <v>0</v>
      </c>
      <c r="AH16" s="689"/>
      <c r="AI16" s="214" t="s">
        <v>168</v>
      </c>
    </row>
    <row r="17" spans="1:35" ht="18" customHeight="1">
      <c r="A17" s="196"/>
      <c r="C17" s="96" t="s">
        <v>416</v>
      </c>
      <c r="D17" s="14"/>
      <c r="E17" s="308" t="s">
        <v>519</v>
      </c>
      <c r="F17" s="14"/>
      <c r="H17" s="211"/>
      <c r="I17" s="28"/>
      <c r="J17" s="101" t="s">
        <v>138</v>
      </c>
      <c r="K17" s="688">
        <f>'CT-VT Burdens'!Q48</f>
        <v>0.02</v>
      </c>
      <c r="L17" s="689"/>
      <c r="M17" s="214" t="s">
        <v>168</v>
      </c>
      <c r="O17" s="14"/>
      <c r="V17" s="197"/>
      <c r="Y17" s="96" t="s">
        <v>416</v>
      </c>
      <c r="Z17" s="14"/>
      <c r="AA17" s="47" t="s">
        <v>790</v>
      </c>
      <c r="AB17" s="14"/>
      <c r="AD17" s="211"/>
      <c r="AE17" s="28" t="s">
        <v>140</v>
      </c>
      <c r="AF17" s="101" t="s">
        <v>138</v>
      </c>
      <c r="AG17" s="688">
        <v>0.2</v>
      </c>
      <c r="AH17" s="689"/>
      <c r="AI17" s="214" t="s">
        <v>168</v>
      </c>
    </row>
    <row r="18" spans="1:35" ht="18" customHeight="1">
      <c r="A18" s="196"/>
      <c r="C18" s="96" t="s">
        <v>416</v>
      </c>
      <c r="D18" s="14"/>
      <c r="E18" s="308" t="s">
        <v>929</v>
      </c>
      <c r="F18" s="14"/>
      <c r="H18" s="211"/>
      <c r="I18" s="28"/>
      <c r="J18" s="101"/>
      <c r="K18" s="688">
        <f>'CT-VT Burdens'!Q92</f>
        <v>5.8000000000000003E-2</v>
      </c>
      <c r="L18" s="689"/>
      <c r="M18" s="214" t="s">
        <v>168</v>
      </c>
      <c r="O18" s="14"/>
      <c r="V18" s="197"/>
      <c r="Y18" s="96"/>
      <c r="Z18" s="14"/>
      <c r="AA18" s="47"/>
      <c r="AB18" s="14"/>
      <c r="AD18" s="211"/>
      <c r="AE18" s="28"/>
      <c r="AF18" s="101"/>
      <c r="AG18" s="212"/>
      <c r="AH18" s="213"/>
      <c r="AI18" s="214"/>
    </row>
    <row r="19" spans="1:35" ht="18" customHeight="1">
      <c r="A19" s="196"/>
      <c r="B19" s="117"/>
      <c r="C19" s="96" t="s">
        <v>416</v>
      </c>
      <c r="D19" s="14"/>
      <c r="E19" s="308" t="s">
        <v>928</v>
      </c>
      <c r="F19" s="14"/>
      <c r="H19" s="211"/>
      <c r="I19" s="28"/>
      <c r="J19" s="101" t="s">
        <v>138</v>
      </c>
      <c r="K19" s="688">
        <f>'CT-VT Burdens'!Q48</f>
        <v>0.02</v>
      </c>
      <c r="L19" s="689"/>
      <c r="M19" s="214" t="s">
        <v>168</v>
      </c>
      <c r="N19" s="14"/>
      <c r="O19" s="14"/>
      <c r="P19" s="28"/>
      <c r="Q19" s="211"/>
      <c r="R19" s="14"/>
      <c r="S19" s="14"/>
      <c r="T19" s="14"/>
      <c r="U19" s="14"/>
      <c r="V19" s="197"/>
      <c r="Y19" s="96" t="s">
        <v>416</v>
      </c>
      <c r="Z19" s="14"/>
      <c r="AA19" s="47" t="s">
        <v>791</v>
      </c>
      <c r="AB19" s="14"/>
      <c r="AD19" s="211"/>
      <c r="AE19" s="28" t="s">
        <v>140</v>
      </c>
      <c r="AF19" s="101" t="s">
        <v>138</v>
      </c>
      <c r="AG19" s="688">
        <v>1</v>
      </c>
      <c r="AH19" s="689"/>
      <c r="AI19" s="214" t="s">
        <v>168</v>
      </c>
    </row>
    <row r="20" spans="1:35" ht="18" customHeight="1">
      <c r="A20" s="196"/>
      <c r="B20" s="117"/>
      <c r="C20" s="96" t="s">
        <v>416</v>
      </c>
      <c r="D20" s="14"/>
      <c r="E20" s="308" t="s">
        <v>190</v>
      </c>
      <c r="F20" s="14"/>
      <c r="H20" s="211"/>
      <c r="I20" s="28"/>
      <c r="J20" s="101"/>
      <c r="K20" s="688">
        <f>'CT-VT Burdens'!Q49</f>
        <v>0.01</v>
      </c>
      <c r="L20" s="684"/>
      <c r="M20" s="214"/>
      <c r="N20" s="14"/>
      <c r="O20" s="14"/>
      <c r="P20" s="28"/>
      <c r="Q20" s="211"/>
      <c r="R20" s="14"/>
      <c r="S20" s="14"/>
      <c r="T20" s="14"/>
      <c r="U20" s="14"/>
      <c r="V20" s="197"/>
      <c r="Y20" s="14"/>
      <c r="Z20" s="14"/>
      <c r="AA20" s="47"/>
      <c r="AB20" s="14"/>
      <c r="AD20" s="211"/>
      <c r="AE20" s="28"/>
      <c r="AF20" s="28"/>
      <c r="AG20" s="588"/>
      <c r="AH20" s="589"/>
      <c r="AI20" s="47"/>
    </row>
    <row r="21" spans="1:35" ht="18" customHeight="1">
      <c r="A21" s="196"/>
      <c r="B21" s="117"/>
      <c r="C21" s="96" t="s">
        <v>416</v>
      </c>
      <c r="D21" s="14"/>
      <c r="E21" s="308" t="s">
        <v>917</v>
      </c>
      <c r="F21" s="14"/>
      <c r="H21" s="211"/>
      <c r="I21" s="28"/>
      <c r="J21" s="101"/>
      <c r="K21" s="688">
        <f>'CT-VT Burdens'!Q98</f>
        <v>0.1</v>
      </c>
      <c r="L21" s="684"/>
      <c r="M21" s="214"/>
      <c r="N21" s="14"/>
      <c r="O21" s="14"/>
      <c r="P21" s="28"/>
      <c r="Q21" s="211"/>
      <c r="R21" s="14"/>
      <c r="S21" s="14"/>
      <c r="T21" s="14"/>
      <c r="U21" s="14"/>
      <c r="V21" s="197"/>
      <c r="Y21" s="14"/>
      <c r="Z21" s="14"/>
      <c r="AA21" s="47"/>
      <c r="AB21" s="14"/>
      <c r="AD21" s="211"/>
      <c r="AE21" s="28"/>
      <c r="AF21" s="28"/>
      <c r="AG21" s="588"/>
      <c r="AH21" s="589"/>
      <c r="AI21" s="47"/>
    </row>
    <row r="22" spans="1:35" ht="18" customHeight="1">
      <c r="A22" s="196"/>
      <c r="C22" s="96" t="s">
        <v>792</v>
      </c>
      <c r="D22" s="14"/>
      <c r="E22" s="47"/>
      <c r="F22" s="14"/>
      <c r="H22" s="211"/>
      <c r="I22" s="27"/>
      <c r="J22" s="101" t="s">
        <v>138</v>
      </c>
      <c r="K22" s="644">
        <f>SUM(K14:L21)</f>
        <v>0.26800000000000002</v>
      </c>
      <c r="L22" s="645"/>
      <c r="M22" s="214" t="s">
        <v>168</v>
      </c>
      <c r="R22" s="14"/>
      <c r="S22" s="14"/>
      <c r="T22" s="14"/>
      <c r="U22" s="293"/>
      <c r="V22" s="197"/>
    </row>
    <row r="23" spans="1:35" ht="18" customHeight="1">
      <c r="A23" s="196"/>
      <c r="C23" s="196" t="s">
        <v>423</v>
      </c>
      <c r="D23" s="14"/>
      <c r="E23" s="14"/>
      <c r="F23" s="14"/>
      <c r="I23" s="27"/>
      <c r="J23" s="101" t="s">
        <v>138</v>
      </c>
      <c r="K23" s="1197">
        <f>'CT-VT Burdens'!S39</f>
        <v>2.7035014500000001</v>
      </c>
      <c r="L23" s="1198"/>
      <c r="M23" s="309" t="s">
        <v>168</v>
      </c>
      <c r="R23" s="14"/>
      <c r="S23" s="14"/>
      <c r="T23" s="14"/>
      <c r="U23" s="293"/>
      <c r="V23" s="197"/>
    </row>
    <row r="24" spans="1:35" ht="18" customHeight="1">
      <c r="A24" s="196"/>
      <c r="C24" s="1" t="s">
        <v>424</v>
      </c>
      <c r="D24" s="2"/>
      <c r="E24" s="2"/>
      <c r="F24" s="2"/>
      <c r="G24" s="208"/>
      <c r="H24" s="208"/>
      <c r="I24" s="236" t="s">
        <v>523</v>
      </c>
      <c r="J24" s="195" t="s">
        <v>138</v>
      </c>
      <c r="K24" s="1197">
        <f>K22+K23</f>
        <v>2.9715014499999999</v>
      </c>
      <c r="L24" s="1198"/>
      <c r="M24" s="3" t="s">
        <v>168</v>
      </c>
      <c r="R24" s="14"/>
      <c r="S24" s="14"/>
      <c r="T24" s="14"/>
      <c r="U24" s="293"/>
      <c r="V24" s="197"/>
    </row>
    <row r="25" spans="1:35" ht="18" customHeight="1">
      <c r="A25" s="196"/>
      <c r="R25" s="14"/>
      <c r="S25" s="14"/>
      <c r="T25" s="14"/>
      <c r="U25" s="14"/>
      <c r="V25" s="197"/>
    </row>
    <row r="26" spans="1:35" ht="18" customHeight="1">
      <c r="A26" s="196"/>
      <c r="R26" s="14"/>
      <c r="S26" s="14"/>
      <c r="T26" s="14"/>
      <c r="U26" s="198"/>
      <c r="V26" s="197"/>
    </row>
    <row r="27" spans="1:35" ht="18" customHeight="1">
      <c r="A27" s="196"/>
      <c r="B27" s="117" t="s">
        <v>793</v>
      </c>
      <c r="V27" s="197"/>
    </row>
    <row r="28" spans="1:35" ht="18" customHeight="1">
      <c r="A28" s="196"/>
      <c r="V28" s="197"/>
    </row>
    <row r="29" spans="1:35" ht="18" customHeight="1">
      <c r="A29" s="196"/>
      <c r="B29" s="14" t="s">
        <v>794</v>
      </c>
      <c r="C29" s="14"/>
      <c r="D29" s="120"/>
      <c r="J29" s="28" t="s">
        <v>138</v>
      </c>
      <c r="K29" s="47" t="s">
        <v>792</v>
      </c>
      <c r="M29" s="47"/>
      <c r="N29" s="47"/>
      <c r="P29" s="102" t="s">
        <v>353</v>
      </c>
      <c r="Q29" s="30" t="s">
        <v>795</v>
      </c>
      <c r="R29" s="14"/>
      <c r="V29" s="197"/>
    </row>
    <row r="30" spans="1:35" ht="18" customHeight="1">
      <c r="A30" s="196"/>
      <c r="B30" s="14"/>
      <c r="C30" s="14"/>
      <c r="D30" s="120"/>
      <c r="J30" s="28" t="s">
        <v>138</v>
      </c>
      <c r="K30" s="641">
        <f>K22</f>
        <v>0.26800000000000002</v>
      </c>
      <c r="L30" s="638"/>
      <c r="M30" s="102" t="s">
        <v>353</v>
      </c>
      <c r="N30" s="641">
        <f>K9/SQRT(3)*1000</f>
        <v>63.508529610858844</v>
      </c>
      <c r="O30" s="638"/>
      <c r="V30" s="197"/>
    </row>
    <row r="31" spans="1:35" ht="18" customHeight="1">
      <c r="A31" s="196"/>
      <c r="B31" s="14"/>
      <c r="C31" s="14"/>
      <c r="D31" s="120"/>
      <c r="J31" s="28" t="s">
        <v>138</v>
      </c>
      <c r="K31" s="911">
        <f>K30/N30</f>
        <v>4.2199056038950827E-3</v>
      </c>
      <c r="L31" s="911"/>
      <c r="M31" s="47" t="s">
        <v>9</v>
      </c>
      <c r="N31" s="47"/>
      <c r="O31" s="14"/>
      <c r="P31" s="28"/>
      <c r="Q31" s="14"/>
      <c r="R31" s="14"/>
      <c r="V31" s="197"/>
    </row>
    <row r="32" spans="1:35" ht="18" customHeight="1">
      <c r="A32" s="196"/>
      <c r="V32" s="197"/>
    </row>
    <row r="33" spans="1:22" ht="18" customHeight="1">
      <c r="A33" s="196"/>
      <c r="B33" s="14" t="s">
        <v>796</v>
      </c>
      <c r="C33" s="14"/>
      <c r="D33" s="14"/>
      <c r="E33" s="14"/>
      <c r="F33" s="14"/>
      <c r="G33" s="14"/>
      <c r="H33" s="14"/>
      <c r="I33" s="47"/>
      <c r="J33" s="28" t="s">
        <v>138</v>
      </c>
      <c r="K33" s="638" t="s">
        <v>797</v>
      </c>
      <c r="L33" s="638"/>
      <c r="M33" s="28" t="s">
        <v>326</v>
      </c>
      <c r="N33" s="47" t="s">
        <v>798</v>
      </c>
      <c r="O33" s="14"/>
      <c r="P33" s="28"/>
      <c r="Q33" s="479"/>
      <c r="V33" s="197"/>
    </row>
    <row r="34" spans="1:22" ht="18" customHeight="1">
      <c r="A34" s="196"/>
      <c r="J34" s="28" t="s">
        <v>138</v>
      </c>
      <c r="K34" s="639">
        <f>K31*K31</f>
        <v>1.7807603305785122E-5</v>
      </c>
      <c r="L34" s="639"/>
      <c r="M34" s="28" t="s">
        <v>326</v>
      </c>
      <c r="N34" s="637">
        <f>'CT-VT Burdens'!S39</f>
        <v>2.7035014500000001</v>
      </c>
      <c r="O34" s="637"/>
      <c r="V34" s="197"/>
    </row>
    <row r="35" spans="1:22" ht="18" customHeight="1">
      <c r="A35" s="196"/>
      <c r="J35" s="28" t="s">
        <v>138</v>
      </c>
      <c r="K35" s="1163">
        <f>K34*N34</f>
        <v>4.8142881358214873E-5</v>
      </c>
      <c r="L35" s="1163"/>
      <c r="M35" s="30" t="s">
        <v>168</v>
      </c>
      <c r="V35" s="197"/>
    </row>
    <row r="36" spans="1:22" ht="18" customHeight="1">
      <c r="A36" s="196"/>
      <c r="V36" s="197"/>
    </row>
    <row r="37" spans="1:22" ht="18" customHeight="1">
      <c r="A37" s="196"/>
      <c r="B37" s="14" t="s">
        <v>799</v>
      </c>
      <c r="C37" s="14"/>
      <c r="D37" s="14"/>
      <c r="E37" s="28"/>
      <c r="F37" s="14"/>
      <c r="G37" s="14"/>
      <c r="H37" s="102"/>
      <c r="I37" s="47"/>
      <c r="J37" s="47"/>
      <c r="K37" s="14"/>
      <c r="V37" s="197"/>
    </row>
    <row r="38" spans="1:22" ht="18" customHeight="1">
      <c r="A38" s="196"/>
      <c r="B38" s="14"/>
      <c r="C38" s="14"/>
      <c r="D38" s="269"/>
      <c r="E38" s="120" t="s">
        <v>800</v>
      </c>
      <c r="F38" s="27" t="str">
        <f>IF(D39&gt;=G39,"&gt;","&lt;")</f>
        <v>&gt;</v>
      </c>
      <c r="G38" s="293" t="s">
        <v>131</v>
      </c>
      <c r="H38" s="230"/>
      <c r="J38" s="28"/>
      <c r="K38" s="230"/>
      <c r="V38" s="197"/>
    </row>
    <row r="39" spans="1:22" ht="18" customHeight="1">
      <c r="A39" s="196"/>
      <c r="D39" s="639">
        <f>H11</f>
        <v>50</v>
      </c>
      <c r="E39" s="639"/>
      <c r="F39" s="27" t="str">
        <f>F38</f>
        <v>&gt;</v>
      </c>
      <c r="G39" s="1163">
        <f>K24</f>
        <v>2.9715014499999999</v>
      </c>
      <c r="H39" s="639"/>
      <c r="I39" s="14"/>
      <c r="J39" s="269"/>
      <c r="V39" s="197"/>
    </row>
    <row r="40" spans="1:22" ht="18" customHeight="1">
      <c r="A40" s="196"/>
      <c r="D40" s="211"/>
      <c r="E40" s="256" t="s">
        <v>801</v>
      </c>
      <c r="F40" s="27"/>
      <c r="G40" s="18" t="str">
        <f>IF(F38="&gt;","Suitably Dimensioned","Under Dimensioned")</f>
        <v>Suitably Dimensioned</v>
      </c>
      <c r="H40" s="27"/>
      <c r="I40" s="120"/>
      <c r="J40" s="27"/>
      <c r="K40" s="120"/>
      <c r="V40" s="197"/>
    </row>
    <row r="41" spans="1:22" ht="18" customHeight="1">
      <c r="A41" s="196"/>
      <c r="V41" s="197"/>
    </row>
    <row r="42" spans="1:22" ht="18" customHeight="1">
      <c r="A42" s="196"/>
      <c r="V42" s="197"/>
    </row>
    <row r="43" spans="1:22" ht="18" customHeight="1">
      <c r="A43" s="196"/>
      <c r="V43" s="197"/>
    </row>
    <row r="44" spans="1:22" ht="18" customHeight="1">
      <c r="A44" s="196"/>
      <c r="V44" s="197"/>
    </row>
    <row r="45" spans="1:22" s="14" customFormat="1" ht="18" customHeight="1">
      <c r="A45" s="206"/>
      <c r="B45" s="207"/>
      <c r="C45" s="207"/>
      <c r="D45" s="207"/>
      <c r="E45" s="207"/>
      <c r="F45" s="207"/>
      <c r="G45" s="207"/>
      <c r="H45" s="207"/>
      <c r="I45" s="207"/>
      <c r="J45" s="207"/>
      <c r="K45" s="207"/>
      <c r="L45" s="207"/>
      <c r="M45" s="207"/>
      <c r="N45" s="207"/>
      <c r="O45" s="207"/>
      <c r="P45" s="207"/>
      <c r="Q45" s="236"/>
      <c r="R45" s="194"/>
      <c r="S45" s="1195"/>
      <c r="T45" s="1196"/>
      <c r="U45" s="207"/>
      <c r="V45" s="140"/>
    </row>
    <row r="46" spans="1:22" ht="18" customHeight="1">
      <c r="A46" s="238"/>
      <c r="B46" s="239"/>
      <c r="C46" s="239"/>
      <c r="D46" s="239"/>
      <c r="E46" s="239"/>
      <c r="F46" s="239"/>
      <c r="G46" s="239"/>
      <c r="H46" s="239"/>
      <c r="I46" s="239"/>
      <c r="J46" s="239"/>
      <c r="K46" s="239"/>
      <c r="L46" s="239"/>
      <c r="M46" s="239"/>
      <c r="N46" s="239"/>
      <c r="O46" s="239"/>
      <c r="P46" s="239"/>
      <c r="Q46" s="239"/>
      <c r="R46" s="239"/>
      <c r="S46" s="239"/>
      <c r="T46" s="239"/>
      <c r="U46" s="239"/>
      <c r="V46" s="240"/>
    </row>
    <row r="47" spans="1:22" ht="18" customHeight="1">
      <c r="A47" s="196"/>
      <c r="B47" s="656" t="str">
        <f>B7</f>
        <v>T1</v>
      </c>
      <c r="C47" s="657"/>
      <c r="D47" s="894" t="s">
        <v>517</v>
      </c>
      <c r="E47" s="995"/>
      <c r="V47" s="197"/>
    </row>
    <row r="48" spans="1:22" ht="18" customHeight="1">
      <c r="A48" s="196"/>
      <c r="V48" s="197"/>
    </row>
    <row r="49" spans="1:23" ht="18" customHeight="1">
      <c r="A49" s="196"/>
      <c r="B49" s="30" t="s">
        <v>785</v>
      </c>
      <c r="H49" s="200">
        <v>400</v>
      </c>
      <c r="I49" s="201" t="s">
        <v>786</v>
      </c>
      <c r="J49" s="203" t="s">
        <v>353</v>
      </c>
      <c r="K49" s="122">
        <v>0.11</v>
      </c>
      <c r="L49" s="201" t="s">
        <v>786</v>
      </c>
      <c r="M49" s="30" t="s">
        <v>174</v>
      </c>
      <c r="V49" s="197"/>
    </row>
    <row r="50" spans="1:23" ht="18" customHeight="1">
      <c r="A50" s="196"/>
      <c r="B50" s="30" t="s">
        <v>787</v>
      </c>
      <c r="H50" s="656" t="s">
        <v>938</v>
      </c>
      <c r="I50" s="657"/>
      <c r="V50" s="197"/>
    </row>
    <row r="51" spans="1:23" ht="18" customHeight="1">
      <c r="A51" s="196"/>
      <c r="B51" s="30" t="s">
        <v>573</v>
      </c>
      <c r="H51" s="656">
        <v>50</v>
      </c>
      <c r="I51" s="657"/>
      <c r="J51" s="30" t="s">
        <v>168</v>
      </c>
      <c r="V51" s="197"/>
      <c r="W51" s="30" t="str">
        <f>G81</f>
        <v>Suitably Dimensioned</v>
      </c>
    </row>
    <row r="52" spans="1:23" ht="18" customHeight="1">
      <c r="A52" s="196"/>
      <c r="V52" s="197"/>
    </row>
    <row r="53" spans="1:23" ht="18" customHeight="1">
      <c r="A53" s="196"/>
      <c r="V53" s="197"/>
    </row>
    <row r="54" spans="1:23" ht="18" customHeight="1">
      <c r="A54" s="196"/>
      <c r="C54" s="141" t="s">
        <v>416</v>
      </c>
      <c r="D54" s="285"/>
      <c r="E54" s="511" t="s">
        <v>255</v>
      </c>
      <c r="F54" s="397"/>
      <c r="G54" s="397"/>
      <c r="H54" s="397"/>
      <c r="I54" s="145"/>
      <c r="J54" s="272" t="s">
        <v>138</v>
      </c>
      <c r="K54" s="688">
        <f>'CT-VT Burdens'!Q85</f>
        <v>8.0000000000000002E-3</v>
      </c>
      <c r="L54" s="689"/>
      <c r="M54" s="3" t="s">
        <v>168</v>
      </c>
      <c r="V54" s="197"/>
    </row>
    <row r="55" spans="1:23" ht="18" customHeight="1">
      <c r="A55" s="196"/>
      <c r="C55" s="96" t="s">
        <v>416</v>
      </c>
      <c r="D55" s="14"/>
      <c r="E55" s="308"/>
      <c r="F55" s="14"/>
      <c r="H55" s="211"/>
      <c r="I55" s="27"/>
      <c r="J55" s="101" t="s">
        <v>138</v>
      </c>
      <c r="K55" s="688"/>
      <c r="L55" s="689"/>
      <c r="M55" s="214" t="s">
        <v>168</v>
      </c>
      <c r="V55" s="197"/>
    </row>
    <row r="56" spans="1:23" ht="18" customHeight="1">
      <c r="A56" s="196"/>
      <c r="C56" s="96" t="s">
        <v>416</v>
      </c>
      <c r="D56" s="14"/>
      <c r="E56" s="308"/>
      <c r="F56" s="14"/>
      <c r="H56" s="211"/>
      <c r="I56" s="27"/>
      <c r="J56" s="101" t="s">
        <v>138</v>
      </c>
      <c r="K56" s="688"/>
      <c r="L56" s="689"/>
      <c r="M56" s="214" t="s">
        <v>168</v>
      </c>
      <c r="V56" s="197"/>
    </row>
    <row r="57" spans="1:23" ht="18" customHeight="1">
      <c r="A57" s="196"/>
      <c r="C57" s="96" t="s">
        <v>416</v>
      </c>
      <c r="D57" s="14"/>
      <c r="E57" s="308"/>
      <c r="F57" s="14"/>
      <c r="H57" s="211"/>
      <c r="I57" s="28"/>
      <c r="J57" s="101" t="s">
        <v>138</v>
      </c>
      <c r="K57" s="688"/>
      <c r="L57" s="689"/>
      <c r="M57" s="214" t="s">
        <v>168</v>
      </c>
      <c r="V57" s="197"/>
    </row>
    <row r="58" spans="1:23" ht="18" customHeight="1">
      <c r="A58" s="196"/>
      <c r="C58" s="96" t="s">
        <v>416</v>
      </c>
      <c r="D58" s="14"/>
      <c r="E58" s="308"/>
      <c r="F58" s="14"/>
      <c r="H58" s="211"/>
      <c r="I58" s="28"/>
      <c r="J58" s="189" t="s">
        <v>138</v>
      </c>
      <c r="K58" s="688"/>
      <c r="L58" s="689"/>
      <c r="M58" s="214" t="s">
        <v>168</v>
      </c>
      <c r="V58" s="197"/>
    </row>
    <row r="59" spans="1:23" ht="18" customHeight="1">
      <c r="A59" s="196"/>
      <c r="C59" s="96" t="s">
        <v>416</v>
      </c>
      <c r="D59" s="14"/>
      <c r="E59" s="308"/>
      <c r="F59" s="14"/>
      <c r="H59" s="211"/>
      <c r="I59" s="28"/>
      <c r="J59" s="189" t="s">
        <v>138</v>
      </c>
      <c r="K59" s="688"/>
      <c r="L59" s="684"/>
      <c r="M59" s="214" t="s">
        <v>168</v>
      </c>
      <c r="V59" s="197"/>
    </row>
    <row r="60" spans="1:23" ht="18" customHeight="1">
      <c r="A60" s="196"/>
      <c r="C60" s="96" t="s">
        <v>416</v>
      </c>
      <c r="D60" s="14"/>
      <c r="E60" s="308"/>
      <c r="F60" s="14"/>
      <c r="H60" s="211"/>
      <c r="I60" s="28"/>
      <c r="J60" s="189" t="s">
        <v>138</v>
      </c>
      <c r="K60" s="688"/>
      <c r="L60" s="684"/>
      <c r="M60" s="214" t="s">
        <v>168</v>
      </c>
      <c r="V60" s="197"/>
    </row>
    <row r="61" spans="1:23" ht="18" hidden="1" customHeight="1">
      <c r="A61" s="196"/>
      <c r="C61" s="96" t="s">
        <v>416</v>
      </c>
      <c r="D61" s="14"/>
      <c r="E61" s="308" t="s">
        <v>259</v>
      </c>
      <c r="F61" s="14"/>
      <c r="H61" s="211"/>
      <c r="I61" s="28"/>
      <c r="J61" s="101"/>
      <c r="K61" s="688"/>
      <c r="L61" s="684"/>
      <c r="M61" s="214" t="s">
        <v>168</v>
      </c>
      <c r="V61" s="197"/>
    </row>
    <row r="62" spans="1:23" ht="18" customHeight="1">
      <c r="A62" s="196"/>
      <c r="B62" s="117"/>
      <c r="C62" s="96" t="s">
        <v>416</v>
      </c>
      <c r="D62" s="14"/>
      <c r="E62" s="47"/>
      <c r="F62" s="14"/>
      <c r="H62" s="211"/>
      <c r="I62" s="28"/>
      <c r="J62" s="101" t="s">
        <v>138</v>
      </c>
      <c r="K62" s="688"/>
      <c r="L62" s="689"/>
      <c r="M62" s="214" t="s">
        <v>168</v>
      </c>
      <c r="N62" s="14"/>
      <c r="P62" s="28"/>
      <c r="Q62" s="211"/>
      <c r="R62" s="14"/>
      <c r="S62" s="14"/>
      <c r="T62" s="14"/>
      <c r="U62" s="14"/>
      <c r="V62" s="197"/>
    </row>
    <row r="63" spans="1:23" ht="18" customHeight="1">
      <c r="A63" s="196"/>
      <c r="C63" s="96" t="s">
        <v>792</v>
      </c>
      <c r="D63" s="14"/>
      <c r="E63" s="47"/>
      <c r="F63" s="14"/>
      <c r="H63" s="211"/>
      <c r="I63" s="27"/>
      <c r="J63" s="101" t="s">
        <v>138</v>
      </c>
      <c r="K63" s="644">
        <f>SUM(K54:L62)</f>
        <v>8.0000000000000002E-3</v>
      </c>
      <c r="L63" s="645"/>
      <c r="M63" s="214" t="s">
        <v>168</v>
      </c>
      <c r="R63" s="14"/>
      <c r="S63" s="14"/>
      <c r="T63" s="14"/>
      <c r="U63" s="293"/>
      <c r="V63" s="197"/>
    </row>
    <row r="64" spans="1:23" ht="18" customHeight="1">
      <c r="A64" s="196"/>
      <c r="C64" s="196" t="s">
        <v>423</v>
      </c>
      <c r="D64" s="14"/>
      <c r="E64" s="14"/>
      <c r="F64" s="14"/>
      <c r="I64" s="27"/>
      <c r="J64" s="101" t="s">
        <v>138</v>
      </c>
      <c r="K64" s="1197">
        <f>'CT-VT Burdens'!S39</f>
        <v>2.7035014500000001</v>
      </c>
      <c r="L64" s="1198"/>
      <c r="M64" s="309" t="s">
        <v>168</v>
      </c>
      <c r="R64" s="14"/>
      <c r="S64" s="14"/>
      <c r="T64" s="14"/>
      <c r="U64" s="293"/>
      <c r="V64" s="197"/>
    </row>
    <row r="65" spans="1:22" ht="18" customHeight="1">
      <c r="A65" s="196"/>
      <c r="C65" s="1" t="s">
        <v>424</v>
      </c>
      <c r="D65" s="2"/>
      <c r="E65" s="2"/>
      <c r="F65" s="2"/>
      <c r="G65" s="208"/>
      <c r="H65" s="208"/>
      <c r="I65" s="236" t="s">
        <v>523</v>
      </c>
      <c r="J65" s="195" t="s">
        <v>138</v>
      </c>
      <c r="K65" s="1197">
        <f>K63+K64</f>
        <v>2.7115014500000001</v>
      </c>
      <c r="L65" s="1198"/>
      <c r="M65" s="3" t="s">
        <v>168</v>
      </c>
      <c r="R65" s="14"/>
      <c r="S65" s="14"/>
      <c r="T65" s="14"/>
      <c r="U65" s="293"/>
      <c r="V65" s="197"/>
    </row>
    <row r="66" spans="1:22" ht="18" customHeight="1">
      <c r="A66" s="96"/>
      <c r="B66" s="14"/>
      <c r="C66" s="120"/>
      <c r="D66" s="47"/>
      <c r="E66" s="47"/>
      <c r="F66" s="47"/>
      <c r="G66" s="47"/>
      <c r="H66" s="47"/>
      <c r="I66" s="47"/>
      <c r="J66" s="14"/>
      <c r="K66" s="28"/>
      <c r="L66" s="14"/>
      <c r="M66" s="14"/>
      <c r="N66" s="230"/>
      <c r="O66" s="14"/>
      <c r="P66" s="14"/>
      <c r="R66" s="14"/>
      <c r="S66" s="14"/>
      <c r="T66" s="14"/>
      <c r="U66" s="14"/>
      <c r="V66" s="197"/>
    </row>
    <row r="67" spans="1:22" ht="18" customHeight="1">
      <c r="A67" s="196"/>
      <c r="R67" s="14"/>
      <c r="S67" s="14"/>
      <c r="T67" s="14"/>
      <c r="U67" s="198"/>
      <c r="V67" s="197"/>
    </row>
    <row r="68" spans="1:22" ht="18" customHeight="1">
      <c r="A68" s="196"/>
      <c r="B68" s="117" t="s">
        <v>793</v>
      </c>
      <c r="V68" s="197"/>
    </row>
    <row r="69" spans="1:22" ht="18" customHeight="1">
      <c r="A69" s="196"/>
      <c r="V69" s="197"/>
    </row>
    <row r="70" spans="1:22" ht="18" customHeight="1">
      <c r="A70" s="196"/>
      <c r="B70" s="14" t="s">
        <v>794</v>
      </c>
      <c r="C70" s="14"/>
      <c r="D70" s="120"/>
      <c r="J70" s="28" t="s">
        <v>138</v>
      </c>
      <c r="K70" s="47" t="s">
        <v>792</v>
      </c>
      <c r="M70" s="47"/>
      <c r="N70" s="47"/>
      <c r="P70" s="102" t="s">
        <v>353</v>
      </c>
      <c r="Q70" s="30" t="s">
        <v>795</v>
      </c>
      <c r="R70" s="14"/>
      <c r="V70" s="197"/>
    </row>
    <row r="71" spans="1:22" ht="18" customHeight="1">
      <c r="A71" s="196"/>
      <c r="B71" s="14"/>
      <c r="C71" s="14"/>
      <c r="D71" s="120"/>
      <c r="J71" s="28" t="s">
        <v>138</v>
      </c>
      <c r="K71" s="641">
        <f>K63</f>
        <v>8.0000000000000002E-3</v>
      </c>
      <c r="L71" s="638"/>
      <c r="M71" s="102" t="s">
        <v>353</v>
      </c>
      <c r="N71" s="641">
        <f>K49/SQRT(3)*1000</f>
        <v>63.508529610858844</v>
      </c>
      <c r="O71" s="638"/>
      <c r="V71" s="197"/>
    </row>
    <row r="72" spans="1:22" ht="18" customHeight="1">
      <c r="A72" s="196"/>
      <c r="B72" s="14"/>
      <c r="C72" s="14"/>
      <c r="D72" s="120"/>
      <c r="J72" s="28" t="s">
        <v>138</v>
      </c>
      <c r="K72" s="911">
        <f>K71/N71</f>
        <v>1.259673314595547E-4</v>
      </c>
      <c r="L72" s="911"/>
      <c r="M72" s="47" t="s">
        <v>9</v>
      </c>
      <c r="N72" s="47"/>
      <c r="O72" s="14"/>
      <c r="P72" s="28"/>
      <c r="Q72" s="14"/>
      <c r="R72" s="14"/>
      <c r="V72" s="197"/>
    </row>
    <row r="73" spans="1:22" ht="18" customHeight="1">
      <c r="A73" s="196"/>
      <c r="V73" s="197"/>
    </row>
    <row r="74" spans="1:22" ht="18" customHeight="1">
      <c r="A74" s="196"/>
      <c r="B74" s="14" t="s">
        <v>796</v>
      </c>
      <c r="C74" s="14"/>
      <c r="D74" s="14"/>
      <c r="E74" s="14"/>
      <c r="F74" s="14"/>
      <c r="G74" s="14"/>
      <c r="H74" s="14"/>
      <c r="I74" s="47"/>
      <c r="J74" s="28" t="s">
        <v>138</v>
      </c>
      <c r="K74" s="638" t="s">
        <v>797</v>
      </c>
      <c r="L74" s="638"/>
      <c r="M74" s="28" t="s">
        <v>326</v>
      </c>
      <c r="N74" s="47" t="s">
        <v>798</v>
      </c>
      <c r="O74" s="14"/>
      <c r="P74" s="28"/>
      <c r="Q74" s="479"/>
      <c r="V74" s="197"/>
    </row>
    <row r="75" spans="1:22" ht="18" customHeight="1">
      <c r="A75" s="196"/>
      <c r="J75" s="28" t="s">
        <v>138</v>
      </c>
      <c r="K75" s="639">
        <f>K72*K72</f>
        <v>1.5867768595041319E-8</v>
      </c>
      <c r="L75" s="639"/>
      <c r="M75" s="28" t="s">
        <v>326</v>
      </c>
      <c r="N75" s="637">
        <f>N34</f>
        <v>2.7035014500000001</v>
      </c>
      <c r="O75" s="637"/>
      <c r="V75" s="197"/>
    </row>
    <row r="76" spans="1:22" ht="18" customHeight="1">
      <c r="A76" s="196"/>
      <c r="J76" s="28" t="s">
        <v>138</v>
      </c>
      <c r="K76" s="1163">
        <f>K75*N75</f>
        <v>4.289853540495867E-8</v>
      </c>
      <c r="L76" s="1163"/>
      <c r="M76" s="30" t="s">
        <v>168</v>
      </c>
      <c r="V76" s="197"/>
    </row>
    <row r="77" spans="1:22" ht="18" customHeight="1">
      <c r="A77" s="196"/>
      <c r="V77" s="197"/>
    </row>
    <row r="78" spans="1:22" ht="18" customHeight="1">
      <c r="A78" s="196"/>
      <c r="B78" s="14" t="s">
        <v>799</v>
      </c>
      <c r="C78" s="14"/>
      <c r="D78" s="14"/>
      <c r="E78" s="28"/>
      <c r="F78" s="14"/>
      <c r="G78" s="14"/>
      <c r="H78" s="102"/>
      <c r="I78" s="47"/>
      <c r="J78" s="47"/>
      <c r="K78" s="14"/>
      <c r="V78" s="197"/>
    </row>
    <row r="79" spans="1:22" ht="18" customHeight="1">
      <c r="A79" s="196"/>
      <c r="B79" s="14"/>
      <c r="C79" s="14"/>
      <c r="D79" s="269"/>
      <c r="E79" s="120" t="s">
        <v>800</v>
      </c>
      <c r="F79" s="27" t="str">
        <f>IF(D80&gt;=G80,"&gt;","&lt;")</f>
        <v>&gt;</v>
      </c>
      <c r="G79" s="489" t="s">
        <v>131</v>
      </c>
      <c r="H79" s="230"/>
      <c r="J79" s="28"/>
      <c r="K79" s="230"/>
      <c r="V79" s="197"/>
    </row>
    <row r="80" spans="1:22" ht="18" customHeight="1">
      <c r="A80" s="196"/>
      <c r="D80" s="639">
        <f>H51</f>
        <v>50</v>
      </c>
      <c r="E80" s="639"/>
      <c r="F80" s="27" t="str">
        <f>F79</f>
        <v>&gt;</v>
      </c>
      <c r="G80" s="637">
        <f>K65</f>
        <v>2.7115014500000001</v>
      </c>
      <c r="H80" s="637"/>
      <c r="I80" s="14"/>
      <c r="J80" s="269"/>
      <c r="V80" s="197"/>
    </row>
    <row r="81" spans="1:23" ht="18" customHeight="1">
      <c r="A81" s="196"/>
      <c r="D81" s="211"/>
      <c r="E81" s="256" t="s">
        <v>801</v>
      </c>
      <c r="F81" s="27"/>
      <c r="G81" s="18" t="str">
        <f>IF(F79="&gt;","Suitably Dimensioned","Under Dimensioned")</f>
        <v>Suitably Dimensioned</v>
      </c>
      <c r="H81" s="27"/>
      <c r="I81" s="120"/>
      <c r="J81" s="27"/>
      <c r="K81" s="120"/>
      <c r="V81" s="197"/>
    </row>
    <row r="82" spans="1:23" ht="18" customHeight="1">
      <c r="A82" s="196"/>
      <c r="V82" s="197"/>
    </row>
    <row r="83" spans="1:23" ht="18" customHeight="1">
      <c r="A83" s="196"/>
      <c r="V83" s="197"/>
    </row>
    <row r="84" spans="1:23" ht="18" customHeight="1">
      <c r="A84" s="196"/>
      <c r="V84" s="197"/>
    </row>
    <row r="85" spans="1:23" ht="18" customHeight="1">
      <c r="A85" s="196"/>
      <c r="V85" s="197"/>
    </row>
    <row r="86" spans="1:23" s="14" customFormat="1" ht="18" customHeight="1">
      <c r="A86" s="206"/>
      <c r="B86" s="207"/>
      <c r="C86" s="207"/>
      <c r="D86" s="207"/>
      <c r="E86" s="207"/>
      <c r="F86" s="207"/>
      <c r="G86" s="207"/>
      <c r="H86" s="207"/>
      <c r="I86" s="207"/>
      <c r="J86" s="207"/>
      <c r="K86" s="207"/>
      <c r="L86" s="207"/>
      <c r="M86" s="207"/>
      <c r="N86" s="207"/>
      <c r="O86" s="207"/>
      <c r="P86" s="207"/>
      <c r="Q86" s="236"/>
      <c r="R86" s="194"/>
      <c r="S86" s="1195"/>
      <c r="T86" s="1196"/>
      <c r="U86" s="207"/>
      <c r="V86" s="140"/>
    </row>
    <row r="87" spans="1:23" ht="18" customHeight="1">
      <c r="A87" s="238"/>
      <c r="B87" s="239"/>
      <c r="C87" s="239"/>
      <c r="D87" s="239"/>
      <c r="E87" s="239"/>
      <c r="F87" s="239"/>
      <c r="G87" s="239"/>
      <c r="H87" s="239"/>
      <c r="I87" s="239"/>
      <c r="J87" s="239"/>
      <c r="K87" s="239"/>
      <c r="L87" s="239"/>
      <c r="M87" s="239"/>
      <c r="N87" s="239"/>
      <c r="O87" s="239"/>
      <c r="P87" s="239"/>
      <c r="Q87" s="239"/>
      <c r="R87" s="239"/>
      <c r="S87" s="239"/>
      <c r="T87" s="239"/>
      <c r="U87" s="239"/>
      <c r="V87" s="240"/>
    </row>
    <row r="88" spans="1:23" ht="18" customHeight="1">
      <c r="A88" s="196"/>
      <c r="B88" s="656" t="s">
        <v>120</v>
      </c>
      <c r="C88" s="657"/>
      <c r="D88" s="894" t="s">
        <v>121</v>
      </c>
      <c r="E88" s="995"/>
      <c r="V88" s="197"/>
    </row>
    <row r="89" spans="1:23" ht="18" customHeight="1">
      <c r="A89" s="196"/>
      <c r="V89" s="197"/>
    </row>
    <row r="90" spans="1:23" ht="18" customHeight="1">
      <c r="A90" s="196"/>
      <c r="B90" s="30" t="s">
        <v>785</v>
      </c>
      <c r="H90" s="200">
        <v>400</v>
      </c>
      <c r="I90" s="201" t="s">
        <v>786</v>
      </c>
      <c r="J90" s="203" t="s">
        <v>353</v>
      </c>
      <c r="K90" s="122">
        <v>0.11</v>
      </c>
      <c r="L90" s="201" t="s">
        <v>786</v>
      </c>
      <c r="M90" s="30" t="s">
        <v>174</v>
      </c>
      <c r="V90" s="197"/>
    </row>
    <row r="91" spans="1:23" ht="18" customHeight="1">
      <c r="A91" s="196"/>
      <c r="B91" s="30" t="s">
        <v>787</v>
      </c>
      <c r="H91" s="656" t="s">
        <v>938</v>
      </c>
      <c r="I91" s="657"/>
      <c r="V91" s="197"/>
    </row>
    <row r="92" spans="1:23" ht="18" customHeight="1">
      <c r="A92" s="196"/>
      <c r="B92" s="30" t="s">
        <v>573</v>
      </c>
      <c r="H92" s="656">
        <v>50</v>
      </c>
      <c r="I92" s="657"/>
      <c r="J92" s="30" t="s">
        <v>168</v>
      </c>
      <c r="V92" s="197"/>
      <c r="W92" s="30" t="str">
        <f>G118</f>
        <v>Suitably Dimensioned</v>
      </c>
    </row>
    <row r="93" spans="1:23" ht="18" customHeight="1">
      <c r="A93" s="196"/>
      <c r="V93" s="197"/>
    </row>
    <row r="94" spans="1:23" ht="18" customHeight="1">
      <c r="A94" s="196"/>
      <c r="V94" s="197"/>
    </row>
    <row r="95" spans="1:23" ht="18" customHeight="1">
      <c r="A95" s="196"/>
      <c r="C95" s="141" t="s">
        <v>416</v>
      </c>
      <c r="D95" s="285"/>
      <c r="E95" s="146" t="s">
        <v>255</v>
      </c>
      <c r="F95" s="239"/>
      <c r="G95" s="239"/>
      <c r="H95" s="239"/>
      <c r="I95" s="145"/>
      <c r="J95" s="272" t="s">
        <v>138</v>
      </c>
      <c r="K95" s="688">
        <f>'CT-VT Burdens'!Q85</f>
        <v>8.0000000000000002E-3</v>
      </c>
      <c r="L95" s="689"/>
      <c r="M95" s="3" t="s">
        <v>168</v>
      </c>
      <c r="V95" s="197"/>
    </row>
    <row r="96" spans="1:23" ht="18" customHeight="1">
      <c r="A96" s="196"/>
      <c r="C96" s="96" t="s">
        <v>416</v>
      </c>
      <c r="D96" s="14"/>
      <c r="E96" s="47"/>
      <c r="F96" s="14"/>
      <c r="H96" s="211"/>
      <c r="I96" s="27"/>
      <c r="J96" s="101" t="s">
        <v>138</v>
      </c>
      <c r="K96" s="688"/>
      <c r="L96" s="689"/>
      <c r="M96" s="214" t="s">
        <v>168</v>
      </c>
      <c r="V96" s="197"/>
    </row>
    <row r="97" spans="1:22" ht="18" customHeight="1">
      <c r="A97" s="196"/>
      <c r="C97" s="96" t="s">
        <v>416</v>
      </c>
      <c r="D97" s="14"/>
      <c r="E97" s="47"/>
      <c r="F97" s="14"/>
      <c r="H97" s="211"/>
      <c r="I97" s="27"/>
      <c r="J97" s="101" t="s">
        <v>138</v>
      </c>
      <c r="K97" s="688"/>
      <c r="L97" s="689"/>
      <c r="M97" s="214" t="s">
        <v>168</v>
      </c>
      <c r="V97" s="197"/>
    </row>
    <row r="98" spans="1:22" ht="18" customHeight="1">
      <c r="A98" s="196"/>
      <c r="C98" s="96" t="s">
        <v>416</v>
      </c>
      <c r="D98" s="14"/>
      <c r="E98" s="47"/>
      <c r="F98" s="14"/>
      <c r="H98" s="211"/>
      <c r="I98" s="27"/>
      <c r="J98" s="101" t="s">
        <v>138</v>
      </c>
      <c r="K98" s="688"/>
      <c r="L98" s="689"/>
      <c r="M98" s="214" t="s">
        <v>168</v>
      </c>
      <c r="V98" s="197"/>
    </row>
    <row r="99" spans="1:22" ht="18" customHeight="1">
      <c r="A99" s="196"/>
      <c r="B99" s="117"/>
      <c r="C99" s="96" t="s">
        <v>416</v>
      </c>
      <c r="D99" s="14"/>
      <c r="E99" s="47"/>
      <c r="F99" s="14"/>
      <c r="H99" s="211"/>
      <c r="I99" s="27"/>
      <c r="J99" s="101" t="s">
        <v>138</v>
      </c>
      <c r="K99" s="688"/>
      <c r="L99" s="689"/>
      <c r="M99" s="214" t="s">
        <v>168</v>
      </c>
      <c r="N99" s="14"/>
      <c r="O99" s="14"/>
      <c r="P99" s="28"/>
      <c r="Q99" s="211"/>
      <c r="R99" s="14"/>
      <c r="S99" s="14"/>
      <c r="T99" s="14"/>
      <c r="U99" s="14"/>
      <c r="V99" s="197"/>
    </row>
    <row r="100" spans="1:22" ht="18" customHeight="1">
      <c r="A100" s="196"/>
      <c r="C100" s="96" t="s">
        <v>792</v>
      </c>
      <c r="D100" s="14"/>
      <c r="E100" s="47"/>
      <c r="F100" s="14"/>
      <c r="H100" s="211"/>
      <c r="I100" s="27"/>
      <c r="J100" s="101" t="s">
        <v>138</v>
      </c>
      <c r="K100" s="644">
        <f>SUM(K95:L99)</f>
        <v>8.0000000000000002E-3</v>
      </c>
      <c r="L100" s="645"/>
      <c r="M100" s="214" t="s">
        <v>168</v>
      </c>
      <c r="R100" s="14"/>
      <c r="S100" s="14"/>
      <c r="T100" s="14"/>
      <c r="U100" s="293"/>
      <c r="V100" s="197"/>
    </row>
    <row r="101" spans="1:22" ht="18" customHeight="1">
      <c r="A101" s="196"/>
      <c r="C101" s="196" t="s">
        <v>423</v>
      </c>
      <c r="D101" s="14"/>
      <c r="E101" s="14"/>
      <c r="F101" s="14"/>
      <c r="I101" s="27"/>
      <c r="J101" s="101" t="s">
        <v>138</v>
      </c>
      <c r="K101" s="1197">
        <f>'CT-VT Burdens'!S39</f>
        <v>2.7035014500000001</v>
      </c>
      <c r="L101" s="1198"/>
      <c r="M101" s="309" t="s">
        <v>168</v>
      </c>
      <c r="R101" s="14"/>
      <c r="S101" s="14"/>
      <c r="T101" s="14"/>
      <c r="U101" s="293"/>
      <c r="V101" s="197"/>
    </row>
    <row r="102" spans="1:22" ht="18" customHeight="1">
      <c r="A102" s="196"/>
      <c r="C102" s="1" t="s">
        <v>424</v>
      </c>
      <c r="D102" s="2"/>
      <c r="E102" s="2"/>
      <c r="F102" s="2"/>
      <c r="G102" s="208"/>
      <c r="H102" s="208"/>
      <c r="I102" s="236" t="s">
        <v>523</v>
      </c>
      <c r="J102" s="195" t="s">
        <v>138</v>
      </c>
      <c r="K102" s="1197">
        <f>K100+K101</f>
        <v>2.7115014500000001</v>
      </c>
      <c r="L102" s="1198"/>
      <c r="M102" s="3" t="s">
        <v>168</v>
      </c>
      <c r="R102" s="14"/>
      <c r="S102" s="14"/>
      <c r="T102" s="14"/>
      <c r="U102" s="293"/>
      <c r="V102" s="197"/>
    </row>
    <row r="103" spans="1:22" ht="18" customHeight="1">
      <c r="A103" s="96"/>
      <c r="B103" s="14"/>
      <c r="C103" s="120"/>
      <c r="D103" s="47"/>
      <c r="E103" s="47"/>
      <c r="F103" s="47"/>
      <c r="G103" s="47"/>
      <c r="H103" s="47"/>
      <c r="I103" s="47"/>
      <c r="J103" s="14"/>
      <c r="K103" s="28"/>
      <c r="L103" s="14"/>
      <c r="M103" s="14"/>
      <c r="N103" s="230"/>
      <c r="O103" s="230"/>
      <c r="P103" s="14"/>
      <c r="R103" s="14"/>
      <c r="S103" s="14"/>
      <c r="T103" s="14"/>
      <c r="U103" s="14"/>
      <c r="V103" s="197"/>
    </row>
    <row r="104" spans="1:22" ht="18" customHeight="1">
      <c r="A104" s="196"/>
      <c r="P104" s="479"/>
      <c r="R104" s="14"/>
      <c r="S104" s="14"/>
      <c r="T104" s="14"/>
      <c r="U104" s="198"/>
      <c r="V104" s="197"/>
    </row>
    <row r="105" spans="1:22" ht="18" customHeight="1">
      <c r="A105" s="196"/>
      <c r="B105" s="117" t="s">
        <v>793</v>
      </c>
      <c r="V105" s="197"/>
    </row>
    <row r="106" spans="1:22" ht="18" customHeight="1">
      <c r="A106" s="196"/>
      <c r="V106" s="197"/>
    </row>
    <row r="107" spans="1:22" ht="18" customHeight="1">
      <c r="A107" s="196"/>
      <c r="B107" s="14" t="s">
        <v>794</v>
      </c>
      <c r="C107" s="14"/>
      <c r="D107" s="120"/>
      <c r="J107" s="28" t="s">
        <v>138</v>
      </c>
      <c r="K107" s="47" t="s">
        <v>792</v>
      </c>
      <c r="M107" s="47"/>
      <c r="N107" s="47"/>
      <c r="P107" s="102" t="s">
        <v>353</v>
      </c>
      <c r="Q107" s="30" t="s">
        <v>795</v>
      </c>
      <c r="R107" s="14"/>
      <c r="V107" s="197"/>
    </row>
    <row r="108" spans="1:22" ht="18" customHeight="1">
      <c r="A108" s="196"/>
      <c r="B108" s="14"/>
      <c r="C108" s="14"/>
      <c r="D108" s="120"/>
      <c r="J108" s="28" t="s">
        <v>138</v>
      </c>
      <c r="K108" s="641">
        <f>K100</f>
        <v>8.0000000000000002E-3</v>
      </c>
      <c r="L108" s="638"/>
      <c r="M108" s="102" t="s">
        <v>353</v>
      </c>
      <c r="N108" s="641">
        <f>K90/SQRT(3)*1000</f>
        <v>63.508529610858844</v>
      </c>
      <c r="O108" s="638"/>
      <c r="V108" s="197"/>
    </row>
    <row r="109" spans="1:22" ht="18" customHeight="1">
      <c r="A109" s="196"/>
      <c r="B109" s="14"/>
      <c r="C109" s="14"/>
      <c r="D109" s="120"/>
      <c r="J109" s="28" t="s">
        <v>138</v>
      </c>
      <c r="K109" s="911">
        <f>K108/N108</f>
        <v>1.259673314595547E-4</v>
      </c>
      <c r="L109" s="911"/>
      <c r="M109" s="47" t="s">
        <v>9</v>
      </c>
      <c r="N109" s="47"/>
      <c r="O109" s="14"/>
      <c r="P109" s="28"/>
      <c r="Q109" s="14"/>
      <c r="R109" s="14"/>
      <c r="V109" s="197"/>
    </row>
    <row r="110" spans="1:22" ht="18" customHeight="1">
      <c r="A110" s="196"/>
      <c r="V110" s="197"/>
    </row>
    <row r="111" spans="1:22" ht="18" customHeight="1">
      <c r="A111" s="196"/>
      <c r="B111" s="14" t="s">
        <v>796</v>
      </c>
      <c r="C111" s="14"/>
      <c r="D111" s="14"/>
      <c r="E111" s="14"/>
      <c r="F111" s="14"/>
      <c r="G111" s="14"/>
      <c r="H111" s="14"/>
      <c r="I111" s="47"/>
      <c r="J111" s="28" t="s">
        <v>138</v>
      </c>
      <c r="K111" s="638" t="s">
        <v>797</v>
      </c>
      <c r="L111" s="638"/>
      <c r="M111" s="28" t="s">
        <v>326</v>
      </c>
      <c r="N111" s="47" t="s">
        <v>798</v>
      </c>
      <c r="O111" s="14"/>
      <c r="P111" s="28"/>
      <c r="V111" s="197"/>
    </row>
    <row r="112" spans="1:22" ht="18" customHeight="1">
      <c r="A112" s="196"/>
      <c r="J112" s="28" t="s">
        <v>138</v>
      </c>
      <c r="K112" s="639">
        <f>K109*K109</f>
        <v>1.5867768595041319E-8</v>
      </c>
      <c r="L112" s="639"/>
      <c r="M112" s="28" t="s">
        <v>326</v>
      </c>
      <c r="N112" s="637">
        <f>N75</f>
        <v>2.7035014500000001</v>
      </c>
      <c r="O112" s="637"/>
      <c r="V112" s="197"/>
    </row>
    <row r="113" spans="1:22" ht="18" customHeight="1">
      <c r="A113" s="196"/>
      <c r="J113" s="28" t="s">
        <v>138</v>
      </c>
      <c r="K113" s="1163">
        <f>K112*N112</f>
        <v>4.289853540495867E-8</v>
      </c>
      <c r="L113" s="1163"/>
      <c r="M113" s="30" t="s">
        <v>168</v>
      </c>
      <c r="V113" s="197"/>
    </row>
    <row r="114" spans="1:22" ht="18" customHeight="1">
      <c r="A114" s="196"/>
      <c r="V114" s="197"/>
    </row>
    <row r="115" spans="1:22" ht="18" customHeight="1">
      <c r="A115" s="196"/>
      <c r="B115" s="14" t="s">
        <v>799</v>
      </c>
      <c r="C115" s="14"/>
      <c r="D115" s="14"/>
      <c r="E115" s="28"/>
      <c r="F115" s="14"/>
      <c r="G115" s="14"/>
      <c r="H115" s="102"/>
      <c r="I115" s="47"/>
      <c r="J115" s="47"/>
      <c r="K115" s="14"/>
      <c r="V115" s="197"/>
    </row>
    <row r="116" spans="1:22" ht="18" customHeight="1">
      <c r="A116" s="196"/>
      <c r="B116" s="14"/>
      <c r="C116" s="14"/>
      <c r="D116" s="269"/>
      <c r="E116" s="120" t="s">
        <v>800</v>
      </c>
      <c r="F116" s="27" t="str">
        <f>IF(D117&gt;=G117,"&gt;","&lt;")</f>
        <v>&gt;</v>
      </c>
      <c r="G116" s="293" t="s">
        <v>131</v>
      </c>
      <c r="H116" s="230"/>
      <c r="J116" s="28"/>
      <c r="K116" s="230"/>
      <c r="V116" s="197"/>
    </row>
    <row r="117" spans="1:22" ht="18" customHeight="1">
      <c r="A117" s="196"/>
      <c r="D117" s="639">
        <f>H92</f>
        <v>50</v>
      </c>
      <c r="E117" s="639"/>
      <c r="F117" s="27" t="str">
        <f>F116</f>
        <v>&gt;</v>
      </c>
      <c r="G117" s="1163">
        <f>K102</f>
        <v>2.7115014500000001</v>
      </c>
      <c r="H117" s="639"/>
      <c r="I117" s="14"/>
      <c r="J117" s="269"/>
      <c r="V117" s="197"/>
    </row>
    <row r="118" spans="1:22" ht="18" customHeight="1">
      <c r="A118" s="196"/>
      <c r="D118" s="211"/>
      <c r="E118" s="256" t="s">
        <v>801</v>
      </c>
      <c r="F118" s="27"/>
      <c r="G118" s="18" t="str">
        <f>IF(F117="&gt;","Suitably Dimensioned","Under Dimensioned")</f>
        <v>Suitably Dimensioned</v>
      </c>
      <c r="H118" s="27"/>
      <c r="I118" s="120"/>
      <c r="J118" s="27"/>
      <c r="K118" s="120"/>
      <c r="V118" s="197"/>
    </row>
    <row r="119" spans="1:22" ht="18" customHeight="1">
      <c r="A119" s="196"/>
      <c r="D119" s="211"/>
      <c r="E119" s="256"/>
      <c r="F119" s="27"/>
      <c r="G119" s="18"/>
      <c r="H119" s="27"/>
      <c r="I119" s="120"/>
      <c r="J119" s="27"/>
      <c r="K119" s="120"/>
      <c r="V119" s="197"/>
    </row>
    <row r="120" spans="1:22" ht="18" customHeight="1">
      <c r="A120" s="196"/>
      <c r="D120" s="211"/>
      <c r="E120" s="256"/>
      <c r="F120" s="27"/>
      <c r="G120" s="18"/>
      <c r="H120" s="27"/>
      <c r="I120" s="120"/>
      <c r="J120" s="27"/>
      <c r="K120" s="120"/>
      <c r="V120" s="197"/>
    </row>
    <row r="121" spans="1:22" ht="18" customHeight="1">
      <c r="A121" s="196"/>
      <c r="D121" s="211"/>
      <c r="E121" s="256"/>
      <c r="F121" s="27"/>
      <c r="G121" s="18"/>
      <c r="H121" s="27"/>
      <c r="I121" s="120"/>
      <c r="J121" s="27"/>
      <c r="K121" s="120"/>
      <c r="V121" s="197"/>
    </row>
    <row r="122" spans="1:22" ht="18" customHeight="1">
      <c r="A122" s="196"/>
      <c r="D122" s="211"/>
      <c r="E122" s="256"/>
      <c r="F122" s="27"/>
      <c r="G122" s="18"/>
      <c r="H122" s="27"/>
      <c r="I122" s="120"/>
      <c r="J122" s="27"/>
      <c r="K122" s="120"/>
      <c r="V122" s="197"/>
    </row>
    <row r="123" spans="1:22" ht="18" customHeight="1">
      <c r="A123" s="196"/>
      <c r="V123" s="197"/>
    </row>
    <row r="124" spans="1:22" ht="18" customHeight="1">
      <c r="A124" s="196"/>
      <c r="V124" s="197"/>
    </row>
    <row r="125" spans="1:22" ht="18" customHeight="1">
      <c r="A125" s="196"/>
      <c r="V125" s="197"/>
    </row>
    <row r="126" spans="1:22" s="14" customFormat="1" ht="18" customHeight="1">
      <c r="A126" s="206"/>
      <c r="B126" s="207"/>
      <c r="C126" s="207"/>
      <c r="D126" s="207"/>
      <c r="E126" s="207"/>
      <c r="F126" s="207"/>
      <c r="G126" s="207"/>
      <c r="H126" s="207"/>
      <c r="I126" s="207"/>
      <c r="J126" s="207"/>
      <c r="K126" s="207"/>
      <c r="L126" s="207"/>
      <c r="M126" s="207"/>
      <c r="N126" s="207"/>
      <c r="O126" s="207"/>
      <c r="P126" s="207"/>
      <c r="Q126" s="236"/>
      <c r="R126" s="194"/>
      <c r="S126" s="237"/>
      <c r="T126" s="207"/>
      <c r="U126" s="207"/>
      <c r="V126" s="140"/>
    </row>
    <row r="127" spans="1:22" s="14" customFormat="1" ht="18" customHeight="1">
      <c r="A127" s="141"/>
      <c r="B127" s="285"/>
      <c r="C127" s="285"/>
      <c r="D127" s="285"/>
      <c r="E127" s="285"/>
      <c r="F127" s="285"/>
      <c r="G127" s="285"/>
      <c r="H127" s="285"/>
      <c r="I127" s="285"/>
      <c r="J127" s="285"/>
      <c r="K127" s="285"/>
      <c r="L127" s="285"/>
      <c r="M127" s="285"/>
      <c r="N127" s="285"/>
      <c r="O127" s="285"/>
      <c r="P127" s="285"/>
      <c r="Q127" s="286"/>
      <c r="R127" s="145"/>
      <c r="S127" s="287"/>
      <c r="T127" s="285"/>
      <c r="U127" s="285"/>
      <c r="V127" s="288"/>
    </row>
    <row r="128" spans="1:22" ht="18" customHeight="1">
      <c r="A128" s="96" t="s">
        <v>804</v>
      </c>
      <c r="V128" s="197"/>
    </row>
    <row r="129" spans="1:22" ht="18" customHeight="1">
      <c r="A129" s="660" t="s">
        <v>127</v>
      </c>
      <c r="B129" s="660"/>
      <c r="C129" s="660"/>
      <c r="D129" s="660"/>
      <c r="E129" s="660" t="s">
        <v>128</v>
      </c>
      <c r="F129" s="660"/>
      <c r="G129" s="660"/>
      <c r="H129" s="660"/>
      <c r="I129" s="660"/>
      <c r="J129" s="782" t="s">
        <v>129</v>
      </c>
      <c r="K129" s="782"/>
      <c r="L129" s="782" t="s">
        <v>100</v>
      </c>
      <c r="M129" s="782"/>
      <c r="N129" s="782" t="s">
        <v>112</v>
      </c>
      <c r="O129" s="782"/>
      <c r="P129" s="782"/>
      <c r="Q129" s="660" t="s">
        <v>805</v>
      </c>
      <c r="R129" s="660"/>
      <c r="S129" s="660"/>
      <c r="T129" s="660"/>
      <c r="U129" s="660"/>
      <c r="V129" s="660"/>
    </row>
    <row r="130" spans="1:22" ht="18" customHeight="1">
      <c r="A130" s="660"/>
      <c r="B130" s="660"/>
      <c r="C130" s="660"/>
      <c r="D130" s="660"/>
      <c r="E130" s="660"/>
      <c r="F130" s="660"/>
      <c r="G130" s="660"/>
      <c r="H130" s="660"/>
      <c r="I130" s="660"/>
      <c r="J130" s="782"/>
      <c r="K130" s="782"/>
      <c r="L130" s="782"/>
      <c r="M130" s="782"/>
      <c r="N130" s="782"/>
      <c r="O130" s="782"/>
      <c r="P130" s="782"/>
      <c r="Q130" s="660"/>
      <c r="R130" s="660"/>
      <c r="S130" s="660"/>
      <c r="T130" s="660"/>
      <c r="U130" s="660"/>
      <c r="V130" s="660"/>
    </row>
    <row r="131" spans="1:22" ht="18" customHeight="1">
      <c r="A131" s="660"/>
      <c r="B131" s="660"/>
      <c r="C131" s="660"/>
      <c r="D131" s="660"/>
      <c r="E131" s="1203"/>
      <c r="F131" s="1203"/>
      <c r="G131" s="660"/>
      <c r="H131" s="660"/>
      <c r="I131" s="660"/>
      <c r="J131" s="782"/>
      <c r="K131" s="782"/>
      <c r="L131" s="782"/>
      <c r="M131" s="782"/>
      <c r="N131" s="782"/>
      <c r="O131" s="782"/>
      <c r="P131" s="782"/>
      <c r="Q131" s="660"/>
      <c r="R131" s="660"/>
      <c r="S131" s="660"/>
      <c r="T131" s="660"/>
      <c r="U131" s="660"/>
      <c r="V131" s="660"/>
    </row>
    <row r="132" spans="1:22" ht="18" customHeight="1">
      <c r="A132" s="824" t="str">
        <f>B7</f>
        <v>T1</v>
      </c>
      <c r="B132" s="826"/>
      <c r="C132" s="786" t="str">
        <f>D7</f>
        <v>Core1</v>
      </c>
      <c r="D132" s="787"/>
      <c r="E132" s="355">
        <f>H9</f>
        <v>400</v>
      </c>
      <c r="F132" s="258" t="str">
        <f>I9</f>
        <v>/ √3</v>
      </c>
      <c r="G132" s="356" t="s">
        <v>353</v>
      </c>
      <c r="H132" s="255">
        <f>K9</f>
        <v>0.11</v>
      </c>
      <c r="I132" s="258" t="str">
        <f>L9</f>
        <v>/ √3</v>
      </c>
      <c r="J132" s="649">
        <f>'CT-VT Burdens'!S37</f>
        <v>150</v>
      </c>
      <c r="K132" s="1202">
        <f>'CT-VT Burdens'!S28</f>
        <v>2.5</v>
      </c>
      <c r="L132" s="649" t="str">
        <f>H10</f>
        <v>0.5/3P</v>
      </c>
      <c r="M132" s="649"/>
      <c r="N132" s="649">
        <f>H11</f>
        <v>50</v>
      </c>
      <c r="O132" s="649"/>
      <c r="P132" s="649"/>
      <c r="Q132" s="649" t="str">
        <f>G40</f>
        <v>Suitably Dimensioned</v>
      </c>
      <c r="R132" s="649"/>
      <c r="S132" s="649"/>
      <c r="T132" s="649"/>
      <c r="U132" s="649"/>
      <c r="V132" s="649"/>
    </row>
    <row r="133" spans="1:22" ht="18" customHeight="1">
      <c r="A133" s="1199"/>
      <c r="B133" s="1200"/>
      <c r="C133" s="649" t="str">
        <f>D47</f>
        <v>Core2</v>
      </c>
      <c r="D133" s="649"/>
      <c r="E133" s="355">
        <f>H49</f>
        <v>400</v>
      </c>
      <c r="F133" s="258" t="str">
        <f>I49</f>
        <v>/ √3</v>
      </c>
      <c r="G133" s="480" t="s">
        <v>353</v>
      </c>
      <c r="H133" s="255">
        <f>K49</f>
        <v>0.11</v>
      </c>
      <c r="I133" s="258" t="str">
        <f>L49</f>
        <v>/ √3</v>
      </c>
      <c r="J133" s="649"/>
      <c r="K133" s="1202"/>
      <c r="L133" s="649" t="str">
        <f>H50</f>
        <v>0.2S</v>
      </c>
      <c r="M133" s="649"/>
      <c r="N133" s="649">
        <f>H51</f>
        <v>50</v>
      </c>
      <c r="O133" s="649"/>
      <c r="P133" s="649"/>
      <c r="Q133" s="649" t="str">
        <f>G81</f>
        <v>Suitably Dimensioned</v>
      </c>
      <c r="R133" s="649"/>
      <c r="S133" s="649"/>
      <c r="T133" s="649"/>
      <c r="U133" s="649"/>
      <c r="V133" s="649"/>
    </row>
    <row r="134" spans="1:22" ht="18" customHeight="1">
      <c r="A134" s="1186"/>
      <c r="B134" s="1201"/>
      <c r="C134" s="649" t="str">
        <f>D88</f>
        <v>Core3</v>
      </c>
      <c r="D134" s="649"/>
      <c r="E134" s="355">
        <f>H90</f>
        <v>400</v>
      </c>
      <c r="F134" s="573" t="str">
        <f>I90</f>
        <v>/ √3</v>
      </c>
      <c r="G134" s="584" t="s">
        <v>353</v>
      </c>
      <c r="H134" s="583">
        <f>K90</f>
        <v>0.11</v>
      </c>
      <c r="I134" s="573" t="str">
        <f>L90</f>
        <v>/ √3</v>
      </c>
      <c r="J134" s="649"/>
      <c r="K134" s="1202"/>
      <c r="L134" s="884" t="str">
        <f>H91</f>
        <v>0.2S</v>
      </c>
      <c r="M134" s="884"/>
      <c r="N134" s="884">
        <f>H92</f>
        <v>50</v>
      </c>
      <c r="O134" s="884"/>
      <c r="P134" s="884"/>
      <c r="Q134" s="649" t="str">
        <f>G118</f>
        <v>Suitably Dimensioned</v>
      </c>
      <c r="R134" s="649"/>
      <c r="S134" s="649"/>
      <c r="T134" s="649"/>
      <c r="U134" s="649"/>
      <c r="V134" s="649"/>
    </row>
    <row r="135" spans="1:22" ht="18" customHeight="1">
      <c r="A135" s="196"/>
      <c r="V135" s="197"/>
    </row>
    <row r="136" spans="1:22" ht="18" customHeight="1">
      <c r="A136" s="196"/>
      <c r="V136" s="197"/>
    </row>
    <row r="137" spans="1:22" ht="18" customHeight="1">
      <c r="A137" s="196"/>
      <c r="V137" s="197"/>
    </row>
    <row r="138" spans="1:22" ht="18" customHeight="1">
      <c r="A138" s="196"/>
      <c r="V138" s="197"/>
    </row>
    <row r="139" spans="1:22" ht="18" customHeight="1">
      <c r="A139" s="196"/>
      <c r="V139" s="197"/>
    </row>
    <row r="140" spans="1:22" ht="18" customHeight="1">
      <c r="A140" s="196"/>
      <c r="V140" s="197"/>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s="14" customFormat="1" ht="18" customHeight="1">
      <c r="A166" s="206"/>
      <c r="B166" s="207"/>
      <c r="C166" s="207"/>
      <c r="D166" s="207"/>
      <c r="E166" s="207"/>
      <c r="F166" s="207"/>
      <c r="G166" s="207"/>
      <c r="H166" s="207"/>
      <c r="I166" s="207"/>
      <c r="J166" s="207"/>
      <c r="K166" s="207"/>
      <c r="L166" s="207"/>
      <c r="M166" s="207"/>
      <c r="N166" s="207"/>
      <c r="O166" s="207"/>
      <c r="P166" s="207"/>
      <c r="Q166" s="236"/>
      <c r="R166" s="194"/>
      <c r="S166" s="1195"/>
      <c r="T166" s="1196"/>
      <c r="U166" s="207"/>
      <c r="V166" s="140"/>
    </row>
  </sheetData>
  <mergeCells count="115">
    <mergeCell ref="S166:T166"/>
    <mergeCell ref="Q132:V132"/>
    <mergeCell ref="C133:D133"/>
    <mergeCell ref="L133:M133"/>
    <mergeCell ref="N133:P133"/>
    <mergeCell ref="Q133:V133"/>
    <mergeCell ref="C134:D134"/>
    <mergeCell ref="L134:M134"/>
    <mergeCell ref="N134:P134"/>
    <mergeCell ref="Q134:V134"/>
    <mergeCell ref="A132:B134"/>
    <mergeCell ref="C132:D132"/>
    <mergeCell ref="J132:J134"/>
    <mergeCell ref="K132:K134"/>
    <mergeCell ref="L132:M132"/>
    <mergeCell ref="N132:P132"/>
    <mergeCell ref="A129:D131"/>
    <mergeCell ref="E129:I131"/>
    <mergeCell ref="J129:K131"/>
    <mergeCell ref="L129:M131"/>
    <mergeCell ref="N129:P131"/>
    <mergeCell ref="Q129:V131"/>
    <mergeCell ref="K111:L111"/>
    <mergeCell ref="K112:L112"/>
    <mergeCell ref="N112:O112"/>
    <mergeCell ref="K113:L113"/>
    <mergeCell ref="D117:E117"/>
    <mergeCell ref="G117:H117"/>
    <mergeCell ref="K100:L100"/>
    <mergeCell ref="K101:L101"/>
    <mergeCell ref="K102:L102"/>
    <mergeCell ref="K108:L108"/>
    <mergeCell ref="N108:O108"/>
    <mergeCell ref="K109:L109"/>
    <mergeCell ref="H92:I92"/>
    <mergeCell ref="K95:L95"/>
    <mergeCell ref="K96:L96"/>
    <mergeCell ref="K97:L97"/>
    <mergeCell ref="K98:L98"/>
    <mergeCell ref="K99:L99"/>
    <mergeCell ref="D80:E80"/>
    <mergeCell ref="G80:H80"/>
    <mergeCell ref="S86:T86"/>
    <mergeCell ref="B88:C88"/>
    <mergeCell ref="D88:E88"/>
    <mergeCell ref="H91:I91"/>
    <mergeCell ref="N71:O71"/>
    <mergeCell ref="K72:L72"/>
    <mergeCell ref="K74:L74"/>
    <mergeCell ref="K75:L75"/>
    <mergeCell ref="N75:O75"/>
    <mergeCell ref="K76:L76"/>
    <mergeCell ref="K61:L61"/>
    <mergeCell ref="K62:L62"/>
    <mergeCell ref="K63:L63"/>
    <mergeCell ref="K64:L64"/>
    <mergeCell ref="K65:L65"/>
    <mergeCell ref="K71:L71"/>
    <mergeCell ref="K55:L55"/>
    <mergeCell ref="K56:L56"/>
    <mergeCell ref="K57:L57"/>
    <mergeCell ref="K58:L58"/>
    <mergeCell ref="K59:L59"/>
    <mergeCell ref="K60:L60"/>
    <mergeCell ref="S45:T45"/>
    <mergeCell ref="B47:C47"/>
    <mergeCell ref="D47:E47"/>
    <mergeCell ref="H50:I50"/>
    <mergeCell ref="H51:I51"/>
    <mergeCell ref="K54:L54"/>
    <mergeCell ref="K31:L31"/>
    <mergeCell ref="K33:L33"/>
    <mergeCell ref="K34:L34"/>
    <mergeCell ref="N34:O34"/>
    <mergeCell ref="K35:L35"/>
    <mergeCell ref="D39:E39"/>
    <mergeCell ref="G39:H39"/>
    <mergeCell ref="K19:L19"/>
    <mergeCell ref="AG19:AH19"/>
    <mergeCell ref="K22:L22"/>
    <mergeCell ref="K23:L23"/>
    <mergeCell ref="K24:L24"/>
    <mergeCell ref="K30:L30"/>
    <mergeCell ref="N30:O30"/>
    <mergeCell ref="AG15:AH15"/>
    <mergeCell ref="K16:L16"/>
    <mergeCell ref="AG16:AH16"/>
    <mergeCell ref="K17:L17"/>
    <mergeCell ref="AG17:AH17"/>
    <mergeCell ref="K18:L18"/>
    <mergeCell ref="K20:L20"/>
    <mergeCell ref="K21:L21"/>
    <mergeCell ref="B7:C7"/>
    <mergeCell ref="D7:E7"/>
    <mergeCell ref="H10:I10"/>
    <mergeCell ref="H11:I11"/>
    <mergeCell ref="K14:L14"/>
    <mergeCell ref="K15:L15"/>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40 G81 G118:G122">
    <cfRule type="cellIs" dxfId="10" priority="1" stopIfTrue="1" operator="equal">
      <formula>"Under Dimentioned"</formula>
    </cfRule>
  </conditionalFormatting>
  <dataValidations count="1">
    <dataValidation type="list" allowBlank="1" showInputMessage="1" showErrorMessage="1" sqref="D88 IZ88 SV88 ACR88 AMN88 AWJ88 BGF88 BQB88 BZX88 CJT88 CTP88 DDL88 DNH88 DXD88 EGZ88 EQV88 FAR88 FKN88 FUJ88 GEF88 GOB88 GXX88 HHT88 HRP88 IBL88 ILH88 IVD88 JEZ88 JOV88 JYR88 KIN88 KSJ88 LCF88 LMB88 LVX88 MFT88 MPP88 MZL88 NJH88 NTD88 OCZ88 OMV88 OWR88 PGN88 PQJ88 QAF88 QKB88 QTX88 RDT88 RNP88 RXL88 SHH88 SRD88 TAZ88 TKV88 TUR88 UEN88 UOJ88 UYF88 VIB88 VRX88 WBT88 WLP88 WVL88 D65620 IZ65620 SV65620 ACR65620 AMN65620 AWJ65620 BGF65620 BQB65620 BZX65620 CJT65620 CTP65620 DDL65620 DNH65620 DXD65620 EGZ65620 EQV65620 FAR65620 FKN65620 FUJ65620 GEF65620 GOB65620 GXX65620 HHT65620 HRP65620 IBL65620 ILH65620 IVD65620 JEZ65620 JOV65620 JYR65620 KIN65620 KSJ65620 LCF65620 LMB65620 LVX65620 MFT65620 MPP65620 MZL65620 NJH65620 NTD65620 OCZ65620 OMV65620 OWR65620 PGN65620 PQJ65620 QAF65620 QKB65620 QTX65620 RDT65620 RNP65620 RXL65620 SHH65620 SRD65620 TAZ65620 TKV65620 TUR65620 UEN65620 UOJ65620 UYF65620 VIB65620 VRX65620 WBT65620 WLP65620 WVL65620 D131156 IZ131156 SV131156 ACR131156 AMN131156 AWJ131156 BGF131156 BQB131156 BZX131156 CJT131156 CTP131156 DDL131156 DNH131156 DXD131156 EGZ131156 EQV131156 FAR131156 FKN131156 FUJ131156 GEF131156 GOB131156 GXX131156 HHT131156 HRP131156 IBL131156 ILH131156 IVD131156 JEZ131156 JOV131156 JYR131156 KIN131156 KSJ131156 LCF131156 LMB131156 LVX131156 MFT131156 MPP131156 MZL131156 NJH131156 NTD131156 OCZ131156 OMV131156 OWR131156 PGN131156 PQJ131156 QAF131156 QKB131156 QTX131156 RDT131156 RNP131156 RXL131156 SHH131156 SRD131156 TAZ131156 TKV131156 TUR131156 UEN131156 UOJ131156 UYF131156 VIB131156 VRX131156 WBT131156 WLP131156 WVL131156 D196692 IZ196692 SV196692 ACR196692 AMN196692 AWJ196692 BGF196692 BQB196692 BZX196692 CJT196692 CTP196692 DDL196692 DNH196692 DXD196692 EGZ196692 EQV196692 FAR196692 FKN196692 FUJ196692 GEF196692 GOB196692 GXX196692 HHT196692 HRP196692 IBL196692 ILH196692 IVD196692 JEZ196692 JOV196692 JYR196692 KIN196692 KSJ196692 LCF196692 LMB196692 LVX196692 MFT196692 MPP196692 MZL196692 NJH196692 NTD196692 OCZ196692 OMV196692 OWR196692 PGN196692 PQJ196692 QAF196692 QKB196692 QTX196692 RDT196692 RNP196692 RXL196692 SHH196692 SRD196692 TAZ196692 TKV196692 TUR196692 UEN196692 UOJ196692 UYF196692 VIB196692 VRX196692 WBT196692 WLP196692 WVL196692 D262228 IZ262228 SV262228 ACR262228 AMN262228 AWJ262228 BGF262228 BQB262228 BZX262228 CJT262228 CTP262228 DDL262228 DNH262228 DXD262228 EGZ262228 EQV262228 FAR262228 FKN262228 FUJ262228 GEF262228 GOB262228 GXX262228 HHT262228 HRP262228 IBL262228 ILH262228 IVD262228 JEZ262228 JOV262228 JYR262228 KIN262228 KSJ262228 LCF262228 LMB262228 LVX262228 MFT262228 MPP262228 MZL262228 NJH262228 NTD262228 OCZ262228 OMV262228 OWR262228 PGN262228 PQJ262228 QAF262228 QKB262228 QTX262228 RDT262228 RNP262228 RXL262228 SHH262228 SRD262228 TAZ262228 TKV262228 TUR262228 UEN262228 UOJ262228 UYF262228 VIB262228 VRX262228 WBT262228 WLP262228 WVL262228 D327764 IZ327764 SV327764 ACR327764 AMN327764 AWJ327764 BGF327764 BQB327764 BZX327764 CJT327764 CTP327764 DDL327764 DNH327764 DXD327764 EGZ327764 EQV327764 FAR327764 FKN327764 FUJ327764 GEF327764 GOB327764 GXX327764 HHT327764 HRP327764 IBL327764 ILH327764 IVD327764 JEZ327764 JOV327764 JYR327764 KIN327764 KSJ327764 LCF327764 LMB327764 LVX327764 MFT327764 MPP327764 MZL327764 NJH327764 NTD327764 OCZ327764 OMV327764 OWR327764 PGN327764 PQJ327764 QAF327764 QKB327764 QTX327764 RDT327764 RNP327764 RXL327764 SHH327764 SRD327764 TAZ327764 TKV327764 TUR327764 UEN327764 UOJ327764 UYF327764 VIB327764 VRX327764 WBT327764 WLP327764 WVL327764 D393300 IZ393300 SV393300 ACR393300 AMN393300 AWJ393300 BGF393300 BQB393300 BZX393300 CJT393300 CTP393300 DDL393300 DNH393300 DXD393300 EGZ393300 EQV393300 FAR393300 FKN393300 FUJ393300 GEF393300 GOB393300 GXX393300 HHT393300 HRP393300 IBL393300 ILH393300 IVD393300 JEZ393300 JOV393300 JYR393300 KIN393300 KSJ393300 LCF393300 LMB393300 LVX393300 MFT393300 MPP393300 MZL393300 NJH393300 NTD393300 OCZ393300 OMV393300 OWR393300 PGN393300 PQJ393300 QAF393300 QKB393300 QTX393300 RDT393300 RNP393300 RXL393300 SHH393300 SRD393300 TAZ393300 TKV393300 TUR393300 UEN393300 UOJ393300 UYF393300 VIB393300 VRX393300 WBT393300 WLP393300 WVL393300 D458836 IZ458836 SV458836 ACR458836 AMN458836 AWJ458836 BGF458836 BQB458836 BZX458836 CJT458836 CTP458836 DDL458836 DNH458836 DXD458836 EGZ458836 EQV458836 FAR458836 FKN458836 FUJ458836 GEF458836 GOB458836 GXX458836 HHT458836 HRP458836 IBL458836 ILH458836 IVD458836 JEZ458836 JOV458836 JYR458836 KIN458836 KSJ458836 LCF458836 LMB458836 LVX458836 MFT458836 MPP458836 MZL458836 NJH458836 NTD458836 OCZ458836 OMV458836 OWR458836 PGN458836 PQJ458836 QAF458836 QKB458836 QTX458836 RDT458836 RNP458836 RXL458836 SHH458836 SRD458836 TAZ458836 TKV458836 TUR458836 UEN458836 UOJ458836 UYF458836 VIB458836 VRX458836 WBT458836 WLP458836 WVL458836 D524372 IZ524372 SV524372 ACR524372 AMN524372 AWJ524372 BGF524372 BQB524372 BZX524372 CJT524372 CTP524372 DDL524372 DNH524372 DXD524372 EGZ524372 EQV524372 FAR524372 FKN524372 FUJ524372 GEF524372 GOB524372 GXX524372 HHT524372 HRP524372 IBL524372 ILH524372 IVD524372 JEZ524372 JOV524372 JYR524372 KIN524372 KSJ524372 LCF524372 LMB524372 LVX524372 MFT524372 MPP524372 MZL524372 NJH524372 NTD524372 OCZ524372 OMV524372 OWR524372 PGN524372 PQJ524372 QAF524372 QKB524372 QTX524372 RDT524372 RNP524372 RXL524372 SHH524372 SRD524372 TAZ524372 TKV524372 TUR524372 UEN524372 UOJ524372 UYF524372 VIB524372 VRX524372 WBT524372 WLP524372 WVL524372 D589908 IZ589908 SV589908 ACR589908 AMN589908 AWJ589908 BGF589908 BQB589908 BZX589908 CJT589908 CTP589908 DDL589908 DNH589908 DXD589908 EGZ589908 EQV589908 FAR589908 FKN589908 FUJ589908 GEF589908 GOB589908 GXX589908 HHT589908 HRP589908 IBL589908 ILH589908 IVD589908 JEZ589908 JOV589908 JYR589908 KIN589908 KSJ589908 LCF589908 LMB589908 LVX589908 MFT589908 MPP589908 MZL589908 NJH589908 NTD589908 OCZ589908 OMV589908 OWR589908 PGN589908 PQJ589908 QAF589908 QKB589908 QTX589908 RDT589908 RNP589908 RXL589908 SHH589908 SRD589908 TAZ589908 TKV589908 TUR589908 UEN589908 UOJ589908 UYF589908 VIB589908 VRX589908 WBT589908 WLP589908 WVL589908 D655444 IZ655444 SV655444 ACR655444 AMN655444 AWJ655444 BGF655444 BQB655444 BZX655444 CJT655444 CTP655444 DDL655444 DNH655444 DXD655444 EGZ655444 EQV655444 FAR655444 FKN655444 FUJ655444 GEF655444 GOB655444 GXX655444 HHT655444 HRP655444 IBL655444 ILH655444 IVD655444 JEZ655444 JOV655444 JYR655444 KIN655444 KSJ655444 LCF655444 LMB655444 LVX655444 MFT655444 MPP655444 MZL655444 NJH655444 NTD655444 OCZ655444 OMV655444 OWR655444 PGN655444 PQJ655444 QAF655444 QKB655444 QTX655444 RDT655444 RNP655444 RXL655444 SHH655444 SRD655444 TAZ655444 TKV655444 TUR655444 UEN655444 UOJ655444 UYF655444 VIB655444 VRX655444 WBT655444 WLP655444 WVL655444 D720980 IZ720980 SV720980 ACR720980 AMN720980 AWJ720980 BGF720980 BQB720980 BZX720980 CJT720980 CTP720980 DDL720980 DNH720980 DXD720980 EGZ720980 EQV720980 FAR720980 FKN720980 FUJ720980 GEF720980 GOB720980 GXX720980 HHT720980 HRP720980 IBL720980 ILH720980 IVD720980 JEZ720980 JOV720980 JYR720980 KIN720980 KSJ720980 LCF720980 LMB720980 LVX720980 MFT720980 MPP720980 MZL720980 NJH720980 NTD720980 OCZ720980 OMV720980 OWR720980 PGN720980 PQJ720980 QAF720980 QKB720980 QTX720980 RDT720980 RNP720980 RXL720980 SHH720980 SRD720980 TAZ720980 TKV720980 TUR720980 UEN720980 UOJ720980 UYF720980 VIB720980 VRX720980 WBT720980 WLP720980 WVL720980 D786516 IZ786516 SV786516 ACR786516 AMN786516 AWJ786516 BGF786516 BQB786516 BZX786516 CJT786516 CTP786516 DDL786516 DNH786516 DXD786516 EGZ786516 EQV786516 FAR786516 FKN786516 FUJ786516 GEF786516 GOB786516 GXX786516 HHT786516 HRP786516 IBL786516 ILH786516 IVD786516 JEZ786516 JOV786516 JYR786516 KIN786516 KSJ786516 LCF786516 LMB786516 LVX786516 MFT786516 MPP786516 MZL786516 NJH786516 NTD786516 OCZ786516 OMV786516 OWR786516 PGN786516 PQJ786516 QAF786516 QKB786516 QTX786516 RDT786516 RNP786516 RXL786516 SHH786516 SRD786516 TAZ786516 TKV786516 TUR786516 UEN786516 UOJ786516 UYF786516 VIB786516 VRX786516 WBT786516 WLP786516 WVL786516 D852052 IZ852052 SV852052 ACR852052 AMN852052 AWJ852052 BGF852052 BQB852052 BZX852052 CJT852052 CTP852052 DDL852052 DNH852052 DXD852052 EGZ852052 EQV852052 FAR852052 FKN852052 FUJ852052 GEF852052 GOB852052 GXX852052 HHT852052 HRP852052 IBL852052 ILH852052 IVD852052 JEZ852052 JOV852052 JYR852052 KIN852052 KSJ852052 LCF852052 LMB852052 LVX852052 MFT852052 MPP852052 MZL852052 NJH852052 NTD852052 OCZ852052 OMV852052 OWR852052 PGN852052 PQJ852052 QAF852052 QKB852052 QTX852052 RDT852052 RNP852052 RXL852052 SHH852052 SRD852052 TAZ852052 TKV852052 TUR852052 UEN852052 UOJ852052 UYF852052 VIB852052 VRX852052 WBT852052 WLP852052 WVL852052 D917588 IZ917588 SV917588 ACR917588 AMN917588 AWJ917588 BGF917588 BQB917588 BZX917588 CJT917588 CTP917588 DDL917588 DNH917588 DXD917588 EGZ917588 EQV917588 FAR917588 FKN917588 FUJ917588 GEF917588 GOB917588 GXX917588 HHT917588 HRP917588 IBL917588 ILH917588 IVD917588 JEZ917588 JOV917588 JYR917588 KIN917588 KSJ917588 LCF917588 LMB917588 LVX917588 MFT917588 MPP917588 MZL917588 NJH917588 NTD917588 OCZ917588 OMV917588 OWR917588 PGN917588 PQJ917588 QAF917588 QKB917588 QTX917588 RDT917588 RNP917588 RXL917588 SHH917588 SRD917588 TAZ917588 TKV917588 TUR917588 UEN917588 UOJ917588 UYF917588 VIB917588 VRX917588 WBT917588 WLP917588 WVL917588 D983124 IZ983124 SV983124 ACR983124 AMN983124 AWJ983124 BGF983124 BQB983124 BZX983124 CJT983124 CTP983124 DDL983124 DNH983124 DXD983124 EGZ983124 EQV983124 FAR983124 FKN983124 FUJ983124 GEF983124 GOB983124 GXX983124 HHT983124 HRP983124 IBL983124 ILH983124 IVD983124 JEZ983124 JOV983124 JYR983124 KIN983124 KSJ983124 LCF983124 LMB983124 LVX983124 MFT983124 MPP983124 MZL983124 NJH983124 NTD983124 OCZ983124 OMV983124 OWR983124 PGN983124 PQJ983124 QAF983124 QKB983124 QTX983124 RDT983124 RNP983124 RXL983124 SHH983124 SRD983124 TAZ983124 TKV983124 TUR983124 UEN983124 UOJ983124 UYF983124 VIB983124 VRX983124 WBT983124 WLP983124 WVL983124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47 IZ47 SV47 ACR47 AMN47 AWJ47 BGF47 BQB47 BZX47 CJT47 CTP47 DDL47 DNH47 DXD47 EGZ47 EQV47 FAR47 FKN47 FUJ47 GEF47 GOB47 GXX47 HHT47 HRP47 IBL47 ILH47 IVD47 JEZ47 JOV47 JYR47 KIN47 KSJ47 LCF47 LMB47 LVX47 MFT47 MPP47 MZL47 NJH47 NTD47 OCZ47 OMV47 OWR47 PGN47 PQJ47 QAF47 QKB47 QTX47 RDT47 RNP47 RXL47 SHH47 SRD47 TAZ47 TKV47 TUR47 UEN47 UOJ47 UYF47 VIB47 VRX47 WBT47 WLP47 WVL47 D65580 IZ65580 SV65580 ACR65580 AMN65580 AWJ65580 BGF65580 BQB65580 BZX65580 CJT65580 CTP65580 DDL65580 DNH65580 DXD65580 EGZ65580 EQV65580 FAR65580 FKN65580 FUJ65580 GEF65580 GOB65580 GXX65580 HHT65580 HRP65580 IBL65580 ILH65580 IVD65580 JEZ65580 JOV65580 JYR65580 KIN65580 KSJ65580 LCF65580 LMB65580 LVX65580 MFT65580 MPP65580 MZL65580 NJH65580 NTD65580 OCZ65580 OMV65580 OWR65580 PGN65580 PQJ65580 QAF65580 QKB65580 QTX65580 RDT65580 RNP65580 RXL65580 SHH65580 SRD65580 TAZ65580 TKV65580 TUR65580 UEN65580 UOJ65580 UYF65580 VIB65580 VRX65580 WBT65580 WLP65580 WVL65580 D131116 IZ131116 SV131116 ACR131116 AMN131116 AWJ131116 BGF131116 BQB131116 BZX131116 CJT131116 CTP131116 DDL131116 DNH131116 DXD131116 EGZ131116 EQV131116 FAR131116 FKN131116 FUJ131116 GEF131116 GOB131116 GXX131116 HHT131116 HRP131116 IBL131116 ILH131116 IVD131116 JEZ131116 JOV131116 JYR131116 KIN131116 KSJ131116 LCF131116 LMB131116 LVX131116 MFT131116 MPP131116 MZL131116 NJH131116 NTD131116 OCZ131116 OMV131116 OWR131116 PGN131116 PQJ131116 QAF131116 QKB131116 QTX131116 RDT131116 RNP131116 RXL131116 SHH131116 SRD131116 TAZ131116 TKV131116 TUR131116 UEN131116 UOJ131116 UYF131116 VIB131116 VRX131116 WBT131116 WLP131116 WVL131116 D196652 IZ196652 SV196652 ACR196652 AMN196652 AWJ196652 BGF196652 BQB196652 BZX196652 CJT196652 CTP196652 DDL196652 DNH196652 DXD196652 EGZ196652 EQV196652 FAR196652 FKN196652 FUJ196652 GEF196652 GOB196652 GXX196652 HHT196652 HRP196652 IBL196652 ILH196652 IVD196652 JEZ196652 JOV196652 JYR196652 KIN196652 KSJ196652 LCF196652 LMB196652 LVX196652 MFT196652 MPP196652 MZL196652 NJH196652 NTD196652 OCZ196652 OMV196652 OWR196652 PGN196652 PQJ196652 QAF196652 QKB196652 QTX196652 RDT196652 RNP196652 RXL196652 SHH196652 SRD196652 TAZ196652 TKV196652 TUR196652 UEN196652 UOJ196652 UYF196652 VIB196652 VRX196652 WBT196652 WLP196652 WVL196652 D262188 IZ262188 SV262188 ACR262188 AMN262188 AWJ262188 BGF262188 BQB262188 BZX262188 CJT262188 CTP262188 DDL262188 DNH262188 DXD262188 EGZ262188 EQV262188 FAR262188 FKN262188 FUJ262188 GEF262188 GOB262188 GXX262188 HHT262188 HRP262188 IBL262188 ILH262188 IVD262188 JEZ262188 JOV262188 JYR262188 KIN262188 KSJ262188 LCF262188 LMB262188 LVX262188 MFT262188 MPP262188 MZL262188 NJH262188 NTD262188 OCZ262188 OMV262188 OWR262188 PGN262188 PQJ262188 QAF262188 QKB262188 QTX262188 RDT262188 RNP262188 RXL262188 SHH262188 SRD262188 TAZ262188 TKV262188 TUR262188 UEN262188 UOJ262188 UYF262188 VIB262188 VRX262188 WBT262188 WLP262188 WVL262188 D327724 IZ327724 SV327724 ACR327724 AMN327724 AWJ327724 BGF327724 BQB327724 BZX327724 CJT327724 CTP327724 DDL327724 DNH327724 DXD327724 EGZ327724 EQV327724 FAR327724 FKN327724 FUJ327724 GEF327724 GOB327724 GXX327724 HHT327724 HRP327724 IBL327724 ILH327724 IVD327724 JEZ327724 JOV327724 JYR327724 KIN327724 KSJ327724 LCF327724 LMB327724 LVX327724 MFT327724 MPP327724 MZL327724 NJH327724 NTD327724 OCZ327724 OMV327724 OWR327724 PGN327724 PQJ327724 QAF327724 QKB327724 QTX327724 RDT327724 RNP327724 RXL327724 SHH327724 SRD327724 TAZ327724 TKV327724 TUR327724 UEN327724 UOJ327724 UYF327724 VIB327724 VRX327724 WBT327724 WLP327724 WVL327724 D393260 IZ393260 SV393260 ACR393260 AMN393260 AWJ393260 BGF393260 BQB393260 BZX393260 CJT393260 CTP393260 DDL393260 DNH393260 DXD393260 EGZ393260 EQV393260 FAR393260 FKN393260 FUJ393260 GEF393260 GOB393260 GXX393260 HHT393260 HRP393260 IBL393260 ILH393260 IVD393260 JEZ393260 JOV393260 JYR393260 KIN393260 KSJ393260 LCF393260 LMB393260 LVX393260 MFT393260 MPP393260 MZL393260 NJH393260 NTD393260 OCZ393260 OMV393260 OWR393260 PGN393260 PQJ393260 QAF393260 QKB393260 QTX393260 RDT393260 RNP393260 RXL393260 SHH393260 SRD393260 TAZ393260 TKV393260 TUR393260 UEN393260 UOJ393260 UYF393260 VIB393260 VRX393260 WBT393260 WLP393260 WVL393260 D458796 IZ458796 SV458796 ACR458796 AMN458796 AWJ458796 BGF458796 BQB458796 BZX458796 CJT458796 CTP458796 DDL458796 DNH458796 DXD458796 EGZ458796 EQV458796 FAR458796 FKN458796 FUJ458796 GEF458796 GOB458796 GXX458796 HHT458796 HRP458796 IBL458796 ILH458796 IVD458796 JEZ458796 JOV458796 JYR458796 KIN458796 KSJ458796 LCF458796 LMB458796 LVX458796 MFT458796 MPP458796 MZL458796 NJH458796 NTD458796 OCZ458796 OMV458796 OWR458796 PGN458796 PQJ458796 QAF458796 QKB458796 QTX458796 RDT458796 RNP458796 RXL458796 SHH458796 SRD458796 TAZ458796 TKV458796 TUR458796 UEN458796 UOJ458796 UYF458796 VIB458796 VRX458796 WBT458796 WLP458796 WVL458796 D524332 IZ524332 SV524332 ACR524332 AMN524332 AWJ524332 BGF524332 BQB524332 BZX524332 CJT524332 CTP524332 DDL524332 DNH524332 DXD524332 EGZ524332 EQV524332 FAR524332 FKN524332 FUJ524332 GEF524332 GOB524332 GXX524332 HHT524332 HRP524332 IBL524332 ILH524332 IVD524332 JEZ524332 JOV524332 JYR524332 KIN524332 KSJ524332 LCF524332 LMB524332 LVX524332 MFT524332 MPP524332 MZL524332 NJH524332 NTD524332 OCZ524332 OMV524332 OWR524332 PGN524332 PQJ524332 QAF524332 QKB524332 QTX524332 RDT524332 RNP524332 RXL524332 SHH524332 SRD524332 TAZ524332 TKV524332 TUR524332 UEN524332 UOJ524332 UYF524332 VIB524332 VRX524332 WBT524332 WLP524332 WVL524332 D589868 IZ589868 SV589868 ACR589868 AMN589868 AWJ589868 BGF589868 BQB589868 BZX589868 CJT589868 CTP589868 DDL589868 DNH589868 DXD589868 EGZ589868 EQV589868 FAR589868 FKN589868 FUJ589868 GEF589868 GOB589868 GXX589868 HHT589868 HRP589868 IBL589868 ILH589868 IVD589868 JEZ589868 JOV589868 JYR589868 KIN589868 KSJ589868 LCF589868 LMB589868 LVX589868 MFT589868 MPP589868 MZL589868 NJH589868 NTD589868 OCZ589868 OMV589868 OWR589868 PGN589868 PQJ589868 QAF589868 QKB589868 QTX589868 RDT589868 RNP589868 RXL589868 SHH589868 SRD589868 TAZ589868 TKV589868 TUR589868 UEN589868 UOJ589868 UYF589868 VIB589868 VRX589868 WBT589868 WLP589868 WVL589868 D655404 IZ655404 SV655404 ACR655404 AMN655404 AWJ655404 BGF655404 BQB655404 BZX655404 CJT655404 CTP655404 DDL655404 DNH655404 DXD655404 EGZ655404 EQV655404 FAR655404 FKN655404 FUJ655404 GEF655404 GOB655404 GXX655404 HHT655404 HRP655404 IBL655404 ILH655404 IVD655404 JEZ655404 JOV655404 JYR655404 KIN655404 KSJ655404 LCF655404 LMB655404 LVX655404 MFT655404 MPP655404 MZL655404 NJH655404 NTD655404 OCZ655404 OMV655404 OWR655404 PGN655404 PQJ655404 QAF655404 QKB655404 QTX655404 RDT655404 RNP655404 RXL655404 SHH655404 SRD655404 TAZ655404 TKV655404 TUR655404 UEN655404 UOJ655404 UYF655404 VIB655404 VRX655404 WBT655404 WLP655404 WVL655404 D720940 IZ720940 SV720940 ACR720940 AMN720940 AWJ720940 BGF720940 BQB720940 BZX720940 CJT720940 CTP720940 DDL720940 DNH720940 DXD720940 EGZ720940 EQV720940 FAR720940 FKN720940 FUJ720940 GEF720940 GOB720940 GXX720940 HHT720940 HRP720940 IBL720940 ILH720940 IVD720940 JEZ720940 JOV720940 JYR720940 KIN720940 KSJ720940 LCF720940 LMB720940 LVX720940 MFT720940 MPP720940 MZL720940 NJH720940 NTD720940 OCZ720940 OMV720940 OWR720940 PGN720940 PQJ720940 QAF720940 QKB720940 QTX720940 RDT720940 RNP720940 RXL720940 SHH720940 SRD720940 TAZ720940 TKV720940 TUR720940 UEN720940 UOJ720940 UYF720940 VIB720940 VRX720940 WBT720940 WLP720940 WVL720940 D786476 IZ786476 SV786476 ACR786476 AMN786476 AWJ786476 BGF786476 BQB786476 BZX786476 CJT786476 CTP786476 DDL786476 DNH786476 DXD786476 EGZ786476 EQV786476 FAR786476 FKN786476 FUJ786476 GEF786476 GOB786476 GXX786476 HHT786476 HRP786476 IBL786476 ILH786476 IVD786476 JEZ786476 JOV786476 JYR786476 KIN786476 KSJ786476 LCF786476 LMB786476 LVX786476 MFT786476 MPP786476 MZL786476 NJH786476 NTD786476 OCZ786476 OMV786476 OWR786476 PGN786476 PQJ786476 QAF786476 QKB786476 QTX786476 RDT786476 RNP786476 RXL786476 SHH786476 SRD786476 TAZ786476 TKV786476 TUR786476 UEN786476 UOJ786476 UYF786476 VIB786476 VRX786476 WBT786476 WLP786476 WVL786476 D852012 IZ852012 SV852012 ACR852012 AMN852012 AWJ852012 BGF852012 BQB852012 BZX852012 CJT852012 CTP852012 DDL852012 DNH852012 DXD852012 EGZ852012 EQV852012 FAR852012 FKN852012 FUJ852012 GEF852012 GOB852012 GXX852012 HHT852012 HRP852012 IBL852012 ILH852012 IVD852012 JEZ852012 JOV852012 JYR852012 KIN852012 KSJ852012 LCF852012 LMB852012 LVX852012 MFT852012 MPP852012 MZL852012 NJH852012 NTD852012 OCZ852012 OMV852012 OWR852012 PGN852012 PQJ852012 QAF852012 QKB852012 QTX852012 RDT852012 RNP852012 RXL852012 SHH852012 SRD852012 TAZ852012 TKV852012 TUR852012 UEN852012 UOJ852012 UYF852012 VIB852012 VRX852012 WBT852012 WLP852012 WVL852012 D917548 IZ917548 SV917548 ACR917548 AMN917548 AWJ917548 BGF917548 BQB917548 BZX917548 CJT917548 CTP917548 DDL917548 DNH917548 DXD917548 EGZ917548 EQV917548 FAR917548 FKN917548 FUJ917548 GEF917548 GOB917548 GXX917548 HHT917548 HRP917548 IBL917548 ILH917548 IVD917548 JEZ917548 JOV917548 JYR917548 KIN917548 KSJ917548 LCF917548 LMB917548 LVX917548 MFT917548 MPP917548 MZL917548 NJH917548 NTD917548 OCZ917548 OMV917548 OWR917548 PGN917548 PQJ917548 QAF917548 QKB917548 QTX917548 RDT917548 RNP917548 RXL917548 SHH917548 SRD917548 TAZ917548 TKV917548 TUR917548 UEN917548 UOJ917548 UYF917548 VIB917548 VRX917548 WBT917548 WLP917548 WVL917548 D983084 IZ983084 SV983084 ACR983084 AMN983084 AWJ983084 BGF983084 BQB983084 BZX983084 CJT983084 CTP983084 DDL983084 DNH983084 DXD983084 EGZ983084 EQV983084 FAR983084 FKN983084 FUJ983084 GEF983084 GOB983084 GXX983084 HHT983084 HRP983084 IBL983084 ILH983084 IVD983084 JEZ983084 JOV983084 JYR983084 KIN983084 KSJ983084 LCF983084 LMB983084 LVX983084 MFT983084 MPP983084 MZL983084 NJH983084 NTD983084 OCZ983084 OMV983084 OWR983084 PGN983084 PQJ983084 QAF983084 QKB983084 QTX983084 RDT983084 RNP983084 RXL983084 SHH983084 SRD983084 TAZ983084 TKV983084 TUR983084 UEN983084 UOJ983084 UYF983084 VIB983084 VRX983084 WBT983084 WLP983084 WVL983084" xr:uid="{15899FE3-F412-4199-B8E8-78FE6025F65F}">
      <formula1>"Core1,Core2,Core3"</formula1>
    </dataValidation>
  </dataValidations>
  <printOptions horizontalCentered="1" verticalCentered="1"/>
  <pageMargins left="0.5" right="0.5" top="0.5" bottom="0.5" header="0" footer="0"/>
  <pageSetup paperSize="9" scale="90" orientation="portrait" r:id="rId1"/>
  <headerFooter alignWithMargins="0"/>
  <rowBreaks count="3" manualBreakCount="3">
    <brk id="45" max="21" man="1"/>
    <brk id="86" max="21" man="1"/>
    <brk id="126"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403457" r:id="rId4" name="Button 1">
              <controlPr defaultSize="0" print="0" autoFill="0" autoPict="0" macro="[2]!Button1_Click">
                <anchor moveWithCells="1" sizeWithCells="1">
                  <from>
                    <xdr:col>23</xdr:col>
                    <xdr:colOff>518160</xdr:colOff>
                    <xdr:row>1</xdr:row>
                    <xdr:rowOff>426720</xdr:rowOff>
                  </from>
                  <to>
                    <xdr:col>27</xdr:col>
                    <xdr:colOff>182880</xdr:colOff>
                    <xdr:row>3</xdr:row>
                    <xdr:rowOff>426720</xdr:rowOff>
                  </to>
                </anchor>
              </controlPr>
            </control>
          </mc:Choice>
        </mc:AlternateContent>
      </controls>
    </mc:Choice>
  </mc:AlternateContent>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49482-F9F3-4860-B3CD-E45E7B5E2B7B}">
  <sheetPr>
    <tabColor rgb="FF99CCFF"/>
  </sheetPr>
  <dimension ref="A1:Y44"/>
  <sheetViews>
    <sheetView view="pageBreakPreview"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967</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512001"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2ECD0-3B9B-4F22-B7F6-2B06701666D8}">
  <sheetPr>
    <tabColor rgb="FFFFFF00"/>
  </sheetPr>
  <dimension ref="A1:AI177"/>
  <sheetViews>
    <sheetView showZeros="0" view="pageBreakPreview" topLeftCell="A139" zoomScaleNormal="100" zoomScaleSheetLayoutView="100" workbookViewId="0">
      <selection activeCell="K13" sqref="K13"/>
    </sheetView>
  </sheetViews>
  <sheetFormatPr defaultColWidth="4.33203125" defaultRowHeight="18" customHeight="1"/>
  <cols>
    <col min="1" max="4" width="4.33203125" style="30"/>
    <col min="5" max="5" width="4.33203125" style="30" customWidth="1"/>
    <col min="6" max="6" width="4.33203125" style="30"/>
    <col min="7" max="7" width="8.5546875" style="30" bestFit="1" customWidth="1"/>
    <col min="8" max="8" width="4.33203125" style="30" customWidth="1"/>
    <col min="9" max="10" width="4.33203125" style="30"/>
    <col min="11" max="11" width="4.33203125" style="30" customWidth="1"/>
    <col min="12"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35"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74" t="str">
        <f>Title!R1</f>
        <v>N-19957.1-DF5W</v>
      </c>
      <c r="S1" s="775"/>
      <c r="T1" s="775"/>
      <c r="U1" s="775"/>
      <c r="V1" s="776"/>
      <c r="W1" s="14"/>
      <c r="X1" s="14"/>
    </row>
    <row r="2" spans="1:35" ht="18" customHeight="1">
      <c r="A2" s="720"/>
      <c r="B2" s="721"/>
      <c r="C2" s="721"/>
      <c r="D2" s="721"/>
      <c r="E2" s="721"/>
      <c r="F2" s="721"/>
      <c r="G2" s="722"/>
      <c r="H2" s="729" t="str">
        <f>Title!H2</f>
        <v>ADEQUACY CHECK</v>
      </c>
      <c r="I2" s="730"/>
      <c r="J2" s="730"/>
      <c r="K2" s="730"/>
      <c r="L2" s="730"/>
      <c r="M2" s="730"/>
      <c r="N2" s="731"/>
      <c r="O2" s="702" t="str">
        <f>Title!O2</f>
        <v>Date</v>
      </c>
      <c r="P2" s="703"/>
      <c r="Q2" s="704"/>
      <c r="R2" s="777">
        <f>Title!R2</f>
        <v>46106</v>
      </c>
      <c r="S2" s="775"/>
      <c r="T2" s="775"/>
      <c r="U2" s="775"/>
      <c r="V2" s="776"/>
      <c r="W2" s="14"/>
      <c r="X2" s="14"/>
    </row>
    <row r="3" spans="1:35" ht="21"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8" t="str">
        <f>Title!R3</f>
        <v>-</v>
      </c>
      <c r="S3" s="710"/>
      <c r="T3" s="710"/>
      <c r="U3" s="710"/>
      <c r="V3" s="709"/>
      <c r="W3" s="14"/>
      <c r="X3" s="14"/>
    </row>
    <row r="4" spans="1:35" ht="18" customHeight="1">
      <c r="A4" s="723"/>
      <c r="B4" s="724"/>
      <c r="C4" s="724"/>
      <c r="D4" s="724"/>
      <c r="E4" s="724"/>
      <c r="F4" s="724"/>
      <c r="G4" s="725"/>
      <c r="H4" s="738"/>
      <c r="I4" s="739"/>
      <c r="J4" s="739"/>
      <c r="K4" s="739"/>
      <c r="L4" s="739"/>
      <c r="M4" s="739"/>
      <c r="N4" s="740"/>
      <c r="O4" s="702" t="str">
        <f>Title!O4</f>
        <v>Revision No.</v>
      </c>
      <c r="P4" s="703"/>
      <c r="Q4" s="704"/>
      <c r="R4" s="774" t="str">
        <f>Title!R4</f>
        <v>A</v>
      </c>
      <c r="S4" s="775"/>
      <c r="T4" s="775"/>
      <c r="U4" s="775"/>
      <c r="V4" s="776"/>
      <c r="W4" s="14"/>
      <c r="X4" s="14"/>
    </row>
    <row r="5" spans="1:35" ht="18" customHeight="1">
      <c r="A5" s="708" t="str">
        <f>Title!A5</f>
        <v>Prep. By</v>
      </c>
      <c r="B5" s="709"/>
      <c r="C5" s="25" t="str">
        <f>Title!C5</f>
        <v>AP</v>
      </c>
      <c r="D5" s="708" t="str">
        <f>Title!D5</f>
        <v>Checked By</v>
      </c>
      <c r="E5" s="710"/>
      <c r="F5" s="709"/>
      <c r="G5" s="25" t="str">
        <f>Title!G5</f>
        <v>RB</v>
      </c>
      <c r="H5" s="1204" t="s">
        <v>979</v>
      </c>
      <c r="I5" s="1205"/>
      <c r="J5" s="1205"/>
      <c r="K5" s="1205"/>
      <c r="L5" s="1205"/>
      <c r="M5" s="1205"/>
      <c r="N5" s="1206"/>
      <c r="O5" s="714" t="str">
        <f>Title!O5</f>
        <v>Contractor</v>
      </c>
      <c r="P5" s="715"/>
      <c r="Q5" s="716"/>
      <c r="R5" s="774" t="str">
        <f>Title!R5</f>
        <v>HITACHI</v>
      </c>
      <c r="S5" s="775"/>
      <c r="T5" s="775"/>
      <c r="U5" s="775"/>
      <c r="V5" s="776"/>
      <c r="W5" s="14"/>
      <c r="X5" s="14"/>
    </row>
    <row r="6" spans="1:35" ht="18" customHeight="1">
      <c r="A6" s="196"/>
      <c r="V6" s="197"/>
    </row>
    <row r="7" spans="1:35" ht="18" customHeight="1">
      <c r="A7" s="196"/>
      <c r="B7" s="656" t="s">
        <v>120</v>
      </c>
      <c r="C7" s="657"/>
      <c r="D7" s="894" t="s">
        <v>396</v>
      </c>
      <c r="E7" s="995"/>
      <c r="V7" s="197"/>
    </row>
    <row r="8" spans="1:35" ht="18" customHeight="1">
      <c r="A8" s="196"/>
      <c r="V8" s="197"/>
    </row>
    <row r="9" spans="1:35" ht="18" customHeight="1">
      <c r="A9" s="196"/>
      <c r="B9" s="30" t="s">
        <v>785</v>
      </c>
      <c r="H9" s="200">
        <v>400</v>
      </c>
      <c r="I9" s="201" t="s">
        <v>786</v>
      </c>
      <c r="J9" s="203" t="s">
        <v>353</v>
      </c>
      <c r="K9" s="122">
        <v>0.11</v>
      </c>
      <c r="L9" s="201" t="s">
        <v>786</v>
      </c>
      <c r="M9" s="30" t="s">
        <v>174</v>
      </c>
      <c r="V9" s="197"/>
    </row>
    <row r="10" spans="1:35" ht="18" customHeight="1">
      <c r="A10" s="196"/>
      <c r="B10" s="30" t="s">
        <v>787</v>
      </c>
      <c r="H10" s="656" t="s">
        <v>822</v>
      </c>
      <c r="I10" s="657"/>
      <c r="V10" s="197"/>
    </row>
    <row r="11" spans="1:35" ht="18" customHeight="1">
      <c r="A11" s="196"/>
      <c r="B11" s="30" t="s">
        <v>573</v>
      </c>
      <c r="H11" s="656">
        <v>50</v>
      </c>
      <c r="I11" s="657"/>
      <c r="J11" s="30" t="s">
        <v>168</v>
      </c>
      <c r="V11" s="197"/>
      <c r="W11" s="30" t="str">
        <f>G41</f>
        <v>Suitably Dimensioned</v>
      </c>
    </row>
    <row r="12" spans="1:35" ht="18" customHeight="1">
      <c r="A12" s="196"/>
      <c r="V12" s="197"/>
    </row>
    <row r="13" spans="1:35" ht="18" customHeight="1">
      <c r="A13" s="196"/>
      <c r="V13" s="197"/>
    </row>
    <row r="14" spans="1:35" ht="18" customHeight="1">
      <c r="A14" s="196"/>
      <c r="C14" s="141" t="s">
        <v>416</v>
      </c>
      <c r="D14" s="285"/>
      <c r="E14" s="511" t="s">
        <v>928</v>
      </c>
      <c r="F14" s="397"/>
      <c r="G14" s="397"/>
      <c r="H14" s="397"/>
      <c r="I14" s="145"/>
      <c r="J14" s="272" t="s">
        <v>138</v>
      </c>
      <c r="K14" s="688">
        <f>'CT-VT Burdens'!Q48</f>
        <v>0.02</v>
      </c>
      <c r="L14" s="689"/>
      <c r="M14" s="3" t="s">
        <v>168</v>
      </c>
      <c r="O14" s="14"/>
      <c r="V14" s="197"/>
    </row>
    <row r="15" spans="1:35" ht="18" customHeight="1">
      <c r="A15" s="196"/>
      <c r="C15" s="96" t="s">
        <v>416</v>
      </c>
      <c r="D15" s="14"/>
      <c r="E15" s="308" t="s">
        <v>950</v>
      </c>
      <c r="F15" s="14"/>
      <c r="H15" s="211"/>
      <c r="I15" s="27"/>
      <c r="J15" s="101" t="s">
        <v>138</v>
      </c>
      <c r="K15" s="688"/>
      <c r="L15" s="689"/>
      <c r="M15" s="214" t="s">
        <v>168</v>
      </c>
      <c r="O15" s="14"/>
      <c r="V15" s="197"/>
      <c r="Y15" s="96" t="s">
        <v>416</v>
      </c>
      <c r="Z15" s="14"/>
      <c r="AA15" s="47" t="s">
        <v>789</v>
      </c>
      <c r="AB15" s="14"/>
      <c r="AD15" s="211"/>
      <c r="AE15" s="27"/>
      <c r="AF15" s="101" t="s">
        <v>138</v>
      </c>
      <c r="AG15" s="688">
        <f>'CT-VT Burdens'!AO48</f>
        <v>0</v>
      </c>
      <c r="AH15" s="689"/>
      <c r="AI15" s="214" t="s">
        <v>168</v>
      </c>
    </row>
    <row r="16" spans="1:35" ht="18" customHeight="1">
      <c r="A16" s="196"/>
      <c r="C16" s="96" t="s">
        <v>416</v>
      </c>
      <c r="D16" s="14"/>
      <c r="E16" s="308" t="s">
        <v>928</v>
      </c>
      <c r="F16" s="14"/>
      <c r="H16" s="211"/>
      <c r="I16" s="27"/>
      <c r="J16" s="101" t="s">
        <v>138</v>
      </c>
      <c r="K16" s="688">
        <f>'CT-VT Burdens'!Q48</f>
        <v>0.02</v>
      </c>
      <c r="L16" s="689"/>
      <c r="M16" s="214" t="s">
        <v>168</v>
      </c>
      <c r="O16" s="14"/>
      <c r="V16" s="197"/>
      <c r="Y16" s="96" t="s">
        <v>416</v>
      </c>
      <c r="Z16" s="14"/>
      <c r="AA16" s="47" t="s">
        <v>205</v>
      </c>
      <c r="AB16" s="14"/>
      <c r="AD16" s="211"/>
      <c r="AE16" s="27"/>
      <c r="AF16" s="101" t="s">
        <v>138</v>
      </c>
      <c r="AG16" s="688">
        <f>'CT-VT Burdens'!AO92</f>
        <v>0</v>
      </c>
      <c r="AH16" s="689"/>
      <c r="AI16" s="214" t="s">
        <v>168</v>
      </c>
    </row>
    <row r="17" spans="1:35" ht="18" customHeight="1">
      <c r="A17" s="196"/>
      <c r="C17" s="96" t="s">
        <v>416</v>
      </c>
      <c r="D17" s="14"/>
      <c r="E17" s="308" t="s">
        <v>933</v>
      </c>
      <c r="F17" s="14"/>
      <c r="H17" s="211"/>
      <c r="I17" s="28"/>
      <c r="J17" s="101" t="s">
        <v>138</v>
      </c>
      <c r="K17" s="688">
        <f>'CT-VT Burdens'!Q100</f>
        <v>0.04</v>
      </c>
      <c r="L17" s="689"/>
      <c r="M17" s="214" t="s">
        <v>168</v>
      </c>
      <c r="O17" s="14"/>
      <c r="V17" s="197"/>
      <c r="Y17" s="96" t="s">
        <v>416</v>
      </c>
      <c r="Z17" s="14"/>
      <c r="AA17" s="47" t="s">
        <v>790</v>
      </c>
      <c r="AB17" s="14"/>
      <c r="AD17" s="211"/>
      <c r="AE17" s="28" t="s">
        <v>140</v>
      </c>
      <c r="AF17" s="101" t="s">
        <v>138</v>
      </c>
      <c r="AG17" s="688">
        <v>0.2</v>
      </c>
      <c r="AH17" s="689"/>
      <c r="AI17" s="214" t="s">
        <v>168</v>
      </c>
    </row>
    <row r="18" spans="1:35" ht="18" customHeight="1">
      <c r="A18" s="196"/>
      <c r="C18" s="96" t="s">
        <v>416</v>
      </c>
      <c r="D18" s="14"/>
      <c r="E18" s="308" t="s">
        <v>519</v>
      </c>
      <c r="F18" s="14"/>
      <c r="H18" s="211"/>
      <c r="I18" s="28"/>
      <c r="J18" s="189" t="s">
        <v>138</v>
      </c>
      <c r="K18" s="688">
        <f>'CT-VT Burdens'!Q48</f>
        <v>0.02</v>
      </c>
      <c r="L18" s="689"/>
      <c r="M18" s="214" t="s">
        <v>168</v>
      </c>
      <c r="O18" s="14"/>
      <c r="V18" s="197"/>
      <c r="Y18" s="96"/>
      <c r="Z18" s="14"/>
      <c r="AA18" s="47"/>
      <c r="AB18" s="14"/>
      <c r="AD18" s="211"/>
      <c r="AE18" s="28"/>
      <c r="AF18" s="101"/>
      <c r="AG18" s="212"/>
      <c r="AH18" s="213"/>
      <c r="AI18" s="214"/>
    </row>
    <row r="19" spans="1:35" ht="18" customHeight="1">
      <c r="A19" s="196"/>
      <c r="B19" s="117"/>
      <c r="C19" s="196" t="s">
        <v>416</v>
      </c>
      <c r="D19" s="14"/>
      <c r="E19" s="308" t="s">
        <v>951</v>
      </c>
      <c r="H19" s="211"/>
      <c r="I19" s="28"/>
      <c r="J19" s="101" t="s">
        <v>138</v>
      </c>
      <c r="K19" s="688">
        <f>'CT-VT Burdens'!Q92</f>
        <v>5.8000000000000003E-2</v>
      </c>
      <c r="L19" s="689"/>
      <c r="M19" s="214" t="s">
        <v>168</v>
      </c>
      <c r="N19" s="14"/>
      <c r="O19" s="14"/>
      <c r="P19" s="28"/>
      <c r="Q19" s="211"/>
      <c r="R19" s="14"/>
      <c r="S19" s="14"/>
      <c r="T19" s="14"/>
      <c r="U19" s="14"/>
      <c r="V19" s="197"/>
      <c r="Y19" s="96" t="s">
        <v>416</v>
      </c>
      <c r="Z19" s="14"/>
      <c r="AA19" s="47" t="s">
        <v>791</v>
      </c>
      <c r="AB19" s="14"/>
      <c r="AD19" s="211"/>
      <c r="AE19" s="28" t="s">
        <v>140</v>
      </c>
      <c r="AF19" s="101" t="s">
        <v>138</v>
      </c>
      <c r="AG19" s="688">
        <v>1</v>
      </c>
      <c r="AH19" s="689"/>
      <c r="AI19" s="214" t="s">
        <v>168</v>
      </c>
    </row>
    <row r="20" spans="1:35" ht="18" customHeight="1">
      <c r="A20" s="196"/>
      <c r="B20" s="117"/>
      <c r="C20" s="196" t="s">
        <v>416</v>
      </c>
      <c r="D20" s="14"/>
      <c r="E20" s="308" t="s">
        <v>952</v>
      </c>
      <c r="H20" s="211"/>
      <c r="I20" s="28"/>
      <c r="J20" s="101"/>
      <c r="K20" s="688"/>
      <c r="L20" s="684"/>
      <c r="M20" s="214"/>
      <c r="N20" s="14"/>
      <c r="O20" s="14"/>
      <c r="P20" s="28"/>
      <c r="Q20" s="211"/>
      <c r="R20" s="14"/>
      <c r="S20" s="14"/>
      <c r="T20" s="14"/>
      <c r="U20" s="14"/>
      <c r="V20" s="197"/>
      <c r="Y20" s="14"/>
      <c r="Z20" s="14"/>
      <c r="AA20" s="47"/>
      <c r="AB20" s="14"/>
      <c r="AD20" s="211"/>
      <c r="AE20" s="28"/>
      <c r="AF20" s="28"/>
      <c r="AG20" s="588"/>
      <c r="AH20" s="589"/>
      <c r="AI20" s="47"/>
    </row>
    <row r="21" spans="1:35" ht="18" customHeight="1">
      <c r="A21" s="196"/>
      <c r="B21" s="117"/>
      <c r="C21" s="196" t="s">
        <v>416</v>
      </c>
      <c r="D21" s="14"/>
      <c r="E21" s="308" t="s">
        <v>190</v>
      </c>
      <c r="H21" s="211"/>
      <c r="I21" s="28"/>
      <c r="J21" s="101"/>
      <c r="K21" s="688">
        <f>'CT-VT Burdens'!Q49</f>
        <v>0.01</v>
      </c>
      <c r="L21" s="684"/>
      <c r="M21" s="214"/>
      <c r="N21" s="14"/>
      <c r="O21" s="14"/>
      <c r="P21" s="28"/>
      <c r="Q21" s="211"/>
      <c r="R21" s="14"/>
      <c r="S21" s="14"/>
      <c r="T21" s="14"/>
      <c r="U21" s="14"/>
      <c r="V21" s="197"/>
      <c r="Y21" s="14"/>
      <c r="Z21" s="14"/>
      <c r="AA21" s="47"/>
      <c r="AB21" s="14"/>
      <c r="AD21" s="211"/>
      <c r="AE21" s="28"/>
      <c r="AF21" s="28"/>
      <c r="AG21" s="588"/>
      <c r="AH21" s="589"/>
      <c r="AI21" s="47"/>
    </row>
    <row r="22" spans="1:35" ht="18" customHeight="1">
      <c r="A22" s="196"/>
      <c r="B22" s="117"/>
      <c r="C22" s="196" t="s">
        <v>416</v>
      </c>
      <c r="D22" s="14"/>
      <c r="E22" s="308" t="s">
        <v>917</v>
      </c>
      <c r="H22" s="211"/>
      <c r="I22" s="28"/>
      <c r="J22" s="101"/>
      <c r="K22" s="688">
        <f>'CT-VT Burdens'!Q98</f>
        <v>0.1</v>
      </c>
      <c r="L22" s="684"/>
      <c r="M22" s="214"/>
      <c r="N22" s="14"/>
      <c r="O22" s="14"/>
      <c r="P22" s="28"/>
      <c r="Q22" s="211"/>
      <c r="R22" s="14"/>
      <c r="S22" s="14"/>
      <c r="T22" s="14"/>
      <c r="U22" s="14"/>
      <c r="V22" s="197"/>
      <c r="Y22" s="14"/>
      <c r="Z22" s="14"/>
      <c r="AA22" s="47"/>
      <c r="AB22" s="14"/>
      <c r="AD22" s="211"/>
      <c r="AE22" s="28"/>
      <c r="AF22" s="28"/>
      <c r="AG22" s="588"/>
      <c r="AH22" s="589"/>
      <c r="AI22" s="47"/>
    </row>
    <row r="23" spans="1:35" ht="18" customHeight="1">
      <c r="A23" s="196"/>
      <c r="C23" s="96" t="s">
        <v>792</v>
      </c>
      <c r="D23" s="14"/>
      <c r="E23" s="47"/>
      <c r="F23" s="14"/>
      <c r="H23" s="211"/>
      <c r="I23" s="27"/>
      <c r="J23" s="101" t="s">
        <v>138</v>
      </c>
      <c r="K23" s="644">
        <f>SUM(K14:L22)</f>
        <v>0.26800000000000002</v>
      </c>
      <c r="L23" s="645"/>
      <c r="M23" s="214" t="s">
        <v>168</v>
      </c>
      <c r="R23" s="14"/>
      <c r="S23" s="14"/>
      <c r="T23" s="14"/>
      <c r="U23" s="293"/>
      <c r="V23" s="197"/>
    </row>
    <row r="24" spans="1:35" ht="18" customHeight="1">
      <c r="A24" s="196"/>
      <c r="C24" s="196" t="s">
        <v>423</v>
      </c>
      <c r="D24" s="14"/>
      <c r="E24" s="14"/>
      <c r="F24" s="14"/>
      <c r="I24" s="27"/>
      <c r="J24" s="101" t="s">
        <v>138</v>
      </c>
      <c r="K24" s="1197">
        <f>'CT-VT Burdens'!S39</f>
        <v>2.7035014500000001</v>
      </c>
      <c r="L24" s="1198"/>
      <c r="M24" s="309" t="s">
        <v>168</v>
      </c>
      <c r="R24" s="14"/>
      <c r="S24" s="14"/>
      <c r="T24" s="14"/>
      <c r="U24" s="293"/>
      <c r="V24" s="197"/>
    </row>
    <row r="25" spans="1:35" ht="18" customHeight="1">
      <c r="A25" s="196"/>
      <c r="C25" s="1" t="s">
        <v>424</v>
      </c>
      <c r="D25" s="2"/>
      <c r="E25" s="2"/>
      <c r="F25" s="2"/>
      <c r="G25" s="208"/>
      <c r="H25" s="208"/>
      <c r="I25" s="236" t="s">
        <v>523</v>
      </c>
      <c r="J25" s="195" t="s">
        <v>138</v>
      </c>
      <c r="K25" s="1197">
        <f>K23+K24</f>
        <v>2.9715014499999999</v>
      </c>
      <c r="L25" s="1198"/>
      <c r="M25" s="3" t="s">
        <v>168</v>
      </c>
      <c r="R25" s="14"/>
      <c r="S25" s="14"/>
      <c r="T25" s="14"/>
      <c r="U25" s="293"/>
      <c r="V25" s="197"/>
    </row>
    <row r="26" spans="1:35" ht="18" customHeight="1">
      <c r="A26" s="196"/>
      <c r="R26" s="14"/>
      <c r="S26" s="14"/>
      <c r="T26" s="14"/>
      <c r="U26" s="14"/>
      <c r="V26" s="197"/>
    </row>
    <row r="27" spans="1:35" ht="18" customHeight="1">
      <c r="A27" s="196"/>
      <c r="R27" s="14"/>
      <c r="S27" s="14"/>
      <c r="T27" s="14"/>
      <c r="U27" s="198"/>
      <c r="V27" s="197"/>
    </row>
    <row r="28" spans="1:35" ht="18" customHeight="1">
      <c r="A28" s="196"/>
      <c r="B28" s="117" t="s">
        <v>793</v>
      </c>
      <c r="V28" s="197"/>
    </row>
    <row r="29" spans="1:35" ht="18" customHeight="1">
      <c r="A29" s="196"/>
      <c r="V29" s="197"/>
    </row>
    <row r="30" spans="1:35" ht="18" customHeight="1">
      <c r="A30" s="196"/>
      <c r="B30" s="14" t="s">
        <v>794</v>
      </c>
      <c r="C30" s="14"/>
      <c r="D30" s="120"/>
      <c r="J30" s="28" t="s">
        <v>138</v>
      </c>
      <c r="K30" s="47" t="s">
        <v>792</v>
      </c>
      <c r="M30" s="47"/>
      <c r="N30" s="47"/>
      <c r="P30" s="102" t="s">
        <v>353</v>
      </c>
      <c r="Q30" s="30" t="s">
        <v>795</v>
      </c>
      <c r="R30" s="14"/>
      <c r="V30" s="197"/>
    </row>
    <row r="31" spans="1:35" ht="18" customHeight="1">
      <c r="A31" s="196"/>
      <c r="B31" s="14"/>
      <c r="C31" s="14"/>
      <c r="D31" s="120"/>
      <c r="J31" s="28" t="s">
        <v>138</v>
      </c>
      <c r="K31" s="641">
        <f>K23</f>
        <v>0.26800000000000002</v>
      </c>
      <c r="L31" s="638"/>
      <c r="M31" s="102" t="s">
        <v>353</v>
      </c>
      <c r="N31" s="641">
        <f>K9/SQRT(3)*1000</f>
        <v>63.508529610858844</v>
      </c>
      <c r="O31" s="638"/>
      <c r="V31" s="197"/>
    </row>
    <row r="32" spans="1:35" ht="18" customHeight="1">
      <c r="A32" s="196"/>
      <c r="B32" s="14"/>
      <c r="C32" s="14"/>
      <c r="D32" s="120"/>
      <c r="J32" s="28" t="s">
        <v>138</v>
      </c>
      <c r="K32" s="911">
        <f>K31/N31</f>
        <v>4.2199056038950827E-3</v>
      </c>
      <c r="L32" s="911"/>
      <c r="M32" s="47" t="s">
        <v>9</v>
      </c>
      <c r="N32" s="47"/>
      <c r="O32" s="14"/>
      <c r="P32" s="28"/>
      <c r="Q32" s="14"/>
      <c r="R32" s="14"/>
      <c r="V32" s="197"/>
    </row>
    <row r="33" spans="1:22" ht="18" customHeight="1">
      <c r="A33" s="196"/>
      <c r="V33" s="197"/>
    </row>
    <row r="34" spans="1:22" ht="18" customHeight="1">
      <c r="A34" s="196"/>
      <c r="B34" s="14" t="s">
        <v>796</v>
      </c>
      <c r="C34" s="14"/>
      <c r="D34" s="14"/>
      <c r="E34" s="14"/>
      <c r="F34" s="14"/>
      <c r="G34" s="14"/>
      <c r="H34" s="14"/>
      <c r="I34" s="47"/>
      <c r="J34" s="28" t="s">
        <v>138</v>
      </c>
      <c r="K34" s="638" t="s">
        <v>797</v>
      </c>
      <c r="L34" s="638"/>
      <c r="M34" s="28" t="s">
        <v>326</v>
      </c>
      <c r="N34" s="47" t="s">
        <v>798</v>
      </c>
      <c r="O34" s="14"/>
      <c r="P34" s="28"/>
      <c r="Q34" s="479"/>
      <c r="V34" s="197"/>
    </row>
    <row r="35" spans="1:22" ht="18" customHeight="1">
      <c r="A35" s="196"/>
      <c r="J35" s="28" t="s">
        <v>138</v>
      </c>
      <c r="K35" s="639">
        <f>K32*K32</f>
        <v>1.7807603305785122E-5</v>
      </c>
      <c r="L35" s="639"/>
      <c r="M35" s="28" t="s">
        <v>326</v>
      </c>
      <c r="N35" s="637">
        <f>'CT-VT Burdens'!S39</f>
        <v>2.7035014500000001</v>
      </c>
      <c r="O35" s="637"/>
      <c r="V35" s="197"/>
    </row>
    <row r="36" spans="1:22" ht="18" customHeight="1">
      <c r="A36" s="196"/>
      <c r="J36" s="28" t="s">
        <v>138</v>
      </c>
      <c r="K36" s="639">
        <f>K35*N35</f>
        <v>4.8142881358214873E-5</v>
      </c>
      <c r="L36" s="639"/>
      <c r="M36" s="27" t="s">
        <v>168</v>
      </c>
      <c r="V36" s="197"/>
    </row>
    <row r="37" spans="1:22" ht="18" customHeight="1">
      <c r="A37" s="196"/>
      <c r="V37" s="197"/>
    </row>
    <row r="38" spans="1:22" ht="18" customHeight="1">
      <c r="A38" s="196"/>
      <c r="B38" s="14" t="s">
        <v>799</v>
      </c>
      <c r="C38" s="14"/>
      <c r="D38" s="14"/>
      <c r="E38" s="28"/>
      <c r="F38" s="14"/>
      <c r="G38" s="14"/>
      <c r="H38" s="102"/>
      <c r="I38" s="47"/>
      <c r="J38" s="47"/>
      <c r="K38" s="14"/>
      <c r="M38" s="1207"/>
      <c r="N38" s="1207"/>
      <c r="O38" s="1207"/>
      <c r="V38" s="197"/>
    </row>
    <row r="39" spans="1:22" ht="18" customHeight="1">
      <c r="A39" s="196"/>
      <c r="B39" s="14"/>
      <c r="C39" s="14"/>
      <c r="D39" s="269"/>
      <c r="E39" s="120" t="s">
        <v>800</v>
      </c>
      <c r="F39" s="27" t="str">
        <f>IF(D40&gt;=G40,"&gt;","&lt;")</f>
        <v>&gt;</v>
      </c>
      <c r="G39" s="293" t="s">
        <v>131</v>
      </c>
      <c r="H39" s="230"/>
      <c r="J39" s="28"/>
      <c r="K39" s="230"/>
      <c r="V39" s="197"/>
    </row>
    <row r="40" spans="1:22" ht="18" customHeight="1">
      <c r="A40" s="196"/>
      <c r="D40" s="639">
        <f>H11</f>
        <v>50</v>
      </c>
      <c r="E40" s="639"/>
      <c r="F40" s="27" t="str">
        <f>F39</f>
        <v>&gt;</v>
      </c>
      <c r="G40" s="1163">
        <f>K25</f>
        <v>2.9715014499999999</v>
      </c>
      <c r="H40" s="639"/>
      <c r="I40" s="14"/>
      <c r="J40" s="269"/>
      <c r="V40" s="197"/>
    </row>
    <row r="41" spans="1:22" ht="18" customHeight="1">
      <c r="A41" s="196"/>
      <c r="D41" s="211"/>
      <c r="E41" s="256" t="s">
        <v>801</v>
      </c>
      <c r="F41" s="27"/>
      <c r="G41" s="18" t="str">
        <f>IF(F39="&gt;","Suitably Dimensioned","Under Dimensioned")</f>
        <v>Suitably Dimensioned</v>
      </c>
      <c r="H41" s="27"/>
      <c r="I41" s="120"/>
      <c r="J41" s="27"/>
      <c r="K41" s="120"/>
      <c r="V41" s="197"/>
    </row>
    <row r="42" spans="1:22" ht="18" customHeight="1">
      <c r="A42" s="196"/>
      <c r="V42" s="197"/>
    </row>
    <row r="43" spans="1:22" ht="18" hidden="1" customHeight="1">
      <c r="A43" s="196"/>
      <c r="V43" s="197"/>
    </row>
    <row r="44" spans="1:22" ht="18" hidden="1" customHeight="1">
      <c r="A44" s="196"/>
      <c r="V44" s="197"/>
    </row>
    <row r="45" spans="1:22" ht="18" hidden="1" customHeight="1">
      <c r="A45" s="196"/>
      <c r="V45" s="197"/>
    </row>
    <row r="46" spans="1:22" ht="18" hidden="1" customHeight="1">
      <c r="A46" s="196"/>
      <c r="V46" s="197"/>
    </row>
    <row r="47" spans="1:22" ht="18" hidden="1" customHeight="1">
      <c r="A47" s="196"/>
      <c r="V47" s="197"/>
    </row>
    <row r="48" spans="1:22" s="14" customFormat="1" ht="18" hidden="1" customHeight="1">
      <c r="A48" s="206"/>
      <c r="B48" s="207"/>
      <c r="C48" s="207"/>
      <c r="D48" s="207"/>
      <c r="E48" s="207"/>
      <c r="F48" s="207"/>
      <c r="G48" s="207"/>
      <c r="H48" s="207"/>
      <c r="I48" s="207"/>
      <c r="J48" s="207"/>
      <c r="K48" s="207"/>
      <c r="L48" s="207"/>
      <c r="M48" s="207"/>
      <c r="N48" s="207"/>
      <c r="O48" s="207"/>
      <c r="P48" s="207"/>
      <c r="Q48" s="236"/>
      <c r="R48" s="194"/>
      <c r="S48" s="1195"/>
      <c r="T48" s="1196"/>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656" t="str">
        <f>B7</f>
        <v>T1</v>
      </c>
      <c r="C50" s="657"/>
      <c r="D50" s="894" t="s">
        <v>517</v>
      </c>
      <c r="E50" s="995"/>
      <c r="V50" s="197"/>
    </row>
    <row r="51" spans="1:23" ht="18" hidden="1" customHeight="1">
      <c r="A51" s="196"/>
      <c r="V51" s="197"/>
    </row>
    <row r="52" spans="1:23" ht="18" hidden="1" customHeight="1">
      <c r="A52" s="196"/>
      <c r="B52" s="30" t="s">
        <v>785</v>
      </c>
      <c r="H52" s="200">
        <v>33</v>
      </c>
      <c r="I52" s="201" t="s">
        <v>786</v>
      </c>
      <c r="J52" s="203" t="s">
        <v>353</v>
      </c>
      <c r="K52" s="122">
        <v>0.11</v>
      </c>
      <c r="L52" s="201" t="s">
        <v>786</v>
      </c>
      <c r="M52" s="30" t="s">
        <v>174</v>
      </c>
      <c r="V52" s="197"/>
    </row>
    <row r="53" spans="1:23" ht="18" hidden="1" customHeight="1">
      <c r="A53" s="196"/>
      <c r="B53" s="30" t="s">
        <v>787</v>
      </c>
      <c r="H53" s="656">
        <v>0.2</v>
      </c>
      <c r="I53" s="657"/>
      <c r="V53" s="197"/>
    </row>
    <row r="54" spans="1:23" ht="18" hidden="1" customHeight="1">
      <c r="A54" s="196"/>
      <c r="B54" s="30" t="s">
        <v>573</v>
      </c>
      <c r="H54" s="656">
        <v>10</v>
      </c>
      <c r="I54" s="657"/>
      <c r="J54" s="30" t="s">
        <v>168</v>
      </c>
      <c r="V54" s="197"/>
      <c r="W54" s="30" t="str">
        <f>G84</f>
        <v>Suitably Dimensioned</v>
      </c>
    </row>
    <row r="55" spans="1:23" ht="18" hidden="1" customHeight="1">
      <c r="A55" s="196"/>
      <c r="V55" s="197"/>
    </row>
    <row r="56" spans="1:23" ht="18" hidden="1" customHeight="1">
      <c r="A56" s="196"/>
      <c r="V56" s="197"/>
    </row>
    <row r="57" spans="1:23" ht="18" hidden="1" customHeight="1">
      <c r="A57" s="196"/>
      <c r="C57" s="141" t="s">
        <v>416</v>
      </c>
      <c r="D57" s="285"/>
      <c r="E57" s="511" t="s">
        <v>205</v>
      </c>
      <c r="F57" s="397"/>
      <c r="G57" s="397"/>
      <c r="H57" s="397"/>
      <c r="I57" s="145"/>
      <c r="J57" s="272" t="s">
        <v>138</v>
      </c>
      <c r="K57" s="688">
        <f>'CT-VT Burdens'!Q85</f>
        <v>8.0000000000000002E-3</v>
      </c>
      <c r="L57" s="689"/>
      <c r="M57" s="3" t="s">
        <v>168</v>
      </c>
      <c r="V57" s="197"/>
    </row>
    <row r="58" spans="1:23" ht="18" hidden="1" customHeight="1">
      <c r="A58" s="196"/>
      <c r="C58" s="96" t="s">
        <v>416</v>
      </c>
      <c r="D58" s="14"/>
      <c r="E58" s="308" t="s">
        <v>802</v>
      </c>
      <c r="F58" s="14"/>
      <c r="H58" s="211"/>
      <c r="I58" s="27"/>
      <c r="J58" s="101" t="s">
        <v>138</v>
      </c>
      <c r="K58" s="688">
        <f>'CT-VT Burdens'!S96</f>
        <v>3.75</v>
      </c>
      <c r="L58" s="689"/>
      <c r="M58" s="214" t="s">
        <v>168</v>
      </c>
      <c r="V58" s="197"/>
    </row>
    <row r="59" spans="1:23" ht="18" hidden="1" customHeight="1">
      <c r="A59" s="196"/>
      <c r="C59" s="96" t="s">
        <v>416</v>
      </c>
      <c r="D59" s="14"/>
      <c r="E59" s="308" t="s">
        <v>676</v>
      </c>
      <c r="F59" s="14"/>
      <c r="H59" s="211"/>
      <c r="I59" s="27"/>
      <c r="J59" s="101" t="s">
        <v>138</v>
      </c>
      <c r="K59" s="688"/>
      <c r="L59" s="689"/>
      <c r="M59" s="214" t="s">
        <v>168</v>
      </c>
      <c r="V59" s="197"/>
    </row>
    <row r="60" spans="1:23" ht="18" hidden="1" customHeight="1">
      <c r="A60" s="196"/>
      <c r="C60" s="96" t="s">
        <v>416</v>
      </c>
      <c r="D60" s="14"/>
      <c r="E60" s="308" t="s">
        <v>205</v>
      </c>
      <c r="F60" s="14"/>
      <c r="H60" s="211"/>
      <c r="I60" s="28"/>
      <c r="J60" s="101" t="s">
        <v>138</v>
      </c>
      <c r="K60" s="688"/>
      <c r="L60" s="689"/>
      <c r="M60" s="214" t="s">
        <v>168</v>
      </c>
      <c r="V60" s="197"/>
    </row>
    <row r="61" spans="1:23" ht="18" hidden="1" customHeight="1">
      <c r="A61" s="196"/>
      <c r="C61" s="96" t="s">
        <v>416</v>
      </c>
      <c r="D61" s="14"/>
      <c r="E61" s="308" t="s">
        <v>803</v>
      </c>
      <c r="F61" s="14"/>
      <c r="H61" s="211"/>
      <c r="I61" s="28"/>
      <c r="J61" s="189" t="s">
        <v>138</v>
      </c>
      <c r="K61" s="688"/>
      <c r="L61" s="689"/>
      <c r="M61" s="214" t="s">
        <v>168</v>
      </c>
      <c r="V61" s="197"/>
    </row>
    <row r="62" spans="1:23" ht="18" hidden="1" customHeight="1">
      <c r="A62" s="196"/>
      <c r="C62" s="96" t="s">
        <v>416</v>
      </c>
      <c r="D62" s="14"/>
      <c r="E62" s="308" t="s">
        <v>519</v>
      </c>
      <c r="F62" s="14"/>
      <c r="H62" s="211"/>
      <c r="I62" s="28"/>
      <c r="J62" s="189" t="s">
        <v>138</v>
      </c>
      <c r="K62" s="688"/>
      <c r="L62" s="684"/>
      <c r="M62" s="214" t="s">
        <v>168</v>
      </c>
      <c r="V62" s="197"/>
    </row>
    <row r="63" spans="1:23" ht="18" hidden="1" customHeight="1">
      <c r="A63" s="196"/>
      <c r="C63" s="96" t="s">
        <v>416</v>
      </c>
      <c r="D63" s="14"/>
      <c r="E63" s="308" t="s">
        <v>520</v>
      </c>
      <c r="F63" s="14"/>
      <c r="H63" s="211"/>
      <c r="I63" s="28"/>
      <c r="J63" s="101"/>
      <c r="K63" s="688"/>
      <c r="L63" s="684"/>
      <c r="M63" s="214" t="s">
        <v>168</v>
      </c>
      <c r="V63" s="197"/>
    </row>
    <row r="64" spans="1:23" ht="18" hidden="1" customHeight="1">
      <c r="A64" s="196"/>
      <c r="C64" s="96" t="s">
        <v>416</v>
      </c>
      <c r="D64" s="14"/>
      <c r="E64" s="308" t="s">
        <v>259</v>
      </c>
      <c r="F64" s="14"/>
      <c r="H64" s="211"/>
      <c r="I64" s="28"/>
      <c r="J64" s="101"/>
      <c r="K64" s="688"/>
      <c r="L64" s="684"/>
      <c r="M64" s="214" t="s">
        <v>168</v>
      </c>
      <c r="V64" s="197"/>
    </row>
    <row r="65" spans="1:22" ht="18" hidden="1" customHeight="1">
      <c r="A65" s="196"/>
      <c r="B65" s="117"/>
      <c r="C65" s="96" t="s">
        <v>416</v>
      </c>
      <c r="D65" s="14"/>
      <c r="E65" s="47"/>
      <c r="F65" s="14"/>
      <c r="H65" s="211"/>
      <c r="I65" s="28"/>
      <c r="J65" s="101" t="s">
        <v>138</v>
      </c>
      <c r="K65" s="688"/>
      <c r="L65" s="689"/>
      <c r="M65" s="214" t="s">
        <v>168</v>
      </c>
      <c r="N65" s="14"/>
      <c r="P65" s="28"/>
      <c r="Q65" s="211"/>
      <c r="R65" s="14"/>
      <c r="S65" s="14"/>
      <c r="T65" s="14"/>
      <c r="U65" s="14"/>
      <c r="V65" s="197"/>
    </row>
    <row r="66" spans="1:22" ht="18" hidden="1" customHeight="1">
      <c r="A66" s="196"/>
      <c r="C66" s="96" t="s">
        <v>792</v>
      </c>
      <c r="D66" s="14"/>
      <c r="E66" s="47"/>
      <c r="F66" s="14"/>
      <c r="H66" s="211"/>
      <c r="I66" s="27"/>
      <c r="J66" s="101" t="s">
        <v>138</v>
      </c>
      <c r="K66" s="644">
        <f>SUM(K57:L65)</f>
        <v>3.758</v>
      </c>
      <c r="L66" s="645"/>
      <c r="M66" s="214" t="s">
        <v>168</v>
      </c>
      <c r="R66" s="14"/>
      <c r="S66" s="14"/>
      <c r="T66" s="14"/>
      <c r="U66" s="293"/>
      <c r="V66" s="197"/>
    </row>
    <row r="67" spans="1:22" ht="18" hidden="1" customHeight="1">
      <c r="A67" s="196"/>
      <c r="C67" s="196" t="s">
        <v>423</v>
      </c>
      <c r="D67" s="14"/>
      <c r="E67" s="14"/>
      <c r="F67" s="14"/>
      <c r="I67" s="27"/>
      <c r="J67" s="101" t="s">
        <v>138</v>
      </c>
      <c r="K67" s="1197">
        <f>'CT-VT Burdens'!S39</f>
        <v>2.7035014500000001</v>
      </c>
      <c r="L67" s="1198"/>
      <c r="M67" s="309" t="s">
        <v>168</v>
      </c>
      <c r="R67" s="14"/>
      <c r="S67" s="14"/>
      <c r="T67" s="14"/>
      <c r="U67" s="293"/>
      <c r="V67" s="197"/>
    </row>
    <row r="68" spans="1:22" ht="18" hidden="1" customHeight="1">
      <c r="A68" s="196"/>
      <c r="C68" s="1" t="s">
        <v>424</v>
      </c>
      <c r="D68" s="2"/>
      <c r="E68" s="2"/>
      <c r="F68" s="2"/>
      <c r="G68" s="208"/>
      <c r="H68" s="208"/>
      <c r="I68" s="236" t="s">
        <v>523</v>
      </c>
      <c r="J68" s="195" t="s">
        <v>138</v>
      </c>
      <c r="K68" s="1197">
        <f>K66+K67</f>
        <v>6.4615014500000001</v>
      </c>
      <c r="L68" s="1198"/>
      <c r="M68" s="3" t="s">
        <v>168</v>
      </c>
      <c r="R68" s="14"/>
      <c r="S68" s="14"/>
      <c r="T68" s="14"/>
      <c r="U68" s="293"/>
      <c r="V68" s="197"/>
    </row>
    <row r="69" spans="1:22" ht="18" hidden="1" customHeight="1">
      <c r="A69" s="96"/>
      <c r="B69" s="14"/>
      <c r="C69" s="120"/>
      <c r="D69" s="47"/>
      <c r="E69" s="47"/>
      <c r="F69" s="47"/>
      <c r="G69" s="47"/>
      <c r="H69" s="47"/>
      <c r="I69" s="47"/>
      <c r="J69" s="14"/>
      <c r="K69" s="28"/>
      <c r="L69" s="14"/>
      <c r="M69" s="14"/>
      <c r="N69" s="230"/>
      <c r="O69" s="14"/>
      <c r="P69" s="14"/>
      <c r="R69" s="14"/>
      <c r="S69" s="14"/>
      <c r="T69" s="14"/>
      <c r="U69" s="14"/>
      <c r="V69" s="197"/>
    </row>
    <row r="70" spans="1:22" ht="18" hidden="1" customHeight="1">
      <c r="A70" s="196"/>
      <c r="R70" s="14"/>
      <c r="S70" s="14"/>
      <c r="T70" s="14"/>
      <c r="U70" s="198"/>
      <c r="V70" s="197"/>
    </row>
    <row r="71" spans="1:22" ht="18" hidden="1" customHeight="1">
      <c r="A71" s="196"/>
      <c r="B71" s="117" t="s">
        <v>793</v>
      </c>
      <c r="V71" s="197"/>
    </row>
    <row r="72" spans="1:22" ht="18" hidden="1" customHeight="1">
      <c r="A72" s="196"/>
      <c r="V72" s="197"/>
    </row>
    <row r="73" spans="1:22" ht="18" hidden="1" customHeight="1">
      <c r="A73" s="196"/>
      <c r="B73" s="14" t="s">
        <v>794</v>
      </c>
      <c r="C73" s="14"/>
      <c r="D73" s="120"/>
      <c r="J73" s="28" t="s">
        <v>138</v>
      </c>
      <c r="K73" s="47" t="s">
        <v>792</v>
      </c>
      <c r="M73" s="47"/>
      <c r="N73" s="47"/>
      <c r="P73" s="102" t="s">
        <v>353</v>
      </c>
      <c r="Q73" s="30" t="s">
        <v>795</v>
      </c>
      <c r="R73" s="14"/>
      <c r="V73" s="197"/>
    </row>
    <row r="74" spans="1:22" ht="18" hidden="1" customHeight="1">
      <c r="A74" s="196"/>
      <c r="B74" s="14"/>
      <c r="C74" s="14"/>
      <c r="D74" s="120"/>
      <c r="J74" s="28" t="s">
        <v>138</v>
      </c>
      <c r="K74" s="641">
        <f>K66</f>
        <v>3.758</v>
      </c>
      <c r="L74" s="638"/>
      <c r="M74" s="102" t="s">
        <v>353</v>
      </c>
      <c r="N74" s="641">
        <f>K52/SQRT(3)*1000</f>
        <v>63.508529610858844</v>
      </c>
      <c r="O74" s="638"/>
      <c r="V74" s="197"/>
    </row>
    <row r="75" spans="1:22" ht="18" hidden="1" customHeight="1">
      <c r="A75" s="196"/>
      <c r="B75" s="14"/>
      <c r="C75" s="14"/>
      <c r="D75" s="120"/>
      <c r="J75" s="28" t="s">
        <v>138</v>
      </c>
      <c r="K75" s="911">
        <f>K74/N74</f>
        <v>5.917315395312582E-2</v>
      </c>
      <c r="L75" s="911"/>
      <c r="M75" s="47" t="s">
        <v>9</v>
      </c>
      <c r="N75" s="47"/>
      <c r="O75" s="14"/>
      <c r="P75" s="28"/>
      <c r="Q75" s="14"/>
      <c r="R75" s="14"/>
      <c r="V75" s="197"/>
    </row>
    <row r="76" spans="1:22" ht="18" hidden="1" customHeight="1">
      <c r="A76" s="196"/>
      <c r="V76" s="197"/>
    </row>
    <row r="77" spans="1:22" ht="18" hidden="1" customHeight="1">
      <c r="A77" s="196"/>
      <c r="B77" s="14" t="s">
        <v>796</v>
      </c>
      <c r="C77" s="14"/>
      <c r="D77" s="14"/>
      <c r="E77" s="14"/>
      <c r="F77" s="14"/>
      <c r="G77" s="14"/>
      <c r="H77" s="14"/>
      <c r="I77" s="47"/>
      <c r="J77" s="28" t="s">
        <v>138</v>
      </c>
      <c r="K77" s="638" t="s">
        <v>797</v>
      </c>
      <c r="L77" s="638"/>
      <c r="M77" s="28" t="s">
        <v>326</v>
      </c>
      <c r="N77" s="47" t="s">
        <v>798</v>
      </c>
      <c r="O77" s="14"/>
      <c r="P77" s="28"/>
      <c r="Q77" s="479"/>
      <c r="V77" s="197"/>
    </row>
    <row r="78" spans="1:22" ht="18" hidden="1" customHeight="1">
      <c r="A78" s="196"/>
      <c r="J78" s="28" t="s">
        <v>138</v>
      </c>
      <c r="K78" s="639">
        <f>K75*K75</f>
        <v>3.5014621487603299E-3</v>
      </c>
      <c r="L78" s="639"/>
      <c r="M78" s="28" t="s">
        <v>326</v>
      </c>
      <c r="N78" s="637">
        <f>N35</f>
        <v>2.7035014500000001</v>
      </c>
      <c r="O78" s="637"/>
      <c r="V78" s="197"/>
    </row>
    <row r="79" spans="1:22" ht="18" hidden="1" customHeight="1">
      <c r="A79" s="196"/>
      <c r="J79" s="28" t="s">
        <v>138</v>
      </c>
      <c r="K79" s="1163">
        <f>K78*N78</f>
        <v>9.4662079962936681E-3</v>
      </c>
      <c r="L79" s="1163"/>
      <c r="M79" s="30" t="s">
        <v>168</v>
      </c>
      <c r="V79" s="197"/>
    </row>
    <row r="80" spans="1:22" ht="18" hidden="1" customHeight="1">
      <c r="A80" s="196"/>
      <c r="V80" s="197"/>
    </row>
    <row r="81" spans="1:22" ht="18" hidden="1" customHeight="1">
      <c r="A81" s="196"/>
      <c r="B81" s="14" t="s">
        <v>799</v>
      </c>
      <c r="C81" s="14"/>
      <c r="D81" s="14"/>
      <c r="E81" s="28"/>
      <c r="F81" s="14"/>
      <c r="G81" s="14"/>
      <c r="H81" s="102"/>
      <c r="I81" s="47"/>
      <c r="J81" s="47"/>
      <c r="K81" s="14"/>
      <c r="V81" s="197"/>
    </row>
    <row r="82" spans="1:22" ht="18" hidden="1" customHeight="1">
      <c r="A82" s="196"/>
      <c r="B82" s="14"/>
      <c r="C82" s="14"/>
      <c r="D82" s="269"/>
      <c r="E82" s="120" t="s">
        <v>800</v>
      </c>
      <c r="F82" s="27" t="str">
        <f>IF(D83&gt;=G83,"&gt;","&lt;")</f>
        <v>&gt;</v>
      </c>
      <c r="G82" s="489" t="s">
        <v>131</v>
      </c>
      <c r="H82" s="230"/>
      <c r="J82" s="28"/>
      <c r="K82" s="230"/>
      <c r="V82" s="197"/>
    </row>
    <row r="83" spans="1:22" ht="18" hidden="1" customHeight="1">
      <c r="A83" s="196"/>
      <c r="D83" s="639">
        <f>H54</f>
        <v>10</v>
      </c>
      <c r="E83" s="639"/>
      <c r="F83" s="27" t="str">
        <f>F82</f>
        <v>&gt;</v>
      </c>
      <c r="G83" s="1163">
        <f>K68</f>
        <v>6.4615014500000001</v>
      </c>
      <c r="H83" s="639"/>
      <c r="I83" s="14"/>
      <c r="J83" s="269"/>
      <c r="V83" s="197"/>
    </row>
    <row r="84" spans="1:22" ht="18" hidden="1" customHeight="1">
      <c r="A84" s="196"/>
      <c r="D84" s="211"/>
      <c r="E84" s="256" t="s">
        <v>801</v>
      </c>
      <c r="F84" s="27"/>
      <c r="G84" s="18" t="str">
        <f>IF(F82="&gt;","Suitably Dimensioned","Under Dimensioned")</f>
        <v>Suitably Dimensioned</v>
      </c>
      <c r="H84" s="27"/>
      <c r="I84" s="120"/>
      <c r="J84" s="27"/>
      <c r="K84" s="120"/>
      <c r="V84" s="197"/>
    </row>
    <row r="85" spans="1:22" ht="18" hidden="1" customHeight="1">
      <c r="A85" s="196"/>
      <c r="V85" s="197"/>
    </row>
    <row r="86" spans="1:22" ht="18" hidden="1" customHeight="1">
      <c r="A86" s="196"/>
      <c r="V86" s="197"/>
    </row>
    <row r="87" spans="1:22" ht="18" hidden="1" customHeight="1">
      <c r="A87" s="196"/>
      <c r="V87" s="197"/>
    </row>
    <row r="88" spans="1:22" ht="18" hidden="1" customHeight="1">
      <c r="A88" s="196"/>
      <c r="V88" s="197"/>
    </row>
    <row r="89" spans="1:22" ht="18" hidden="1" customHeight="1">
      <c r="A89" s="196"/>
      <c r="V89" s="197"/>
    </row>
    <row r="90" spans="1:22" ht="18" hidden="1" customHeight="1">
      <c r="A90" s="196"/>
      <c r="V90" s="197"/>
    </row>
    <row r="91" spans="1:22" ht="18" hidden="1" customHeight="1">
      <c r="A91" s="196"/>
      <c r="V91" s="197"/>
    </row>
    <row r="92" spans="1:22" ht="18" hidden="1" customHeight="1">
      <c r="A92" s="196"/>
      <c r="V92" s="197"/>
    </row>
    <row r="93" spans="1:22" ht="18" customHeight="1">
      <c r="A93" s="196"/>
      <c r="V93" s="197"/>
    </row>
    <row r="94" spans="1:22" s="14" customFormat="1" ht="18" customHeight="1">
      <c r="A94" s="206"/>
      <c r="B94" s="207"/>
      <c r="C94" s="207"/>
      <c r="D94" s="207"/>
      <c r="E94" s="207"/>
      <c r="F94" s="207"/>
      <c r="G94" s="207"/>
      <c r="H94" s="207"/>
      <c r="I94" s="207"/>
      <c r="J94" s="207"/>
      <c r="K94" s="207"/>
      <c r="L94" s="207"/>
      <c r="M94" s="207"/>
      <c r="N94" s="207"/>
      <c r="O94" s="207"/>
      <c r="P94" s="207"/>
      <c r="Q94" s="236"/>
      <c r="R94" s="194"/>
      <c r="S94" s="1195"/>
      <c r="T94" s="1196"/>
      <c r="U94" s="207"/>
      <c r="V94" s="140"/>
    </row>
    <row r="95" spans="1:22" ht="18" hidden="1" customHeight="1">
      <c r="A95" s="238"/>
      <c r="B95" s="239"/>
      <c r="C95" s="239"/>
      <c r="D95" s="239"/>
      <c r="E95" s="239"/>
      <c r="F95" s="239"/>
      <c r="G95" s="239"/>
      <c r="H95" s="239"/>
      <c r="I95" s="239"/>
      <c r="J95" s="239"/>
      <c r="K95" s="239"/>
      <c r="L95" s="239"/>
      <c r="M95" s="239"/>
      <c r="N95" s="239"/>
      <c r="O95" s="239"/>
      <c r="P95" s="239"/>
      <c r="Q95" s="239"/>
      <c r="R95" s="239"/>
      <c r="S95" s="239"/>
      <c r="T95" s="239"/>
      <c r="U95" s="239"/>
      <c r="V95" s="240"/>
    </row>
    <row r="96" spans="1:22" ht="18" hidden="1" customHeight="1">
      <c r="A96" s="196"/>
      <c r="B96" s="656"/>
      <c r="C96" s="657"/>
      <c r="D96" s="894"/>
      <c r="E96" s="995"/>
      <c r="V96" s="197"/>
    </row>
    <row r="97" spans="1:23" ht="18" hidden="1" customHeight="1">
      <c r="A97" s="196"/>
      <c r="V97" s="197"/>
    </row>
    <row r="98" spans="1:23" ht="18" hidden="1" customHeight="1">
      <c r="A98" s="196"/>
      <c r="B98" s="30" t="s">
        <v>785</v>
      </c>
      <c r="H98" s="200"/>
      <c r="I98" s="201"/>
      <c r="J98" s="203" t="s">
        <v>353</v>
      </c>
      <c r="K98" s="122"/>
      <c r="L98" s="201"/>
      <c r="M98" s="30" t="s">
        <v>174</v>
      </c>
      <c r="V98" s="197"/>
    </row>
    <row r="99" spans="1:23" ht="18" hidden="1" customHeight="1">
      <c r="A99" s="196"/>
      <c r="B99" s="30" t="s">
        <v>787</v>
      </c>
      <c r="H99" s="656"/>
      <c r="I99" s="657"/>
      <c r="V99" s="197"/>
    </row>
    <row r="100" spans="1:23" ht="18" hidden="1" customHeight="1">
      <c r="A100" s="196"/>
      <c r="B100" s="30" t="s">
        <v>573</v>
      </c>
      <c r="H100" s="656"/>
      <c r="I100" s="657"/>
      <c r="J100" s="30" t="s">
        <v>168</v>
      </c>
      <c r="V100" s="197"/>
      <c r="W100" s="30" t="e">
        <f>G126</f>
        <v>#DIV/0!</v>
      </c>
    </row>
    <row r="101" spans="1:23" ht="18" hidden="1" customHeight="1">
      <c r="A101" s="196"/>
      <c r="V101" s="197"/>
    </row>
    <row r="102" spans="1:23" ht="18" hidden="1" customHeight="1">
      <c r="A102" s="196"/>
      <c r="V102" s="197"/>
    </row>
    <row r="103" spans="1:23" ht="18" hidden="1" customHeight="1">
      <c r="A103" s="196"/>
      <c r="C103" s="141" t="s">
        <v>416</v>
      </c>
      <c r="D103" s="285"/>
      <c r="E103" s="146"/>
      <c r="F103" s="239"/>
      <c r="G103" s="239"/>
      <c r="H103" s="239"/>
      <c r="I103" s="145"/>
      <c r="J103" s="272" t="s">
        <v>138</v>
      </c>
      <c r="K103" s="688"/>
      <c r="L103" s="689"/>
      <c r="M103" s="3" t="s">
        <v>168</v>
      </c>
      <c r="V103" s="197"/>
    </row>
    <row r="104" spans="1:23" ht="18" hidden="1" customHeight="1">
      <c r="A104" s="196"/>
      <c r="C104" s="96" t="s">
        <v>416</v>
      </c>
      <c r="D104" s="14"/>
      <c r="E104" s="47"/>
      <c r="F104" s="14"/>
      <c r="H104" s="211"/>
      <c r="I104" s="27"/>
      <c r="J104" s="101" t="s">
        <v>138</v>
      </c>
      <c r="K104" s="688"/>
      <c r="L104" s="689"/>
      <c r="M104" s="214" t="s">
        <v>168</v>
      </c>
      <c r="V104" s="197"/>
    </row>
    <row r="105" spans="1:23" ht="18" hidden="1" customHeight="1">
      <c r="A105" s="196"/>
      <c r="C105" s="96" t="s">
        <v>416</v>
      </c>
      <c r="D105" s="14"/>
      <c r="E105" s="47"/>
      <c r="F105" s="14"/>
      <c r="H105" s="211"/>
      <c r="I105" s="27"/>
      <c r="J105" s="101" t="s">
        <v>138</v>
      </c>
      <c r="K105" s="688"/>
      <c r="L105" s="689"/>
      <c r="M105" s="214" t="s">
        <v>168</v>
      </c>
      <c r="V105" s="197"/>
    </row>
    <row r="106" spans="1:23" ht="18" hidden="1" customHeight="1">
      <c r="A106" s="196"/>
      <c r="C106" s="96" t="s">
        <v>416</v>
      </c>
      <c r="D106" s="14"/>
      <c r="E106" s="47"/>
      <c r="F106" s="14"/>
      <c r="H106" s="211"/>
      <c r="I106" s="27"/>
      <c r="J106" s="101" t="s">
        <v>138</v>
      </c>
      <c r="K106" s="688"/>
      <c r="L106" s="689"/>
      <c r="M106" s="214" t="s">
        <v>168</v>
      </c>
      <c r="V106" s="197"/>
    </row>
    <row r="107" spans="1:23" ht="18" hidden="1" customHeight="1">
      <c r="A107" s="196"/>
      <c r="B107" s="117"/>
      <c r="C107" s="96" t="s">
        <v>416</v>
      </c>
      <c r="D107" s="14"/>
      <c r="E107" s="47"/>
      <c r="F107" s="14"/>
      <c r="H107" s="211"/>
      <c r="I107" s="27"/>
      <c r="J107" s="101" t="s">
        <v>138</v>
      </c>
      <c r="K107" s="688">
        <v>4</v>
      </c>
      <c r="L107" s="689"/>
      <c r="M107" s="214" t="s">
        <v>168</v>
      </c>
      <c r="N107" s="14"/>
      <c r="O107" s="14"/>
      <c r="P107" s="28"/>
      <c r="Q107" s="211"/>
      <c r="R107" s="14"/>
      <c r="S107" s="14"/>
      <c r="T107" s="14"/>
      <c r="U107" s="14"/>
      <c r="V107" s="197"/>
    </row>
    <row r="108" spans="1:23" ht="18" hidden="1" customHeight="1">
      <c r="A108" s="196"/>
      <c r="C108" s="96" t="s">
        <v>792</v>
      </c>
      <c r="D108" s="14"/>
      <c r="E108" s="47"/>
      <c r="F108" s="14"/>
      <c r="H108" s="211"/>
      <c r="I108" s="27"/>
      <c r="J108" s="101" t="s">
        <v>138</v>
      </c>
      <c r="K108" s="644">
        <f>SUM(K103:L107)</f>
        <v>4</v>
      </c>
      <c r="L108" s="645"/>
      <c r="M108" s="214" t="s">
        <v>168</v>
      </c>
      <c r="R108" s="14"/>
      <c r="S108" s="14"/>
      <c r="T108" s="14"/>
      <c r="U108" s="293"/>
      <c r="V108" s="197"/>
    </row>
    <row r="109" spans="1:23" ht="18" hidden="1" customHeight="1">
      <c r="A109" s="196"/>
      <c r="C109" s="196" t="s">
        <v>423</v>
      </c>
      <c r="D109" s="14"/>
      <c r="E109" s="14"/>
      <c r="F109" s="14"/>
      <c r="I109" s="27"/>
      <c r="J109" s="101" t="s">
        <v>138</v>
      </c>
      <c r="K109" s="1197" t="e">
        <f>K121</f>
        <v>#DIV/0!</v>
      </c>
      <c r="L109" s="1198"/>
      <c r="M109" s="309" t="s">
        <v>168</v>
      </c>
      <c r="R109" s="14"/>
      <c r="S109" s="14"/>
      <c r="T109" s="14"/>
      <c r="U109" s="293"/>
      <c r="V109" s="197"/>
    </row>
    <row r="110" spans="1:23" ht="18" hidden="1" customHeight="1">
      <c r="A110" s="196"/>
      <c r="C110" s="1" t="s">
        <v>424</v>
      </c>
      <c r="D110" s="2"/>
      <c r="E110" s="2"/>
      <c r="F110" s="2"/>
      <c r="G110" s="208"/>
      <c r="H110" s="208"/>
      <c r="I110" s="236" t="s">
        <v>523</v>
      </c>
      <c r="J110" s="195" t="s">
        <v>138</v>
      </c>
      <c r="K110" s="1197" t="e">
        <f>K108+K109</f>
        <v>#DIV/0!</v>
      </c>
      <c r="L110" s="1198"/>
      <c r="M110" s="3" t="s">
        <v>168</v>
      </c>
      <c r="R110" s="14"/>
      <c r="S110" s="14"/>
      <c r="T110" s="14"/>
      <c r="U110" s="293"/>
      <c r="V110" s="197"/>
    </row>
    <row r="111" spans="1:23" ht="18" hidden="1" customHeight="1">
      <c r="A111" s="96"/>
      <c r="B111" s="14"/>
      <c r="C111" s="120"/>
      <c r="D111" s="47"/>
      <c r="E111" s="47"/>
      <c r="F111" s="47"/>
      <c r="G111" s="47"/>
      <c r="H111" s="47"/>
      <c r="I111" s="47"/>
      <c r="J111" s="14"/>
      <c r="K111" s="28"/>
      <c r="L111" s="14"/>
      <c r="M111" s="14"/>
      <c r="N111" s="230"/>
      <c r="O111" s="230"/>
      <c r="P111" s="14"/>
      <c r="R111" s="14"/>
      <c r="S111" s="14"/>
      <c r="T111" s="14"/>
      <c r="U111" s="14"/>
      <c r="V111" s="197"/>
    </row>
    <row r="112" spans="1:23" ht="18" hidden="1" customHeight="1">
      <c r="A112" s="196"/>
      <c r="P112" s="479"/>
      <c r="R112" s="14"/>
      <c r="S112" s="14"/>
      <c r="T112" s="14"/>
      <c r="U112" s="198"/>
      <c r="V112" s="197"/>
    </row>
    <row r="113" spans="1:22" ht="18" hidden="1" customHeight="1">
      <c r="A113" s="196"/>
      <c r="B113" s="117" t="s">
        <v>793</v>
      </c>
      <c r="V113" s="197"/>
    </row>
    <row r="114" spans="1:22" ht="18" hidden="1" customHeight="1">
      <c r="A114" s="196"/>
      <c r="V114" s="197"/>
    </row>
    <row r="115" spans="1:22" ht="18" hidden="1" customHeight="1">
      <c r="A115" s="196"/>
      <c r="B115" s="14" t="s">
        <v>794</v>
      </c>
      <c r="C115" s="14"/>
      <c r="D115" s="120"/>
      <c r="J115" s="28" t="s">
        <v>138</v>
      </c>
      <c r="K115" s="47" t="s">
        <v>792</v>
      </c>
      <c r="M115" s="47"/>
      <c r="N115" s="47"/>
      <c r="P115" s="102" t="s">
        <v>353</v>
      </c>
      <c r="Q115" s="30" t="s">
        <v>795</v>
      </c>
      <c r="R115" s="14"/>
      <c r="V115" s="197"/>
    </row>
    <row r="116" spans="1:22" ht="18" hidden="1" customHeight="1">
      <c r="A116" s="196"/>
      <c r="B116" s="14"/>
      <c r="C116" s="14"/>
      <c r="D116" s="120"/>
      <c r="J116" s="28" t="s">
        <v>138</v>
      </c>
      <c r="K116" s="641">
        <f>K108</f>
        <v>4</v>
      </c>
      <c r="L116" s="638"/>
      <c r="M116" s="102" t="s">
        <v>353</v>
      </c>
      <c r="N116" s="641">
        <f>K98/SQRT(3)*1000</f>
        <v>0</v>
      </c>
      <c r="O116" s="638"/>
      <c r="V116" s="197"/>
    </row>
    <row r="117" spans="1:22" ht="18" hidden="1" customHeight="1">
      <c r="A117" s="196"/>
      <c r="B117" s="14"/>
      <c r="C117" s="14"/>
      <c r="D117" s="120"/>
      <c r="J117" s="28" t="s">
        <v>138</v>
      </c>
      <c r="K117" s="911" t="e">
        <f>K116/N116</f>
        <v>#DIV/0!</v>
      </c>
      <c r="L117" s="911"/>
      <c r="M117" s="47" t="s">
        <v>9</v>
      </c>
      <c r="N117" s="47"/>
      <c r="O117" s="14"/>
      <c r="P117" s="28"/>
      <c r="Q117" s="14"/>
      <c r="R117" s="14"/>
      <c r="V117" s="197"/>
    </row>
    <row r="118" spans="1:22" ht="18" hidden="1" customHeight="1">
      <c r="A118" s="196"/>
      <c r="V118" s="197"/>
    </row>
    <row r="119" spans="1:22" ht="18" hidden="1" customHeight="1">
      <c r="A119" s="196"/>
      <c r="B119" s="14" t="s">
        <v>796</v>
      </c>
      <c r="C119" s="14"/>
      <c r="D119" s="14"/>
      <c r="E119" s="14"/>
      <c r="F119" s="14"/>
      <c r="G119" s="14"/>
      <c r="H119" s="14"/>
      <c r="I119" s="47"/>
      <c r="J119" s="28" t="s">
        <v>138</v>
      </c>
      <c r="K119" s="638" t="s">
        <v>797</v>
      </c>
      <c r="L119" s="638"/>
      <c r="M119" s="28" t="s">
        <v>326</v>
      </c>
      <c r="N119" s="47" t="s">
        <v>798</v>
      </c>
      <c r="O119" s="14"/>
      <c r="P119" s="28"/>
      <c r="V119" s="197"/>
    </row>
    <row r="120" spans="1:22" ht="18" hidden="1" customHeight="1">
      <c r="A120" s="196"/>
      <c r="J120" s="28" t="s">
        <v>138</v>
      </c>
      <c r="K120" s="639" t="e">
        <f>K117*K117</f>
        <v>#DIV/0!</v>
      </c>
      <c r="L120" s="639"/>
      <c r="M120" s="28" t="s">
        <v>326</v>
      </c>
      <c r="N120" s="637">
        <f>N78</f>
        <v>2.7035014500000001</v>
      </c>
      <c r="O120" s="637"/>
      <c r="V120" s="197"/>
    </row>
    <row r="121" spans="1:22" ht="18" hidden="1" customHeight="1">
      <c r="A121" s="196"/>
      <c r="J121" s="28" t="s">
        <v>138</v>
      </c>
      <c r="K121" s="1163" t="e">
        <f>K120*N120</f>
        <v>#DIV/0!</v>
      </c>
      <c r="L121" s="1163"/>
      <c r="M121" s="30" t="s">
        <v>168</v>
      </c>
      <c r="V121" s="197"/>
    </row>
    <row r="122" spans="1:22" ht="18" hidden="1" customHeight="1">
      <c r="A122" s="196"/>
      <c r="V122" s="197"/>
    </row>
    <row r="123" spans="1:22" ht="18" hidden="1" customHeight="1">
      <c r="A123" s="196"/>
      <c r="B123" s="14" t="s">
        <v>799</v>
      </c>
      <c r="C123" s="14"/>
      <c r="D123" s="14"/>
      <c r="E123" s="28"/>
      <c r="F123" s="14"/>
      <c r="G123" s="14"/>
      <c r="H123" s="102"/>
      <c r="I123" s="47"/>
      <c r="J123" s="47"/>
      <c r="K123" s="14"/>
      <c r="V123" s="197"/>
    </row>
    <row r="124" spans="1:22" ht="18" hidden="1" customHeight="1">
      <c r="A124" s="196"/>
      <c r="B124" s="14"/>
      <c r="C124" s="14"/>
      <c r="D124" s="269"/>
      <c r="E124" s="120" t="s">
        <v>800</v>
      </c>
      <c r="F124" s="27" t="e">
        <f>IF(D125&gt;=G125,"&gt;","&lt;")</f>
        <v>#DIV/0!</v>
      </c>
      <c r="G124" s="293" t="s">
        <v>131</v>
      </c>
      <c r="H124" s="230"/>
      <c r="J124" s="28"/>
      <c r="K124" s="230"/>
      <c r="V124" s="197"/>
    </row>
    <row r="125" spans="1:22" ht="18" hidden="1" customHeight="1">
      <c r="A125" s="196"/>
      <c r="D125" s="639">
        <f>H100</f>
        <v>0</v>
      </c>
      <c r="E125" s="639"/>
      <c r="F125" s="27" t="e">
        <f>F124</f>
        <v>#DIV/0!</v>
      </c>
      <c r="G125" s="1163" t="e">
        <f>K110</f>
        <v>#DIV/0!</v>
      </c>
      <c r="H125" s="639"/>
      <c r="I125" s="14"/>
      <c r="J125" s="269"/>
      <c r="V125" s="197"/>
    </row>
    <row r="126" spans="1:22" ht="18" hidden="1" customHeight="1">
      <c r="A126" s="196"/>
      <c r="D126" s="211"/>
      <c r="E126" s="256" t="s">
        <v>801</v>
      </c>
      <c r="F126" s="27"/>
      <c r="G126" s="18" t="e">
        <f>IF(F125="&gt;","Suitably Dimensioned","Under Dimensioned")</f>
        <v>#DIV/0!</v>
      </c>
      <c r="H126" s="27"/>
      <c r="I126" s="120"/>
      <c r="J126" s="27"/>
      <c r="K126" s="120"/>
      <c r="V126" s="197"/>
    </row>
    <row r="127" spans="1:22" ht="18" hidden="1" customHeight="1">
      <c r="A127" s="196"/>
      <c r="D127" s="211"/>
      <c r="E127" s="256"/>
      <c r="F127" s="27"/>
      <c r="G127" s="18"/>
      <c r="H127" s="27"/>
      <c r="I127" s="120"/>
      <c r="J127" s="27"/>
      <c r="K127" s="120"/>
      <c r="V127" s="197"/>
    </row>
    <row r="128" spans="1:22" ht="18" hidden="1" customHeight="1">
      <c r="A128" s="196"/>
      <c r="D128" s="211"/>
      <c r="E128" s="256"/>
      <c r="F128" s="27"/>
      <c r="G128" s="18"/>
      <c r="H128" s="27"/>
      <c r="I128" s="120"/>
      <c r="J128" s="27"/>
      <c r="K128" s="120"/>
      <c r="V128" s="197"/>
    </row>
    <row r="129" spans="1:22" ht="18" hidden="1" customHeight="1">
      <c r="A129" s="196"/>
      <c r="D129" s="211"/>
      <c r="E129" s="256"/>
      <c r="F129" s="27"/>
      <c r="G129" s="18"/>
      <c r="H129" s="27"/>
      <c r="I129" s="120"/>
      <c r="J129" s="27"/>
      <c r="K129" s="120"/>
      <c r="V129" s="197"/>
    </row>
    <row r="130" spans="1:22" ht="18" hidden="1" customHeight="1">
      <c r="A130" s="196"/>
      <c r="D130" s="211"/>
      <c r="E130" s="256"/>
      <c r="F130" s="27"/>
      <c r="G130" s="18"/>
      <c r="H130" s="27"/>
      <c r="I130" s="120"/>
      <c r="J130" s="27"/>
      <c r="K130" s="120"/>
      <c r="V130" s="197"/>
    </row>
    <row r="131" spans="1:22" ht="18" hidden="1" customHeight="1">
      <c r="A131" s="196"/>
      <c r="D131" s="211"/>
      <c r="E131" s="256"/>
      <c r="F131" s="27"/>
      <c r="G131" s="18"/>
      <c r="H131" s="27"/>
      <c r="I131" s="120"/>
      <c r="J131" s="27"/>
      <c r="K131" s="120"/>
      <c r="V131" s="197"/>
    </row>
    <row r="132" spans="1:22" ht="18" hidden="1" customHeight="1">
      <c r="A132" s="196"/>
      <c r="V132" s="197"/>
    </row>
    <row r="133" spans="1:22" ht="18" hidden="1" customHeight="1">
      <c r="A133" s="196"/>
      <c r="V133" s="197"/>
    </row>
    <row r="134" spans="1:22" ht="18" hidden="1" customHeight="1">
      <c r="A134" s="196"/>
      <c r="V134" s="197"/>
    </row>
    <row r="135" spans="1:22" ht="18" hidden="1" customHeight="1">
      <c r="A135" s="196"/>
      <c r="V135" s="197"/>
    </row>
    <row r="136" spans="1:22" ht="18" hidden="1" customHeight="1">
      <c r="A136" s="196"/>
      <c r="V136" s="197"/>
    </row>
    <row r="137" spans="1:22" ht="18" hidden="1" customHeight="1">
      <c r="A137" s="196"/>
      <c r="V137" s="197"/>
    </row>
    <row r="138" spans="1:22" s="14" customFormat="1" ht="18" hidden="1" customHeight="1">
      <c r="A138" s="206"/>
      <c r="B138" s="207"/>
      <c r="C138" s="207"/>
      <c r="D138" s="207"/>
      <c r="E138" s="207"/>
      <c r="F138" s="207"/>
      <c r="G138" s="207"/>
      <c r="H138" s="207"/>
      <c r="I138" s="207"/>
      <c r="J138" s="207"/>
      <c r="K138" s="207"/>
      <c r="L138" s="207"/>
      <c r="M138" s="207"/>
      <c r="N138" s="207"/>
      <c r="O138" s="207"/>
      <c r="P138" s="207"/>
      <c r="Q138" s="236"/>
      <c r="R138" s="194"/>
      <c r="S138" s="237"/>
      <c r="T138" s="207"/>
      <c r="U138" s="207"/>
      <c r="V138" s="140"/>
    </row>
    <row r="139" spans="1:22" s="14" customFormat="1" ht="18" customHeight="1">
      <c r="A139" s="141"/>
      <c r="B139" s="285"/>
      <c r="C139" s="285"/>
      <c r="D139" s="285"/>
      <c r="E139" s="285"/>
      <c r="F139" s="285"/>
      <c r="G139" s="285"/>
      <c r="H139" s="285"/>
      <c r="I139" s="285"/>
      <c r="J139" s="285"/>
      <c r="K139" s="285"/>
      <c r="L139" s="285"/>
      <c r="M139" s="285"/>
      <c r="N139" s="285"/>
      <c r="O139" s="285"/>
      <c r="P139" s="285"/>
      <c r="Q139" s="286"/>
      <c r="R139" s="145"/>
      <c r="S139" s="287"/>
      <c r="T139" s="285"/>
      <c r="U139" s="285"/>
      <c r="V139" s="288"/>
    </row>
    <row r="140" spans="1:22" ht="18" customHeight="1">
      <c r="A140" s="96" t="s">
        <v>804</v>
      </c>
      <c r="V140" s="197"/>
    </row>
    <row r="141" spans="1:22" ht="18" customHeight="1">
      <c r="A141" s="660" t="s">
        <v>127</v>
      </c>
      <c r="B141" s="660"/>
      <c r="C141" s="660"/>
      <c r="D141" s="660"/>
      <c r="E141" s="660" t="s">
        <v>128</v>
      </c>
      <c r="F141" s="660"/>
      <c r="G141" s="660"/>
      <c r="H141" s="660"/>
      <c r="I141" s="660"/>
      <c r="J141" s="782" t="s">
        <v>129</v>
      </c>
      <c r="K141" s="782"/>
      <c r="L141" s="782" t="s">
        <v>100</v>
      </c>
      <c r="M141" s="782"/>
      <c r="N141" s="782" t="s">
        <v>112</v>
      </c>
      <c r="O141" s="782"/>
      <c r="P141" s="782"/>
      <c r="Q141" s="660" t="s">
        <v>805</v>
      </c>
      <c r="R141" s="660"/>
      <c r="S141" s="660"/>
      <c r="T141" s="660"/>
      <c r="U141" s="660"/>
      <c r="V141" s="660"/>
    </row>
    <row r="142" spans="1:22" ht="18" customHeight="1">
      <c r="A142" s="660"/>
      <c r="B142" s="660"/>
      <c r="C142" s="660"/>
      <c r="D142" s="660"/>
      <c r="E142" s="660"/>
      <c r="F142" s="660"/>
      <c r="G142" s="660"/>
      <c r="H142" s="660"/>
      <c r="I142" s="660"/>
      <c r="J142" s="782"/>
      <c r="K142" s="782"/>
      <c r="L142" s="782"/>
      <c r="M142" s="782"/>
      <c r="N142" s="782"/>
      <c r="O142" s="782"/>
      <c r="P142" s="782"/>
      <c r="Q142" s="660"/>
      <c r="R142" s="660"/>
      <c r="S142" s="660"/>
      <c r="T142" s="660"/>
      <c r="U142" s="660"/>
      <c r="V142" s="660"/>
    </row>
    <row r="143" spans="1:22" ht="18" customHeight="1">
      <c r="A143" s="660"/>
      <c r="B143" s="660"/>
      <c r="C143" s="660"/>
      <c r="D143" s="660"/>
      <c r="E143" s="1203"/>
      <c r="F143" s="1203"/>
      <c r="G143" s="660"/>
      <c r="H143" s="660"/>
      <c r="I143" s="660"/>
      <c r="J143" s="782"/>
      <c r="K143" s="782"/>
      <c r="L143" s="782"/>
      <c r="M143" s="782"/>
      <c r="N143" s="782"/>
      <c r="O143" s="782"/>
      <c r="P143" s="782"/>
      <c r="Q143" s="660"/>
      <c r="R143" s="660"/>
      <c r="S143" s="660"/>
      <c r="T143" s="660"/>
      <c r="U143" s="660"/>
      <c r="V143" s="660"/>
    </row>
    <row r="144" spans="1:22" ht="18" customHeight="1">
      <c r="A144" s="824" t="str">
        <f>B7</f>
        <v>T1</v>
      </c>
      <c r="B144" s="826"/>
      <c r="C144" s="786" t="str">
        <f>D7</f>
        <v>Core1</v>
      </c>
      <c r="D144" s="787"/>
      <c r="E144" s="355">
        <f>H9</f>
        <v>400</v>
      </c>
      <c r="F144" s="258" t="str">
        <f>I9</f>
        <v>/ √3</v>
      </c>
      <c r="G144" s="356" t="s">
        <v>353</v>
      </c>
      <c r="H144" s="255">
        <f>K9</f>
        <v>0.11</v>
      </c>
      <c r="I144" s="258" t="str">
        <f>L9</f>
        <v>/ √3</v>
      </c>
      <c r="J144" s="649">
        <f>'CT-VT Burdens'!S37</f>
        <v>150</v>
      </c>
      <c r="K144" s="1202">
        <f>'CT-VT Burdens'!S28</f>
        <v>2.5</v>
      </c>
      <c r="L144" s="649" t="str">
        <f>H10</f>
        <v>3P</v>
      </c>
      <c r="M144" s="649"/>
      <c r="N144" s="649">
        <f>H11</f>
        <v>50</v>
      </c>
      <c r="O144" s="649"/>
      <c r="P144" s="649"/>
      <c r="Q144" s="649" t="str">
        <f>G41</f>
        <v>Suitably Dimensioned</v>
      </c>
      <c r="R144" s="649"/>
      <c r="S144" s="649"/>
      <c r="T144" s="649"/>
      <c r="U144" s="649"/>
      <c r="V144" s="649"/>
    </row>
    <row r="145" spans="1:22" ht="18" customHeight="1">
      <c r="A145" s="1199"/>
      <c r="B145" s="1200"/>
      <c r="C145" s="649" t="s">
        <v>7</v>
      </c>
      <c r="D145" s="649"/>
      <c r="E145" s="797" t="s">
        <v>7</v>
      </c>
      <c r="F145" s="645"/>
      <c r="G145" s="480" t="s">
        <v>7</v>
      </c>
      <c r="H145" s="798" t="s">
        <v>7</v>
      </c>
      <c r="I145" s="799"/>
      <c r="J145" s="649"/>
      <c r="K145" s="1202"/>
      <c r="L145" s="649" t="s">
        <v>7</v>
      </c>
      <c r="M145" s="649"/>
      <c r="N145" s="649" t="s">
        <v>7</v>
      </c>
      <c r="O145" s="649"/>
      <c r="P145" s="649"/>
      <c r="Q145" s="649" t="s">
        <v>7</v>
      </c>
      <c r="R145" s="649"/>
      <c r="S145" s="649"/>
      <c r="T145" s="649"/>
      <c r="U145" s="649"/>
      <c r="V145" s="649"/>
    </row>
    <row r="146" spans="1:22" ht="18" customHeight="1">
      <c r="A146" s="1186"/>
      <c r="B146" s="1201"/>
      <c r="C146" s="649" t="s">
        <v>7</v>
      </c>
      <c r="D146" s="649"/>
      <c r="E146" s="797" t="s">
        <v>7</v>
      </c>
      <c r="F146" s="645"/>
      <c r="G146" s="480" t="s">
        <v>7</v>
      </c>
      <c r="H146" s="798" t="s">
        <v>7</v>
      </c>
      <c r="I146" s="799"/>
      <c r="J146" s="649"/>
      <c r="K146" s="1202"/>
      <c r="L146" s="649" t="s">
        <v>7</v>
      </c>
      <c r="M146" s="649"/>
      <c r="N146" s="649" t="s">
        <v>7</v>
      </c>
      <c r="O146" s="649"/>
      <c r="P146" s="649"/>
      <c r="Q146" s="649" t="s">
        <v>7</v>
      </c>
      <c r="R146" s="649"/>
      <c r="S146" s="649"/>
      <c r="T146" s="649"/>
      <c r="U146" s="649"/>
      <c r="V146" s="649"/>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ht="18" customHeight="1">
      <c r="A172" s="196"/>
      <c r="V172" s="197"/>
    </row>
    <row r="173" spans="1:22" ht="18" customHeight="1">
      <c r="A173" s="196"/>
      <c r="V173" s="197"/>
    </row>
    <row r="174" spans="1:22" ht="18" customHeight="1">
      <c r="A174" s="196"/>
      <c r="V174" s="197"/>
    </row>
    <row r="175" spans="1:22" ht="18" customHeight="1">
      <c r="A175" s="196"/>
      <c r="V175" s="197"/>
    </row>
    <row r="176" spans="1:22" ht="18" customHeight="1">
      <c r="A176" s="196"/>
      <c r="V176" s="197"/>
    </row>
    <row r="177" spans="1:22" s="14" customFormat="1" ht="18" customHeight="1">
      <c r="A177" s="206"/>
      <c r="B177" s="207"/>
      <c r="C177" s="207"/>
      <c r="D177" s="207"/>
      <c r="E177" s="207"/>
      <c r="F177" s="207"/>
      <c r="G177" s="207"/>
      <c r="H177" s="207"/>
      <c r="I177" s="207"/>
      <c r="J177" s="207"/>
      <c r="K177" s="207"/>
      <c r="L177" s="207"/>
      <c r="M177" s="207"/>
      <c r="N177" s="207"/>
      <c r="O177" s="207"/>
      <c r="P177" s="207"/>
      <c r="Q177" s="236"/>
      <c r="R177" s="194"/>
      <c r="S177" s="1195"/>
      <c r="T177" s="1196"/>
      <c r="U177" s="207"/>
      <c r="V177" s="140"/>
    </row>
  </sheetData>
  <mergeCells count="121">
    <mergeCell ref="B7:C7"/>
    <mergeCell ref="D7:E7"/>
    <mergeCell ref="H10:I10"/>
    <mergeCell ref="H11:I11"/>
    <mergeCell ref="K14:L14"/>
    <mergeCell ref="K15:L15"/>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K19:L19"/>
    <mergeCell ref="AG19:AH19"/>
    <mergeCell ref="K23:L23"/>
    <mergeCell ref="K24:L24"/>
    <mergeCell ref="K25:L25"/>
    <mergeCell ref="K31:L31"/>
    <mergeCell ref="N31:O31"/>
    <mergeCell ref="AG15:AH15"/>
    <mergeCell ref="K16:L16"/>
    <mergeCell ref="AG16:AH16"/>
    <mergeCell ref="K17:L17"/>
    <mergeCell ref="AG17:AH17"/>
    <mergeCell ref="K18:L18"/>
    <mergeCell ref="K21:L21"/>
    <mergeCell ref="K22:L22"/>
    <mergeCell ref="K20:L20"/>
    <mergeCell ref="S48:T48"/>
    <mergeCell ref="B50:C50"/>
    <mergeCell ref="D50:E50"/>
    <mergeCell ref="H53:I53"/>
    <mergeCell ref="H54:I54"/>
    <mergeCell ref="K57:L57"/>
    <mergeCell ref="K32:L32"/>
    <mergeCell ref="K34:L34"/>
    <mergeCell ref="K35:L35"/>
    <mergeCell ref="N35:O35"/>
    <mergeCell ref="K36:L36"/>
    <mergeCell ref="D40:E40"/>
    <mergeCell ref="G40:H40"/>
    <mergeCell ref="K64:L64"/>
    <mergeCell ref="K65:L65"/>
    <mergeCell ref="K66:L66"/>
    <mergeCell ref="K67:L67"/>
    <mergeCell ref="K68:L68"/>
    <mergeCell ref="K74:L74"/>
    <mergeCell ref="K58:L58"/>
    <mergeCell ref="K59:L59"/>
    <mergeCell ref="K60:L60"/>
    <mergeCell ref="K61:L61"/>
    <mergeCell ref="K62:L62"/>
    <mergeCell ref="K63:L63"/>
    <mergeCell ref="B96:C96"/>
    <mergeCell ref="D96:E96"/>
    <mergeCell ref="H99:I99"/>
    <mergeCell ref="N74:O74"/>
    <mergeCell ref="K75:L75"/>
    <mergeCell ref="K77:L77"/>
    <mergeCell ref="K78:L78"/>
    <mergeCell ref="N78:O78"/>
    <mergeCell ref="K79:L79"/>
    <mergeCell ref="H100:I100"/>
    <mergeCell ref="K103:L103"/>
    <mergeCell ref="K104:L104"/>
    <mergeCell ref="K105:L105"/>
    <mergeCell ref="K106:L106"/>
    <mergeCell ref="K107:L107"/>
    <mergeCell ref="D83:E83"/>
    <mergeCell ref="G83:H83"/>
    <mergeCell ref="S94:T94"/>
    <mergeCell ref="A144:B146"/>
    <mergeCell ref="C144:D144"/>
    <mergeCell ref="J144:J146"/>
    <mergeCell ref="K144:K146"/>
    <mergeCell ref="L144:M144"/>
    <mergeCell ref="N144:P144"/>
    <mergeCell ref="A141:D143"/>
    <mergeCell ref="E141:I143"/>
    <mergeCell ref="J141:K143"/>
    <mergeCell ref="L141:M143"/>
    <mergeCell ref="N141:P143"/>
    <mergeCell ref="E145:F145"/>
    <mergeCell ref="E146:F146"/>
    <mergeCell ref="H145:I145"/>
    <mergeCell ref="H146:I146"/>
    <mergeCell ref="S177:T177"/>
    <mergeCell ref="M38:O38"/>
    <mergeCell ref="Q144:V144"/>
    <mergeCell ref="C145:D145"/>
    <mergeCell ref="L145:M145"/>
    <mergeCell ref="N145:P145"/>
    <mergeCell ref="Q145:V145"/>
    <mergeCell ref="C146:D146"/>
    <mergeCell ref="L146:M146"/>
    <mergeCell ref="N146:P146"/>
    <mergeCell ref="Q146:V146"/>
    <mergeCell ref="Q141:V143"/>
    <mergeCell ref="K119:L119"/>
    <mergeCell ref="K120:L120"/>
    <mergeCell ref="N120:O120"/>
    <mergeCell ref="K121:L121"/>
    <mergeCell ref="D125:E125"/>
    <mergeCell ref="G125:H125"/>
    <mergeCell ref="K108:L108"/>
    <mergeCell ref="K109:L109"/>
    <mergeCell ref="K110:L110"/>
    <mergeCell ref="K116:L116"/>
    <mergeCell ref="N116:O116"/>
    <mergeCell ref="K117:L117"/>
  </mergeCells>
  <conditionalFormatting sqref="G41 G84 G126:G131">
    <cfRule type="cellIs" dxfId="9" priority="1" stopIfTrue="1" operator="equal">
      <formula>"Under Dimentioned"</formula>
    </cfRule>
  </conditionalFormatting>
  <dataValidations count="1">
    <dataValidation type="list" allowBlank="1" showInputMessage="1" showErrorMessage="1" sqref="D96 IZ96 SV96 ACR96 AMN96 AWJ96 BGF96 BQB96 BZX96 CJT96 CTP96 DDL96 DNH96 DXD96 EGZ96 EQV96 FAR96 FKN96 FUJ96 GEF96 GOB96 GXX96 HHT96 HRP96 IBL96 ILH96 IVD96 JEZ96 JOV96 JYR96 KIN96 KSJ96 LCF96 LMB96 LVX96 MFT96 MPP96 MZL96 NJH96 NTD96 OCZ96 OMV96 OWR96 PGN96 PQJ96 QAF96 QKB96 QTX96 RDT96 RNP96 RXL96 SHH96 SRD96 TAZ96 TKV96 TUR96 UEN96 UOJ96 UYF96 VIB96 VRX96 WBT96 WLP96 WVL96 D65631 IZ65631 SV65631 ACR65631 AMN65631 AWJ65631 BGF65631 BQB65631 BZX65631 CJT65631 CTP65631 DDL65631 DNH65631 DXD65631 EGZ65631 EQV65631 FAR65631 FKN65631 FUJ65631 GEF65631 GOB65631 GXX65631 HHT65631 HRP65631 IBL65631 ILH65631 IVD65631 JEZ65631 JOV65631 JYR65631 KIN65631 KSJ65631 LCF65631 LMB65631 LVX65631 MFT65631 MPP65631 MZL65631 NJH65631 NTD65631 OCZ65631 OMV65631 OWR65631 PGN65631 PQJ65631 QAF65631 QKB65631 QTX65631 RDT65631 RNP65631 RXL65631 SHH65631 SRD65631 TAZ65631 TKV65631 TUR65631 UEN65631 UOJ65631 UYF65631 VIB65631 VRX65631 WBT65631 WLP65631 WVL65631 D131167 IZ131167 SV131167 ACR131167 AMN131167 AWJ131167 BGF131167 BQB131167 BZX131167 CJT131167 CTP131167 DDL131167 DNH131167 DXD131167 EGZ131167 EQV131167 FAR131167 FKN131167 FUJ131167 GEF131167 GOB131167 GXX131167 HHT131167 HRP131167 IBL131167 ILH131167 IVD131167 JEZ131167 JOV131167 JYR131167 KIN131167 KSJ131167 LCF131167 LMB131167 LVX131167 MFT131167 MPP131167 MZL131167 NJH131167 NTD131167 OCZ131167 OMV131167 OWR131167 PGN131167 PQJ131167 QAF131167 QKB131167 QTX131167 RDT131167 RNP131167 RXL131167 SHH131167 SRD131167 TAZ131167 TKV131167 TUR131167 UEN131167 UOJ131167 UYF131167 VIB131167 VRX131167 WBT131167 WLP131167 WVL131167 D196703 IZ196703 SV196703 ACR196703 AMN196703 AWJ196703 BGF196703 BQB196703 BZX196703 CJT196703 CTP196703 DDL196703 DNH196703 DXD196703 EGZ196703 EQV196703 FAR196703 FKN196703 FUJ196703 GEF196703 GOB196703 GXX196703 HHT196703 HRP196703 IBL196703 ILH196703 IVD196703 JEZ196703 JOV196703 JYR196703 KIN196703 KSJ196703 LCF196703 LMB196703 LVX196703 MFT196703 MPP196703 MZL196703 NJH196703 NTD196703 OCZ196703 OMV196703 OWR196703 PGN196703 PQJ196703 QAF196703 QKB196703 QTX196703 RDT196703 RNP196703 RXL196703 SHH196703 SRD196703 TAZ196703 TKV196703 TUR196703 UEN196703 UOJ196703 UYF196703 VIB196703 VRX196703 WBT196703 WLP196703 WVL196703 D262239 IZ262239 SV262239 ACR262239 AMN262239 AWJ262239 BGF262239 BQB262239 BZX262239 CJT262239 CTP262239 DDL262239 DNH262239 DXD262239 EGZ262239 EQV262239 FAR262239 FKN262239 FUJ262239 GEF262239 GOB262239 GXX262239 HHT262239 HRP262239 IBL262239 ILH262239 IVD262239 JEZ262239 JOV262239 JYR262239 KIN262239 KSJ262239 LCF262239 LMB262239 LVX262239 MFT262239 MPP262239 MZL262239 NJH262239 NTD262239 OCZ262239 OMV262239 OWR262239 PGN262239 PQJ262239 QAF262239 QKB262239 QTX262239 RDT262239 RNP262239 RXL262239 SHH262239 SRD262239 TAZ262239 TKV262239 TUR262239 UEN262239 UOJ262239 UYF262239 VIB262239 VRX262239 WBT262239 WLP262239 WVL262239 D327775 IZ327775 SV327775 ACR327775 AMN327775 AWJ327775 BGF327775 BQB327775 BZX327775 CJT327775 CTP327775 DDL327775 DNH327775 DXD327775 EGZ327775 EQV327775 FAR327775 FKN327775 FUJ327775 GEF327775 GOB327775 GXX327775 HHT327775 HRP327775 IBL327775 ILH327775 IVD327775 JEZ327775 JOV327775 JYR327775 KIN327775 KSJ327775 LCF327775 LMB327775 LVX327775 MFT327775 MPP327775 MZL327775 NJH327775 NTD327775 OCZ327775 OMV327775 OWR327775 PGN327775 PQJ327775 QAF327775 QKB327775 QTX327775 RDT327775 RNP327775 RXL327775 SHH327775 SRD327775 TAZ327775 TKV327775 TUR327775 UEN327775 UOJ327775 UYF327775 VIB327775 VRX327775 WBT327775 WLP327775 WVL327775 D393311 IZ393311 SV393311 ACR393311 AMN393311 AWJ393311 BGF393311 BQB393311 BZX393311 CJT393311 CTP393311 DDL393311 DNH393311 DXD393311 EGZ393311 EQV393311 FAR393311 FKN393311 FUJ393311 GEF393311 GOB393311 GXX393311 HHT393311 HRP393311 IBL393311 ILH393311 IVD393311 JEZ393311 JOV393311 JYR393311 KIN393311 KSJ393311 LCF393311 LMB393311 LVX393311 MFT393311 MPP393311 MZL393311 NJH393311 NTD393311 OCZ393311 OMV393311 OWR393311 PGN393311 PQJ393311 QAF393311 QKB393311 QTX393311 RDT393311 RNP393311 RXL393311 SHH393311 SRD393311 TAZ393311 TKV393311 TUR393311 UEN393311 UOJ393311 UYF393311 VIB393311 VRX393311 WBT393311 WLP393311 WVL393311 D458847 IZ458847 SV458847 ACR458847 AMN458847 AWJ458847 BGF458847 BQB458847 BZX458847 CJT458847 CTP458847 DDL458847 DNH458847 DXD458847 EGZ458847 EQV458847 FAR458847 FKN458847 FUJ458847 GEF458847 GOB458847 GXX458847 HHT458847 HRP458847 IBL458847 ILH458847 IVD458847 JEZ458847 JOV458847 JYR458847 KIN458847 KSJ458847 LCF458847 LMB458847 LVX458847 MFT458847 MPP458847 MZL458847 NJH458847 NTD458847 OCZ458847 OMV458847 OWR458847 PGN458847 PQJ458847 QAF458847 QKB458847 QTX458847 RDT458847 RNP458847 RXL458847 SHH458847 SRD458847 TAZ458847 TKV458847 TUR458847 UEN458847 UOJ458847 UYF458847 VIB458847 VRX458847 WBT458847 WLP458847 WVL458847 D524383 IZ524383 SV524383 ACR524383 AMN524383 AWJ524383 BGF524383 BQB524383 BZX524383 CJT524383 CTP524383 DDL524383 DNH524383 DXD524383 EGZ524383 EQV524383 FAR524383 FKN524383 FUJ524383 GEF524383 GOB524383 GXX524383 HHT524383 HRP524383 IBL524383 ILH524383 IVD524383 JEZ524383 JOV524383 JYR524383 KIN524383 KSJ524383 LCF524383 LMB524383 LVX524383 MFT524383 MPP524383 MZL524383 NJH524383 NTD524383 OCZ524383 OMV524383 OWR524383 PGN524383 PQJ524383 QAF524383 QKB524383 QTX524383 RDT524383 RNP524383 RXL524383 SHH524383 SRD524383 TAZ524383 TKV524383 TUR524383 UEN524383 UOJ524383 UYF524383 VIB524383 VRX524383 WBT524383 WLP524383 WVL524383 D589919 IZ589919 SV589919 ACR589919 AMN589919 AWJ589919 BGF589919 BQB589919 BZX589919 CJT589919 CTP589919 DDL589919 DNH589919 DXD589919 EGZ589919 EQV589919 FAR589919 FKN589919 FUJ589919 GEF589919 GOB589919 GXX589919 HHT589919 HRP589919 IBL589919 ILH589919 IVD589919 JEZ589919 JOV589919 JYR589919 KIN589919 KSJ589919 LCF589919 LMB589919 LVX589919 MFT589919 MPP589919 MZL589919 NJH589919 NTD589919 OCZ589919 OMV589919 OWR589919 PGN589919 PQJ589919 QAF589919 QKB589919 QTX589919 RDT589919 RNP589919 RXL589919 SHH589919 SRD589919 TAZ589919 TKV589919 TUR589919 UEN589919 UOJ589919 UYF589919 VIB589919 VRX589919 WBT589919 WLP589919 WVL589919 D655455 IZ655455 SV655455 ACR655455 AMN655455 AWJ655455 BGF655455 BQB655455 BZX655455 CJT655455 CTP655455 DDL655455 DNH655455 DXD655455 EGZ655455 EQV655455 FAR655455 FKN655455 FUJ655455 GEF655455 GOB655455 GXX655455 HHT655455 HRP655455 IBL655455 ILH655455 IVD655455 JEZ655455 JOV655455 JYR655455 KIN655455 KSJ655455 LCF655455 LMB655455 LVX655455 MFT655455 MPP655455 MZL655455 NJH655455 NTD655455 OCZ655455 OMV655455 OWR655455 PGN655455 PQJ655455 QAF655455 QKB655455 QTX655455 RDT655455 RNP655455 RXL655455 SHH655455 SRD655455 TAZ655455 TKV655455 TUR655455 UEN655455 UOJ655455 UYF655455 VIB655455 VRX655455 WBT655455 WLP655455 WVL655455 D720991 IZ720991 SV720991 ACR720991 AMN720991 AWJ720991 BGF720991 BQB720991 BZX720991 CJT720991 CTP720991 DDL720991 DNH720991 DXD720991 EGZ720991 EQV720991 FAR720991 FKN720991 FUJ720991 GEF720991 GOB720991 GXX720991 HHT720991 HRP720991 IBL720991 ILH720991 IVD720991 JEZ720991 JOV720991 JYR720991 KIN720991 KSJ720991 LCF720991 LMB720991 LVX720991 MFT720991 MPP720991 MZL720991 NJH720991 NTD720991 OCZ720991 OMV720991 OWR720991 PGN720991 PQJ720991 QAF720991 QKB720991 QTX720991 RDT720991 RNP720991 RXL720991 SHH720991 SRD720991 TAZ720991 TKV720991 TUR720991 UEN720991 UOJ720991 UYF720991 VIB720991 VRX720991 WBT720991 WLP720991 WVL720991 D786527 IZ786527 SV786527 ACR786527 AMN786527 AWJ786527 BGF786527 BQB786527 BZX786527 CJT786527 CTP786527 DDL786527 DNH786527 DXD786527 EGZ786527 EQV786527 FAR786527 FKN786527 FUJ786527 GEF786527 GOB786527 GXX786527 HHT786527 HRP786527 IBL786527 ILH786527 IVD786527 JEZ786527 JOV786527 JYR786527 KIN786527 KSJ786527 LCF786527 LMB786527 LVX786527 MFT786527 MPP786527 MZL786527 NJH786527 NTD786527 OCZ786527 OMV786527 OWR786527 PGN786527 PQJ786527 QAF786527 QKB786527 QTX786527 RDT786527 RNP786527 RXL786527 SHH786527 SRD786527 TAZ786527 TKV786527 TUR786527 UEN786527 UOJ786527 UYF786527 VIB786527 VRX786527 WBT786527 WLP786527 WVL786527 D852063 IZ852063 SV852063 ACR852063 AMN852063 AWJ852063 BGF852063 BQB852063 BZX852063 CJT852063 CTP852063 DDL852063 DNH852063 DXD852063 EGZ852063 EQV852063 FAR852063 FKN852063 FUJ852063 GEF852063 GOB852063 GXX852063 HHT852063 HRP852063 IBL852063 ILH852063 IVD852063 JEZ852063 JOV852063 JYR852063 KIN852063 KSJ852063 LCF852063 LMB852063 LVX852063 MFT852063 MPP852063 MZL852063 NJH852063 NTD852063 OCZ852063 OMV852063 OWR852063 PGN852063 PQJ852063 QAF852063 QKB852063 QTX852063 RDT852063 RNP852063 RXL852063 SHH852063 SRD852063 TAZ852063 TKV852063 TUR852063 UEN852063 UOJ852063 UYF852063 VIB852063 VRX852063 WBT852063 WLP852063 WVL852063 D917599 IZ917599 SV917599 ACR917599 AMN917599 AWJ917599 BGF917599 BQB917599 BZX917599 CJT917599 CTP917599 DDL917599 DNH917599 DXD917599 EGZ917599 EQV917599 FAR917599 FKN917599 FUJ917599 GEF917599 GOB917599 GXX917599 HHT917599 HRP917599 IBL917599 ILH917599 IVD917599 JEZ917599 JOV917599 JYR917599 KIN917599 KSJ917599 LCF917599 LMB917599 LVX917599 MFT917599 MPP917599 MZL917599 NJH917599 NTD917599 OCZ917599 OMV917599 OWR917599 PGN917599 PQJ917599 QAF917599 QKB917599 QTX917599 RDT917599 RNP917599 RXL917599 SHH917599 SRD917599 TAZ917599 TKV917599 TUR917599 UEN917599 UOJ917599 UYF917599 VIB917599 VRX917599 WBT917599 WLP917599 WVL917599 D983135 IZ983135 SV983135 ACR983135 AMN983135 AWJ983135 BGF983135 BQB983135 BZX983135 CJT983135 CTP983135 DDL983135 DNH983135 DXD983135 EGZ983135 EQV983135 FAR983135 FKN983135 FUJ983135 GEF983135 GOB983135 GXX983135 HHT983135 HRP983135 IBL983135 ILH983135 IVD983135 JEZ983135 JOV983135 JYR983135 KIN983135 KSJ983135 LCF983135 LMB983135 LVX983135 MFT983135 MPP983135 MZL983135 NJH983135 NTD983135 OCZ983135 OMV983135 OWR983135 PGN983135 PQJ983135 QAF983135 QKB983135 QTX983135 RDT983135 RNP983135 RXL983135 SHH983135 SRD983135 TAZ983135 TKV983135 TUR983135 UEN983135 UOJ983135 UYF983135 VIB983135 VRX983135 WBT983135 WLP983135 WVL983135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91 IZ65591 SV65591 ACR65591 AMN65591 AWJ65591 BGF65591 BQB65591 BZX65591 CJT65591 CTP65591 DDL65591 DNH65591 DXD65591 EGZ65591 EQV65591 FAR65591 FKN65591 FUJ65591 GEF65591 GOB65591 GXX65591 HHT65591 HRP65591 IBL65591 ILH65591 IVD65591 JEZ65591 JOV65591 JYR65591 KIN65591 KSJ65591 LCF65591 LMB65591 LVX65591 MFT65591 MPP65591 MZL65591 NJH65591 NTD65591 OCZ65591 OMV65591 OWR65591 PGN65591 PQJ65591 QAF65591 QKB65591 QTX65591 RDT65591 RNP65591 RXL65591 SHH65591 SRD65591 TAZ65591 TKV65591 TUR65591 UEN65591 UOJ65591 UYF65591 VIB65591 VRX65591 WBT65591 WLP65591 WVL65591 D131127 IZ131127 SV131127 ACR131127 AMN131127 AWJ131127 BGF131127 BQB131127 BZX131127 CJT131127 CTP131127 DDL131127 DNH131127 DXD131127 EGZ131127 EQV131127 FAR131127 FKN131127 FUJ131127 GEF131127 GOB131127 GXX131127 HHT131127 HRP131127 IBL131127 ILH131127 IVD131127 JEZ131127 JOV131127 JYR131127 KIN131127 KSJ131127 LCF131127 LMB131127 LVX131127 MFT131127 MPP131127 MZL131127 NJH131127 NTD131127 OCZ131127 OMV131127 OWR131127 PGN131127 PQJ131127 QAF131127 QKB131127 QTX131127 RDT131127 RNP131127 RXL131127 SHH131127 SRD131127 TAZ131127 TKV131127 TUR131127 UEN131127 UOJ131127 UYF131127 VIB131127 VRX131127 WBT131127 WLP131127 WVL131127 D196663 IZ196663 SV196663 ACR196663 AMN196663 AWJ196663 BGF196663 BQB196663 BZX196663 CJT196663 CTP196663 DDL196663 DNH196663 DXD196663 EGZ196663 EQV196663 FAR196663 FKN196663 FUJ196663 GEF196663 GOB196663 GXX196663 HHT196663 HRP196663 IBL196663 ILH196663 IVD196663 JEZ196663 JOV196663 JYR196663 KIN196663 KSJ196663 LCF196663 LMB196663 LVX196663 MFT196663 MPP196663 MZL196663 NJH196663 NTD196663 OCZ196663 OMV196663 OWR196663 PGN196663 PQJ196663 QAF196663 QKB196663 QTX196663 RDT196663 RNP196663 RXL196663 SHH196663 SRD196663 TAZ196663 TKV196663 TUR196663 UEN196663 UOJ196663 UYF196663 VIB196663 VRX196663 WBT196663 WLP196663 WVL196663 D262199 IZ262199 SV262199 ACR262199 AMN262199 AWJ262199 BGF262199 BQB262199 BZX262199 CJT262199 CTP262199 DDL262199 DNH262199 DXD262199 EGZ262199 EQV262199 FAR262199 FKN262199 FUJ262199 GEF262199 GOB262199 GXX262199 HHT262199 HRP262199 IBL262199 ILH262199 IVD262199 JEZ262199 JOV262199 JYR262199 KIN262199 KSJ262199 LCF262199 LMB262199 LVX262199 MFT262199 MPP262199 MZL262199 NJH262199 NTD262199 OCZ262199 OMV262199 OWR262199 PGN262199 PQJ262199 QAF262199 QKB262199 QTX262199 RDT262199 RNP262199 RXL262199 SHH262199 SRD262199 TAZ262199 TKV262199 TUR262199 UEN262199 UOJ262199 UYF262199 VIB262199 VRX262199 WBT262199 WLP262199 WVL262199 D327735 IZ327735 SV327735 ACR327735 AMN327735 AWJ327735 BGF327735 BQB327735 BZX327735 CJT327735 CTP327735 DDL327735 DNH327735 DXD327735 EGZ327735 EQV327735 FAR327735 FKN327735 FUJ327735 GEF327735 GOB327735 GXX327735 HHT327735 HRP327735 IBL327735 ILH327735 IVD327735 JEZ327735 JOV327735 JYR327735 KIN327735 KSJ327735 LCF327735 LMB327735 LVX327735 MFT327735 MPP327735 MZL327735 NJH327735 NTD327735 OCZ327735 OMV327735 OWR327735 PGN327735 PQJ327735 QAF327735 QKB327735 QTX327735 RDT327735 RNP327735 RXL327735 SHH327735 SRD327735 TAZ327735 TKV327735 TUR327735 UEN327735 UOJ327735 UYF327735 VIB327735 VRX327735 WBT327735 WLP327735 WVL327735 D393271 IZ393271 SV393271 ACR393271 AMN393271 AWJ393271 BGF393271 BQB393271 BZX393271 CJT393271 CTP393271 DDL393271 DNH393271 DXD393271 EGZ393271 EQV393271 FAR393271 FKN393271 FUJ393271 GEF393271 GOB393271 GXX393271 HHT393271 HRP393271 IBL393271 ILH393271 IVD393271 JEZ393271 JOV393271 JYR393271 KIN393271 KSJ393271 LCF393271 LMB393271 LVX393271 MFT393271 MPP393271 MZL393271 NJH393271 NTD393271 OCZ393271 OMV393271 OWR393271 PGN393271 PQJ393271 QAF393271 QKB393271 QTX393271 RDT393271 RNP393271 RXL393271 SHH393271 SRD393271 TAZ393271 TKV393271 TUR393271 UEN393271 UOJ393271 UYF393271 VIB393271 VRX393271 WBT393271 WLP393271 WVL393271 D458807 IZ458807 SV458807 ACR458807 AMN458807 AWJ458807 BGF458807 BQB458807 BZX458807 CJT458807 CTP458807 DDL458807 DNH458807 DXD458807 EGZ458807 EQV458807 FAR458807 FKN458807 FUJ458807 GEF458807 GOB458807 GXX458807 HHT458807 HRP458807 IBL458807 ILH458807 IVD458807 JEZ458807 JOV458807 JYR458807 KIN458807 KSJ458807 LCF458807 LMB458807 LVX458807 MFT458807 MPP458807 MZL458807 NJH458807 NTD458807 OCZ458807 OMV458807 OWR458807 PGN458807 PQJ458807 QAF458807 QKB458807 QTX458807 RDT458807 RNP458807 RXL458807 SHH458807 SRD458807 TAZ458807 TKV458807 TUR458807 UEN458807 UOJ458807 UYF458807 VIB458807 VRX458807 WBT458807 WLP458807 WVL458807 D524343 IZ524343 SV524343 ACR524343 AMN524343 AWJ524343 BGF524343 BQB524343 BZX524343 CJT524343 CTP524343 DDL524343 DNH524343 DXD524343 EGZ524343 EQV524343 FAR524343 FKN524343 FUJ524343 GEF524343 GOB524343 GXX524343 HHT524343 HRP524343 IBL524343 ILH524343 IVD524343 JEZ524343 JOV524343 JYR524343 KIN524343 KSJ524343 LCF524343 LMB524343 LVX524343 MFT524343 MPP524343 MZL524343 NJH524343 NTD524343 OCZ524343 OMV524343 OWR524343 PGN524343 PQJ524343 QAF524343 QKB524343 QTX524343 RDT524343 RNP524343 RXL524343 SHH524343 SRD524343 TAZ524343 TKV524343 TUR524343 UEN524343 UOJ524343 UYF524343 VIB524343 VRX524343 WBT524343 WLP524343 WVL524343 D589879 IZ589879 SV589879 ACR589879 AMN589879 AWJ589879 BGF589879 BQB589879 BZX589879 CJT589879 CTP589879 DDL589879 DNH589879 DXD589879 EGZ589879 EQV589879 FAR589879 FKN589879 FUJ589879 GEF589879 GOB589879 GXX589879 HHT589879 HRP589879 IBL589879 ILH589879 IVD589879 JEZ589879 JOV589879 JYR589879 KIN589879 KSJ589879 LCF589879 LMB589879 LVX589879 MFT589879 MPP589879 MZL589879 NJH589879 NTD589879 OCZ589879 OMV589879 OWR589879 PGN589879 PQJ589879 QAF589879 QKB589879 QTX589879 RDT589879 RNP589879 RXL589879 SHH589879 SRD589879 TAZ589879 TKV589879 TUR589879 UEN589879 UOJ589879 UYF589879 VIB589879 VRX589879 WBT589879 WLP589879 WVL589879 D655415 IZ655415 SV655415 ACR655415 AMN655415 AWJ655415 BGF655415 BQB655415 BZX655415 CJT655415 CTP655415 DDL655415 DNH655415 DXD655415 EGZ655415 EQV655415 FAR655415 FKN655415 FUJ655415 GEF655415 GOB655415 GXX655415 HHT655415 HRP655415 IBL655415 ILH655415 IVD655415 JEZ655415 JOV655415 JYR655415 KIN655415 KSJ655415 LCF655415 LMB655415 LVX655415 MFT655415 MPP655415 MZL655415 NJH655415 NTD655415 OCZ655415 OMV655415 OWR655415 PGN655415 PQJ655415 QAF655415 QKB655415 QTX655415 RDT655415 RNP655415 RXL655415 SHH655415 SRD655415 TAZ655415 TKV655415 TUR655415 UEN655415 UOJ655415 UYF655415 VIB655415 VRX655415 WBT655415 WLP655415 WVL655415 D720951 IZ720951 SV720951 ACR720951 AMN720951 AWJ720951 BGF720951 BQB720951 BZX720951 CJT720951 CTP720951 DDL720951 DNH720951 DXD720951 EGZ720951 EQV720951 FAR720951 FKN720951 FUJ720951 GEF720951 GOB720951 GXX720951 HHT720951 HRP720951 IBL720951 ILH720951 IVD720951 JEZ720951 JOV720951 JYR720951 KIN720951 KSJ720951 LCF720951 LMB720951 LVX720951 MFT720951 MPP720951 MZL720951 NJH720951 NTD720951 OCZ720951 OMV720951 OWR720951 PGN720951 PQJ720951 QAF720951 QKB720951 QTX720951 RDT720951 RNP720951 RXL720951 SHH720951 SRD720951 TAZ720951 TKV720951 TUR720951 UEN720951 UOJ720951 UYF720951 VIB720951 VRX720951 WBT720951 WLP720951 WVL720951 D786487 IZ786487 SV786487 ACR786487 AMN786487 AWJ786487 BGF786487 BQB786487 BZX786487 CJT786487 CTP786487 DDL786487 DNH786487 DXD786487 EGZ786487 EQV786487 FAR786487 FKN786487 FUJ786487 GEF786487 GOB786487 GXX786487 HHT786487 HRP786487 IBL786487 ILH786487 IVD786487 JEZ786487 JOV786487 JYR786487 KIN786487 KSJ786487 LCF786487 LMB786487 LVX786487 MFT786487 MPP786487 MZL786487 NJH786487 NTD786487 OCZ786487 OMV786487 OWR786487 PGN786487 PQJ786487 QAF786487 QKB786487 QTX786487 RDT786487 RNP786487 RXL786487 SHH786487 SRD786487 TAZ786487 TKV786487 TUR786487 UEN786487 UOJ786487 UYF786487 VIB786487 VRX786487 WBT786487 WLP786487 WVL786487 D852023 IZ852023 SV852023 ACR852023 AMN852023 AWJ852023 BGF852023 BQB852023 BZX852023 CJT852023 CTP852023 DDL852023 DNH852023 DXD852023 EGZ852023 EQV852023 FAR852023 FKN852023 FUJ852023 GEF852023 GOB852023 GXX852023 HHT852023 HRP852023 IBL852023 ILH852023 IVD852023 JEZ852023 JOV852023 JYR852023 KIN852023 KSJ852023 LCF852023 LMB852023 LVX852023 MFT852023 MPP852023 MZL852023 NJH852023 NTD852023 OCZ852023 OMV852023 OWR852023 PGN852023 PQJ852023 QAF852023 QKB852023 QTX852023 RDT852023 RNP852023 RXL852023 SHH852023 SRD852023 TAZ852023 TKV852023 TUR852023 UEN852023 UOJ852023 UYF852023 VIB852023 VRX852023 WBT852023 WLP852023 WVL852023 D917559 IZ917559 SV917559 ACR917559 AMN917559 AWJ917559 BGF917559 BQB917559 BZX917559 CJT917559 CTP917559 DDL917559 DNH917559 DXD917559 EGZ917559 EQV917559 FAR917559 FKN917559 FUJ917559 GEF917559 GOB917559 GXX917559 HHT917559 HRP917559 IBL917559 ILH917559 IVD917559 JEZ917559 JOV917559 JYR917559 KIN917559 KSJ917559 LCF917559 LMB917559 LVX917559 MFT917559 MPP917559 MZL917559 NJH917559 NTD917559 OCZ917559 OMV917559 OWR917559 PGN917559 PQJ917559 QAF917559 QKB917559 QTX917559 RDT917559 RNP917559 RXL917559 SHH917559 SRD917559 TAZ917559 TKV917559 TUR917559 UEN917559 UOJ917559 UYF917559 VIB917559 VRX917559 WBT917559 WLP917559 WVL917559 D983095 IZ983095 SV983095 ACR983095 AMN983095 AWJ983095 BGF983095 BQB983095 BZX983095 CJT983095 CTP983095 DDL983095 DNH983095 DXD983095 EGZ983095 EQV983095 FAR983095 FKN983095 FUJ983095 GEF983095 GOB983095 GXX983095 HHT983095 HRP983095 IBL983095 ILH983095 IVD983095 JEZ983095 JOV983095 JYR983095 KIN983095 KSJ983095 LCF983095 LMB983095 LVX983095 MFT983095 MPP983095 MZL983095 NJH983095 NTD983095 OCZ983095 OMV983095 OWR983095 PGN983095 PQJ983095 QAF983095 QKB983095 QTX983095 RDT983095 RNP983095 RXL983095 SHH983095 SRD983095 TAZ983095 TKV983095 TUR983095 UEN983095 UOJ983095 UYF983095 VIB983095 VRX983095 WBT983095 WLP983095 WVL983095" xr:uid="{75435141-8180-46B0-9C47-EACAEE3CB293}">
      <formula1>"Core1,Core2,Core3"</formula1>
    </dataValidation>
  </dataValidations>
  <printOptions horizontalCentered="1" verticalCentered="1"/>
  <pageMargins left="0.5" right="0.5" top="0.5" bottom="0.5" header="0" footer="0"/>
  <pageSetup paperSize="9" scale="90" orientation="portrait" r:id="rId1"/>
  <headerFooter alignWithMargins="0"/>
  <rowBreaks count="1" manualBreakCount="1">
    <brk id="94"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326657" r:id="rId4" name="Button 1">
              <controlPr defaultSize="0" print="0" autoFill="0" autoPict="0" macro="[2]!Button1_Click">
                <anchor moveWithCells="1" sizeWithCells="1">
                  <from>
                    <xdr:col>23</xdr:col>
                    <xdr:colOff>518160</xdr:colOff>
                    <xdr:row>1</xdr:row>
                    <xdr:rowOff>426720</xdr:rowOff>
                  </from>
                  <to>
                    <xdr:col>27</xdr:col>
                    <xdr:colOff>182880</xdr:colOff>
                    <xdr:row>3</xdr:row>
                    <xdr:rowOff>426720</xdr:rowOff>
                  </to>
                </anchor>
              </controlPr>
            </control>
          </mc:Choice>
        </mc:AlternateContent>
      </controls>
    </mc:Choice>
  </mc:AlternateContent>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E1CBD-BA12-4D89-B4FA-F0CC925A7983}">
  <sheetPr>
    <tabColor indexed="43"/>
  </sheetPr>
  <dimension ref="A1:X169"/>
  <sheetViews>
    <sheetView showZeros="0" view="pageBreakPreview" topLeftCell="A43" zoomScaleNormal="100" zoomScaleSheetLayoutView="100" workbookViewId="0">
      <selection activeCell="H15" sqref="H15"/>
    </sheetView>
  </sheetViews>
  <sheetFormatPr defaultColWidth="4.33203125" defaultRowHeight="18" customHeight="1"/>
  <cols>
    <col min="1" max="7" width="4.33203125" style="30"/>
    <col min="8" max="8" width="4.5546875" style="30" bestFit="1" customWidth="1"/>
    <col min="9" max="9" width="4.33203125" style="30"/>
    <col min="10" max="11" width="4.33203125" style="30" customWidth="1"/>
    <col min="12" max="16384" width="4.33203125" style="30"/>
  </cols>
  <sheetData>
    <row r="1" spans="1:24"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74" t="str">
        <f>Title!R1</f>
        <v>N-19957.1-DF5W</v>
      </c>
      <c r="S1" s="775"/>
      <c r="T1" s="775"/>
      <c r="U1" s="775"/>
      <c r="V1" s="776"/>
      <c r="W1" s="14"/>
      <c r="X1" s="14"/>
    </row>
    <row r="2" spans="1:24" ht="18" customHeight="1">
      <c r="A2" s="720"/>
      <c r="B2" s="721"/>
      <c r="C2" s="721"/>
      <c r="D2" s="721"/>
      <c r="E2" s="721"/>
      <c r="F2" s="721"/>
      <c r="G2" s="722"/>
      <c r="H2" s="729" t="str">
        <f>Title!H2</f>
        <v>ADEQUACY CHECK</v>
      </c>
      <c r="I2" s="730"/>
      <c r="J2" s="730"/>
      <c r="K2" s="730"/>
      <c r="L2" s="730"/>
      <c r="M2" s="730"/>
      <c r="N2" s="731"/>
      <c r="O2" s="702" t="str">
        <f>Title!O2</f>
        <v>Date</v>
      </c>
      <c r="P2" s="703"/>
      <c r="Q2" s="704"/>
      <c r="R2" s="777">
        <f>Title!R2</f>
        <v>46106</v>
      </c>
      <c r="S2" s="775"/>
      <c r="T2" s="775"/>
      <c r="U2" s="775"/>
      <c r="V2" s="776"/>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74" t="str">
        <f>Title!R3</f>
        <v>-</v>
      </c>
      <c r="S3" s="775"/>
      <c r="T3" s="775"/>
      <c r="U3" s="775"/>
      <c r="V3" s="776"/>
      <c r="W3" s="14"/>
      <c r="X3" s="14"/>
    </row>
    <row r="4" spans="1:24" ht="18" customHeight="1">
      <c r="A4" s="723"/>
      <c r="B4" s="724"/>
      <c r="C4" s="724"/>
      <c r="D4" s="724"/>
      <c r="E4" s="724"/>
      <c r="F4" s="724"/>
      <c r="G4" s="725"/>
      <c r="H4" s="738"/>
      <c r="I4" s="739"/>
      <c r="J4" s="739"/>
      <c r="K4" s="739"/>
      <c r="L4" s="739"/>
      <c r="M4" s="739"/>
      <c r="N4" s="740"/>
      <c r="O4" s="702" t="str">
        <f>Title!O4</f>
        <v>Revision No.</v>
      </c>
      <c r="P4" s="703"/>
      <c r="Q4" s="704"/>
      <c r="R4" s="774" t="str">
        <f>Title!R4</f>
        <v>A</v>
      </c>
      <c r="S4" s="775"/>
      <c r="T4" s="775"/>
      <c r="U4" s="775"/>
      <c r="V4" s="776"/>
      <c r="W4" s="14"/>
      <c r="X4" s="14"/>
    </row>
    <row r="5" spans="1:24" ht="18" customHeight="1">
      <c r="A5" s="708" t="str">
        <f>Title!A5</f>
        <v>Prep. By</v>
      </c>
      <c r="B5" s="709"/>
      <c r="C5" s="25" t="str">
        <f>Title!C5</f>
        <v>AP</v>
      </c>
      <c r="D5" s="708" t="str">
        <f>Title!D5</f>
        <v>Checked By</v>
      </c>
      <c r="E5" s="710"/>
      <c r="F5" s="709"/>
      <c r="G5" s="25" t="str">
        <f>Title!G5</f>
        <v>RB</v>
      </c>
      <c r="H5" s="711" t="s">
        <v>807</v>
      </c>
      <c r="I5" s="712"/>
      <c r="J5" s="712"/>
      <c r="K5" s="712"/>
      <c r="L5" s="712"/>
      <c r="M5" s="712"/>
      <c r="N5" s="713"/>
      <c r="O5" s="714" t="str">
        <f>Title!O5</f>
        <v>Contractor</v>
      </c>
      <c r="P5" s="715"/>
      <c r="Q5" s="716"/>
      <c r="R5" s="774" t="str">
        <f>Title!R5</f>
        <v>HITACHI</v>
      </c>
      <c r="S5" s="775"/>
      <c r="T5" s="775"/>
      <c r="U5" s="775"/>
      <c r="V5" s="776"/>
      <c r="W5" s="14"/>
      <c r="X5" s="14"/>
    </row>
    <row r="6" spans="1:24" ht="18" customHeight="1">
      <c r="A6" s="196"/>
      <c r="V6" s="197"/>
    </row>
    <row r="7" spans="1:24" ht="18" customHeight="1">
      <c r="A7" s="196"/>
      <c r="B7" s="656" t="s">
        <v>808</v>
      </c>
      <c r="C7" s="657"/>
      <c r="D7" s="696" t="s">
        <v>396</v>
      </c>
      <c r="E7" s="697"/>
      <c r="V7" s="197"/>
    </row>
    <row r="8" spans="1:24" ht="18" customHeight="1">
      <c r="A8" s="196"/>
      <c r="B8" s="656" t="s">
        <v>809</v>
      </c>
      <c r="C8" s="657"/>
      <c r="D8" s="1208"/>
      <c r="E8" s="1209"/>
      <c r="V8" s="197"/>
    </row>
    <row r="9" spans="1:24" ht="18" customHeight="1">
      <c r="A9" s="196"/>
      <c r="B9" s="656" t="s">
        <v>810</v>
      </c>
      <c r="C9" s="657"/>
      <c r="D9" s="654"/>
      <c r="E9" s="655"/>
      <c r="V9" s="197"/>
    </row>
    <row r="10" spans="1:24" ht="18" customHeight="1">
      <c r="A10" s="196"/>
      <c r="V10" s="197"/>
    </row>
    <row r="11" spans="1:24" ht="18" customHeight="1">
      <c r="A11" s="196"/>
      <c r="B11" s="30" t="s">
        <v>785</v>
      </c>
      <c r="H11" s="200">
        <v>33</v>
      </c>
      <c r="I11" s="201" t="s">
        <v>786</v>
      </c>
      <c r="J11" s="203" t="s">
        <v>353</v>
      </c>
      <c r="K11" s="122">
        <v>0.11</v>
      </c>
      <c r="L11" s="201" t="s">
        <v>786</v>
      </c>
      <c r="M11" s="30" t="s">
        <v>174</v>
      </c>
      <c r="V11" s="197"/>
    </row>
    <row r="12" spans="1:24" ht="18" customHeight="1">
      <c r="A12" s="196"/>
      <c r="B12" s="30" t="s">
        <v>787</v>
      </c>
      <c r="H12" s="656">
        <v>0.2</v>
      </c>
      <c r="I12" s="657"/>
      <c r="V12" s="197"/>
    </row>
    <row r="13" spans="1:24" ht="18" customHeight="1">
      <c r="A13" s="196"/>
      <c r="B13" s="30" t="s">
        <v>573</v>
      </c>
      <c r="H13" s="656">
        <v>100</v>
      </c>
      <c r="I13" s="657"/>
      <c r="J13" s="30" t="s">
        <v>168</v>
      </c>
      <c r="V13" s="197"/>
      <c r="W13" s="30" t="str">
        <f>G39</f>
        <v>Suitably Dimensioned</v>
      </c>
    </row>
    <row r="14" spans="1:24" ht="18" customHeight="1">
      <c r="A14" s="196"/>
      <c r="V14" s="197"/>
    </row>
    <row r="15" spans="1:24" ht="18" customHeight="1">
      <c r="A15" s="196"/>
      <c r="V15" s="197"/>
    </row>
    <row r="16" spans="1:24" ht="18" customHeight="1">
      <c r="A16" s="196"/>
      <c r="C16" s="141" t="s">
        <v>416</v>
      </c>
      <c r="D16" s="285"/>
      <c r="E16" s="511" t="s">
        <v>811</v>
      </c>
      <c r="F16" s="239"/>
      <c r="G16" s="239"/>
      <c r="H16" s="239"/>
      <c r="I16" s="145"/>
      <c r="J16" s="272" t="s">
        <v>138</v>
      </c>
      <c r="K16" s="688">
        <f>'CT-VT Burdens'!S85*10</f>
        <v>27</v>
      </c>
      <c r="L16" s="689"/>
      <c r="M16" s="3" t="s">
        <v>168</v>
      </c>
      <c r="V16" s="197"/>
    </row>
    <row r="17" spans="1:22" ht="18" customHeight="1">
      <c r="A17" s="196"/>
      <c r="C17" s="96" t="s">
        <v>416</v>
      </c>
      <c r="D17" s="14"/>
      <c r="E17" s="308"/>
      <c r="F17" s="14"/>
      <c r="H17" s="211"/>
      <c r="I17" s="27"/>
      <c r="J17" s="101" t="s">
        <v>138</v>
      </c>
      <c r="K17" s="688"/>
      <c r="L17" s="689"/>
      <c r="M17" s="214" t="s">
        <v>168</v>
      </c>
      <c r="V17" s="197"/>
    </row>
    <row r="18" spans="1:22" ht="18" customHeight="1">
      <c r="A18" s="196"/>
      <c r="C18" s="96" t="s">
        <v>416</v>
      </c>
      <c r="D18" s="14"/>
      <c r="E18" s="308"/>
      <c r="F18" s="14"/>
      <c r="H18" s="211"/>
      <c r="I18" s="27"/>
      <c r="J18" s="101" t="s">
        <v>138</v>
      </c>
      <c r="K18" s="688"/>
      <c r="L18" s="689"/>
      <c r="M18" s="214" t="s">
        <v>168</v>
      </c>
      <c r="V18" s="197"/>
    </row>
    <row r="19" spans="1:22" ht="18" customHeight="1">
      <c r="A19" s="196"/>
      <c r="C19" s="96" t="s">
        <v>416</v>
      </c>
      <c r="D19" s="14"/>
      <c r="E19" s="47"/>
      <c r="F19" s="14"/>
      <c r="H19" s="211"/>
      <c r="I19" s="27"/>
      <c r="J19" s="101" t="s">
        <v>138</v>
      </c>
      <c r="K19" s="688"/>
      <c r="L19" s="689"/>
      <c r="M19" s="214" t="s">
        <v>168</v>
      </c>
      <c r="V19" s="197"/>
    </row>
    <row r="20" spans="1:22" ht="18" customHeight="1">
      <c r="A20" s="196"/>
      <c r="B20" s="117"/>
      <c r="C20" s="96" t="s">
        <v>416</v>
      </c>
      <c r="D20" s="14"/>
      <c r="E20" s="47"/>
      <c r="F20" s="14"/>
      <c r="H20" s="211"/>
      <c r="I20" s="27"/>
      <c r="J20" s="101" t="s">
        <v>138</v>
      </c>
      <c r="K20" s="688"/>
      <c r="L20" s="689"/>
      <c r="M20" s="214" t="s">
        <v>168</v>
      </c>
      <c r="N20" s="14"/>
      <c r="O20" s="14"/>
      <c r="P20" s="28"/>
      <c r="Q20" s="211"/>
      <c r="R20" s="14"/>
      <c r="S20" s="14"/>
      <c r="T20" s="14"/>
      <c r="U20" s="14"/>
      <c r="V20" s="197"/>
    </row>
    <row r="21" spans="1:22" ht="18" customHeight="1">
      <c r="A21" s="196"/>
      <c r="C21" s="96" t="s">
        <v>792</v>
      </c>
      <c r="D21" s="14"/>
      <c r="E21" s="47"/>
      <c r="F21" s="14"/>
      <c r="H21" s="211"/>
      <c r="I21" s="27"/>
      <c r="J21" s="101" t="s">
        <v>138</v>
      </c>
      <c r="K21" s="644">
        <f>SUM(K16:L20)</f>
        <v>27</v>
      </c>
      <c r="L21" s="645"/>
      <c r="M21" s="214" t="s">
        <v>168</v>
      </c>
      <c r="R21" s="14"/>
      <c r="S21" s="14"/>
      <c r="T21" s="14"/>
      <c r="U21" s="293"/>
      <c r="V21" s="197"/>
    </row>
    <row r="22" spans="1:22" ht="18" customHeight="1">
      <c r="A22" s="196"/>
      <c r="C22" s="196" t="s">
        <v>423</v>
      </c>
      <c r="D22" s="14"/>
      <c r="E22" s="14"/>
      <c r="F22" s="14"/>
      <c r="I22" s="27"/>
      <c r="J22" s="101" t="s">
        <v>138</v>
      </c>
      <c r="K22" s="1197">
        <f>'CT-VT Burdens'!S39*10</f>
        <v>27.035014500000003</v>
      </c>
      <c r="L22" s="1198"/>
      <c r="M22" s="309" t="s">
        <v>168</v>
      </c>
      <c r="R22" s="14"/>
      <c r="S22" s="14"/>
      <c r="T22" s="14"/>
      <c r="U22" s="293"/>
      <c r="V22" s="197"/>
    </row>
    <row r="23" spans="1:22" ht="18" customHeight="1">
      <c r="A23" s="196"/>
      <c r="C23" s="1" t="s">
        <v>424</v>
      </c>
      <c r="D23" s="2"/>
      <c r="E23" s="2"/>
      <c r="F23" s="2"/>
      <c r="G23" s="208"/>
      <c r="H23" s="208"/>
      <c r="I23" s="236" t="s">
        <v>523</v>
      </c>
      <c r="J23" s="195" t="s">
        <v>138</v>
      </c>
      <c r="K23" s="1197">
        <f>K21+K22</f>
        <v>54.035014500000003</v>
      </c>
      <c r="L23" s="1198"/>
      <c r="M23" s="3" t="s">
        <v>168</v>
      </c>
      <c r="R23" s="14"/>
      <c r="S23" s="14"/>
      <c r="T23" s="14"/>
      <c r="U23" s="293"/>
      <c r="V23" s="197"/>
    </row>
    <row r="24" spans="1:22" ht="18" customHeight="1">
      <c r="A24" s="96"/>
      <c r="B24" s="14"/>
      <c r="C24" s="120"/>
      <c r="D24" s="47"/>
      <c r="E24" s="47"/>
      <c r="F24" s="47"/>
      <c r="G24" s="47"/>
      <c r="H24" s="47"/>
      <c r="I24" s="47"/>
      <c r="J24" s="14"/>
      <c r="K24" s="28"/>
      <c r="L24" s="14"/>
      <c r="M24" s="14"/>
      <c r="N24" s="230"/>
      <c r="O24" s="230"/>
      <c r="P24" s="14"/>
      <c r="R24" s="14"/>
      <c r="S24" s="14"/>
      <c r="T24" s="14"/>
      <c r="U24" s="14"/>
      <c r="V24" s="197"/>
    </row>
    <row r="25" spans="1:22" ht="18" customHeight="1">
      <c r="A25" s="196"/>
      <c r="P25" s="479"/>
      <c r="R25" s="14"/>
      <c r="S25" s="14"/>
      <c r="T25" s="14"/>
      <c r="U25" s="198"/>
      <c r="V25" s="197"/>
    </row>
    <row r="26" spans="1:22" ht="18" customHeight="1">
      <c r="A26" s="196"/>
      <c r="B26" s="116" t="s">
        <v>793</v>
      </c>
      <c r="V26" s="197"/>
    </row>
    <row r="27" spans="1:22" ht="18" customHeight="1">
      <c r="A27" s="196"/>
      <c r="V27" s="197"/>
    </row>
    <row r="28" spans="1:22" ht="18" customHeight="1">
      <c r="A28" s="196"/>
      <c r="B28" s="14" t="s">
        <v>794</v>
      </c>
      <c r="C28" s="14"/>
      <c r="D28" s="120"/>
      <c r="J28" s="28" t="s">
        <v>138</v>
      </c>
      <c r="K28" s="47" t="s">
        <v>792</v>
      </c>
      <c r="M28" s="47"/>
      <c r="N28" s="47"/>
      <c r="P28" s="102" t="s">
        <v>353</v>
      </c>
      <c r="Q28" s="30" t="s">
        <v>795</v>
      </c>
      <c r="R28" s="14"/>
      <c r="V28" s="197"/>
    </row>
    <row r="29" spans="1:22" ht="18" customHeight="1">
      <c r="A29" s="196"/>
      <c r="B29" s="14"/>
      <c r="C29" s="14"/>
      <c r="D29" s="120"/>
      <c r="J29" s="28" t="s">
        <v>138</v>
      </c>
      <c r="K29" s="641">
        <f>K21</f>
        <v>27</v>
      </c>
      <c r="L29" s="638"/>
      <c r="M29" s="102" t="s">
        <v>353</v>
      </c>
      <c r="N29" s="641">
        <f>K11/SQRT(3)*1000</f>
        <v>63.508529610858844</v>
      </c>
      <c r="O29" s="638"/>
      <c r="V29" s="197"/>
    </row>
    <row r="30" spans="1:22" ht="18" customHeight="1">
      <c r="A30" s="196"/>
      <c r="B30" s="14"/>
      <c r="C30" s="14"/>
      <c r="D30" s="120"/>
      <c r="J30" s="28" t="s">
        <v>138</v>
      </c>
      <c r="K30" s="911">
        <f>K29/N29</f>
        <v>0.42513974367599711</v>
      </c>
      <c r="L30" s="911"/>
      <c r="M30" s="47" t="s">
        <v>9</v>
      </c>
      <c r="N30" s="47"/>
      <c r="O30" s="14"/>
      <c r="P30" s="28"/>
      <c r="Q30" s="14"/>
      <c r="R30" s="14"/>
      <c r="V30" s="197"/>
    </row>
    <row r="31" spans="1:22" ht="18" customHeight="1">
      <c r="A31" s="196"/>
      <c r="V31" s="197"/>
    </row>
    <row r="32" spans="1:22" ht="18" customHeight="1">
      <c r="A32" s="196"/>
      <c r="B32" s="14" t="s">
        <v>796</v>
      </c>
      <c r="C32" s="14"/>
      <c r="D32" s="14"/>
      <c r="E32" s="14"/>
      <c r="F32" s="14"/>
      <c r="G32" s="14"/>
      <c r="H32" s="14"/>
      <c r="I32" s="47"/>
      <c r="J32" s="28" t="s">
        <v>138</v>
      </c>
      <c r="K32" s="638" t="s">
        <v>797</v>
      </c>
      <c r="L32" s="638"/>
      <c r="M32" s="28" t="s">
        <v>326</v>
      </c>
      <c r="N32" s="47" t="s">
        <v>798</v>
      </c>
      <c r="O32" s="14"/>
      <c r="P32" s="28"/>
      <c r="V32" s="197"/>
    </row>
    <row r="33" spans="1:22" ht="18" customHeight="1">
      <c r="A33" s="196"/>
      <c r="J33" s="28" t="s">
        <v>138</v>
      </c>
      <c r="K33" s="639">
        <f>K30*K30</f>
        <v>0.18074380165289253</v>
      </c>
      <c r="L33" s="639"/>
      <c r="M33" s="28" t="s">
        <v>326</v>
      </c>
      <c r="N33" s="637">
        <f>'CT-VT Burdens'!S39</f>
        <v>2.7035014500000001</v>
      </c>
      <c r="O33" s="637"/>
      <c r="V33" s="197"/>
    </row>
    <row r="34" spans="1:22" ht="18" customHeight="1">
      <c r="A34" s="196"/>
      <c r="J34" s="28" t="s">
        <v>138</v>
      </c>
      <c r="K34" s="1163">
        <f>K33*N33</f>
        <v>0.48864112984710734</v>
      </c>
      <c r="L34" s="1163"/>
      <c r="M34" s="30" t="s">
        <v>168</v>
      </c>
      <c r="V34" s="197"/>
    </row>
    <row r="35" spans="1:22" ht="18" customHeight="1">
      <c r="A35" s="196"/>
      <c r="V35" s="197"/>
    </row>
    <row r="36" spans="1:22" ht="18" customHeight="1">
      <c r="A36" s="196"/>
      <c r="B36" s="14" t="s">
        <v>799</v>
      </c>
      <c r="C36" s="14"/>
      <c r="D36" s="14"/>
      <c r="E36" s="28"/>
      <c r="F36" s="14"/>
      <c r="G36" s="14"/>
      <c r="H36" s="102"/>
      <c r="I36" s="47"/>
      <c r="J36" s="47"/>
      <c r="K36" s="14"/>
      <c r="V36" s="197"/>
    </row>
    <row r="37" spans="1:22" ht="18" customHeight="1">
      <c r="A37" s="196"/>
      <c r="B37" s="14"/>
      <c r="C37" s="14"/>
      <c r="D37" s="269"/>
      <c r="E37" s="120" t="s">
        <v>800</v>
      </c>
      <c r="F37" s="27" t="str">
        <f>IF(D38&gt;=G38,"&gt;","&lt;")</f>
        <v>&gt;</v>
      </c>
      <c r="G37" s="293" t="s">
        <v>131</v>
      </c>
      <c r="H37" s="230"/>
      <c r="J37" s="28"/>
      <c r="K37" s="230"/>
      <c r="V37" s="197"/>
    </row>
    <row r="38" spans="1:22" ht="18" customHeight="1">
      <c r="A38" s="196"/>
      <c r="D38" s="639">
        <f>H13</f>
        <v>100</v>
      </c>
      <c r="E38" s="639"/>
      <c r="F38" s="27" t="str">
        <f>F37</f>
        <v>&gt;</v>
      </c>
      <c r="G38" s="1163">
        <f>K23</f>
        <v>54.035014500000003</v>
      </c>
      <c r="H38" s="639"/>
      <c r="I38" s="14"/>
      <c r="J38" s="269"/>
      <c r="V38" s="197"/>
    </row>
    <row r="39" spans="1:22" ht="18" customHeight="1">
      <c r="A39" s="196"/>
      <c r="D39" s="211"/>
      <c r="E39" s="256" t="s">
        <v>801</v>
      </c>
      <c r="F39" s="27"/>
      <c r="G39" s="18" t="str">
        <f>IF(F37="&gt;","Suitably Dimensioned","Under Dimensioned")</f>
        <v>Suitably Dimensioned</v>
      </c>
      <c r="H39" s="27"/>
      <c r="I39" s="120"/>
      <c r="J39" s="27"/>
      <c r="K39" s="120"/>
      <c r="V39" s="197"/>
    </row>
    <row r="40" spans="1:22" ht="18" customHeight="1">
      <c r="A40" s="196"/>
      <c r="V40" s="197"/>
    </row>
    <row r="41" spans="1:22" ht="18" customHeight="1">
      <c r="A41" s="196"/>
      <c r="V41" s="197"/>
    </row>
    <row r="42" spans="1:22" ht="18" customHeight="1">
      <c r="A42" s="196"/>
      <c r="V42" s="197"/>
    </row>
    <row r="43" spans="1:22" ht="18" customHeight="1">
      <c r="A43" s="196"/>
      <c r="V43" s="197"/>
    </row>
    <row r="44" spans="1:22" ht="18" customHeight="1">
      <c r="A44" s="196"/>
      <c r="V44" s="197"/>
    </row>
    <row r="45" spans="1:22" ht="18" customHeight="1">
      <c r="A45" s="196"/>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1195"/>
      <c r="T46" s="1196"/>
      <c r="U46" s="207"/>
      <c r="V46" s="140"/>
    </row>
    <row r="47" spans="1:22"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2" ht="18" customHeight="1">
      <c r="A48" s="196"/>
      <c r="B48" s="656" t="str">
        <f>B7</f>
        <v>T15/T25</v>
      </c>
      <c r="C48" s="657"/>
      <c r="D48" s="696" t="s">
        <v>517</v>
      </c>
      <c r="E48" s="697"/>
      <c r="V48" s="197"/>
    </row>
    <row r="49" spans="1:23" ht="18" customHeight="1">
      <c r="A49" s="196"/>
      <c r="B49" s="656" t="str">
        <f>B8</f>
        <v>T16/T26</v>
      </c>
      <c r="C49" s="657"/>
      <c r="D49" s="1208"/>
      <c r="E49" s="1209"/>
      <c r="V49" s="197"/>
    </row>
    <row r="50" spans="1:23" ht="18" customHeight="1">
      <c r="A50" s="196"/>
      <c r="B50" s="656" t="str">
        <f>B9</f>
        <v>T17/T27</v>
      </c>
      <c r="C50" s="657"/>
      <c r="D50" s="654"/>
      <c r="E50" s="655"/>
      <c r="V50" s="197"/>
    </row>
    <row r="51" spans="1:23" ht="18" customHeight="1">
      <c r="A51" s="196"/>
      <c r="V51" s="197"/>
    </row>
    <row r="52" spans="1:23" ht="18" customHeight="1">
      <c r="A52" s="196"/>
      <c r="B52" s="30" t="s">
        <v>785</v>
      </c>
      <c r="H52" s="200">
        <v>33</v>
      </c>
      <c r="I52" s="201" t="s">
        <v>786</v>
      </c>
      <c r="J52" s="203" t="s">
        <v>353</v>
      </c>
      <c r="K52" s="122">
        <v>0.11</v>
      </c>
      <c r="L52" s="201" t="s">
        <v>786</v>
      </c>
      <c r="M52" s="30" t="s">
        <v>174</v>
      </c>
      <c r="V52" s="197"/>
    </row>
    <row r="53" spans="1:23" ht="18" customHeight="1">
      <c r="A53" s="196"/>
      <c r="B53" s="30" t="s">
        <v>787</v>
      </c>
      <c r="H53" s="656" t="s">
        <v>788</v>
      </c>
      <c r="I53" s="657"/>
      <c r="V53" s="197"/>
    </row>
    <row r="54" spans="1:23" ht="18" customHeight="1">
      <c r="A54" s="196"/>
      <c r="B54" s="30" t="s">
        <v>573</v>
      </c>
      <c r="H54" s="656">
        <v>100</v>
      </c>
      <c r="I54" s="657"/>
      <c r="J54" s="30" t="s">
        <v>168</v>
      </c>
      <c r="V54" s="197"/>
      <c r="W54" s="30" t="str">
        <f>G80</f>
        <v>Suitably Dimensioned</v>
      </c>
    </row>
    <row r="55" spans="1:23" ht="18" customHeight="1">
      <c r="A55" s="196"/>
      <c r="V55" s="197"/>
    </row>
    <row r="56" spans="1:23" ht="18" customHeight="1">
      <c r="A56" s="196"/>
      <c r="V56" s="197"/>
    </row>
    <row r="57" spans="1:23" ht="18" customHeight="1">
      <c r="A57" s="196"/>
      <c r="C57" s="141" t="s">
        <v>416</v>
      </c>
      <c r="D57" s="285"/>
      <c r="E57" s="511" t="s">
        <v>812</v>
      </c>
      <c r="F57" s="239"/>
      <c r="G57" s="239"/>
      <c r="H57" s="239"/>
      <c r="I57" s="145"/>
      <c r="J57" s="272" t="s">
        <v>138</v>
      </c>
      <c r="K57" s="688">
        <f>'CT-VT Burdens'!S85*10</f>
        <v>27</v>
      </c>
      <c r="L57" s="689"/>
      <c r="M57" s="3" t="s">
        <v>168</v>
      </c>
      <c r="V57" s="197"/>
    </row>
    <row r="58" spans="1:23" ht="18" customHeight="1">
      <c r="A58" s="196"/>
      <c r="C58" s="96" t="s">
        <v>416</v>
      </c>
      <c r="D58" s="14"/>
      <c r="E58" s="308" t="s">
        <v>271</v>
      </c>
      <c r="F58" s="14"/>
      <c r="H58" s="211"/>
      <c r="I58" s="27"/>
      <c r="J58" s="101" t="s">
        <v>138</v>
      </c>
      <c r="K58" s="688">
        <f>'CT-VT Burdens'!S96</f>
        <v>3.75</v>
      </c>
      <c r="L58" s="689"/>
      <c r="M58" s="214" t="s">
        <v>168</v>
      </c>
      <c r="V58" s="197"/>
    </row>
    <row r="59" spans="1:23" ht="18" customHeight="1">
      <c r="A59" s="196"/>
      <c r="C59" s="96" t="s">
        <v>416</v>
      </c>
      <c r="D59" s="14"/>
      <c r="E59" s="308" t="s">
        <v>813</v>
      </c>
      <c r="F59" s="14"/>
      <c r="H59" s="211"/>
      <c r="I59" s="27"/>
      <c r="J59" s="101" t="s">
        <v>138</v>
      </c>
      <c r="K59" s="688">
        <f>'CT-VT Burdens'!S77</f>
        <v>0.1</v>
      </c>
      <c r="L59" s="689"/>
      <c r="M59" s="214" t="s">
        <v>168</v>
      </c>
      <c r="V59" s="197"/>
    </row>
    <row r="60" spans="1:23" ht="18" customHeight="1">
      <c r="A60" s="196"/>
      <c r="C60" s="96" t="s">
        <v>416</v>
      </c>
      <c r="D60" s="14"/>
      <c r="E60" s="308" t="s">
        <v>814</v>
      </c>
      <c r="F60" s="14"/>
      <c r="H60" s="211"/>
      <c r="I60" s="27"/>
      <c r="J60" s="101" t="s">
        <v>138</v>
      </c>
      <c r="K60" s="688">
        <f>'CT-VT Burdens'!S48</f>
        <v>0.02</v>
      </c>
      <c r="L60" s="689"/>
      <c r="M60" s="214" t="s">
        <v>168</v>
      </c>
      <c r="V60" s="197"/>
    </row>
    <row r="61" spans="1:23" ht="18" customHeight="1">
      <c r="A61" s="196"/>
      <c r="B61" s="117"/>
      <c r="C61" s="96" t="s">
        <v>416</v>
      </c>
      <c r="D61" s="14"/>
      <c r="E61" s="47"/>
      <c r="F61" s="14"/>
      <c r="H61" s="211"/>
      <c r="I61" s="27"/>
      <c r="J61" s="101" t="s">
        <v>138</v>
      </c>
      <c r="K61" s="688"/>
      <c r="L61" s="689"/>
      <c r="M61" s="214" t="s">
        <v>168</v>
      </c>
      <c r="N61" s="14"/>
      <c r="O61" s="14"/>
      <c r="P61" s="28"/>
      <c r="Q61" s="211"/>
      <c r="R61" s="14"/>
      <c r="S61" s="14"/>
      <c r="T61" s="14"/>
      <c r="U61" s="14"/>
      <c r="V61" s="197"/>
    </row>
    <row r="62" spans="1:23" ht="18" customHeight="1">
      <c r="A62" s="196"/>
      <c r="C62" s="96" t="s">
        <v>792</v>
      </c>
      <c r="D62" s="14"/>
      <c r="E62" s="47"/>
      <c r="F62" s="14"/>
      <c r="H62" s="211"/>
      <c r="I62" s="27"/>
      <c r="J62" s="101" t="s">
        <v>138</v>
      </c>
      <c r="K62" s="644">
        <f>SUM(K57:L61)</f>
        <v>30.87</v>
      </c>
      <c r="L62" s="645"/>
      <c r="M62" s="214" t="s">
        <v>168</v>
      </c>
      <c r="R62" s="14"/>
      <c r="S62" s="14"/>
      <c r="T62" s="14"/>
      <c r="U62" s="293"/>
      <c r="V62" s="197"/>
    </row>
    <row r="63" spans="1:23" ht="18" customHeight="1">
      <c r="A63" s="196"/>
      <c r="C63" s="196" t="s">
        <v>423</v>
      </c>
      <c r="D63" s="14"/>
      <c r="E63" s="14"/>
      <c r="F63" s="14"/>
      <c r="I63" s="27"/>
      <c r="J63" s="101" t="s">
        <v>138</v>
      </c>
      <c r="K63" s="1197">
        <f>'CT-VT Burdens'!S39*10</f>
        <v>27.035014500000003</v>
      </c>
      <c r="L63" s="1198"/>
      <c r="M63" s="309" t="s">
        <v>168</v>
      </c>
      <c r="R63" s="14"/>
      <c r="S63" s="14"/>
      <c r="T63" s="14"/>
      <c r="U63" s="293"/>
      <c r="V63" s="197"/>
    </row>
    <row r="64" spans="1:23" ht="18" customHeight="1">
      <c r="A64" s="196"/>
      <c r="C64" s="1" t="s">
        <v>424</v>
      </c>
      <c r="D64" s="2"/>
      <c r="E64" s="2"/>
      <c r="F64" s="2"/>
      <c r="G64" s="208"/>
      <c r="H64" s="208"/>
      <c r="I64" s="236" t="s">
        <v>523</v>
      </c>
      <c r="J64" s="195" t="s">
        <v>138</v>
      </c>
      <c r="K64" s="1197">
        <f>K62+K63</f>
        <v>57.905014500000007</v>
      </c>
      <c r="L64" s="1198"/>
      <c r="M64" s="3" t="s">
        <v>168</v>
      </c>
      <c r="R64" s="14"/>
      <c r="S64" s="14"/>
      <c r="T64" s="14"/>
      <c r="U64" s="293"/>
      <c r="V64" s="197"/>
    </row>
    <row r="65" spans="1:22" ht="18" customHeight="1">
      <c r="A65" s="96"/>
      <c r="B65" s="14"/>
      <c r="C65" s="120"/>
      <c r="D65" s="47"/>
      <c r="E65" s="47"/>
      <c r="F65" s="47"/>
      <c r="G65" s="47"/>
      <c r="H65" s="47"/>
      <c r="I65" s="47"/>
      <c r="J65" s="14"/>
      <c r="K65" s="28"/>
      <c r="L65" s="14"/>
      <c r="M65" s="14"/>
      <c r="N65" s="230"/>
      <c r="O65" s="230"/>
      <c r="P65" s="14"/>
      <c r="R65" s="14"/>
      <c r="S65" s="14"/>
      <c r="T65" s="14"/>
      <c r="U65" s="14"/>
      <c r="V65" s="197"/>
    </row>
    <row r="66" spans="1:22" ht="18" customHeight="1">
      <c r="A66" s="196"/>
      <c r="P66" s="479"/>
      <c r="R66" s="14"/>
      <c r="S66" s="14"/>
      <c r="T66" s="14"/>
      <c r="U66" s="198"/>
      <c r="V66" s="197"/>
    </row>
    <row r="67" spans="1:22" ht="18" customHeight="1">
      <c r="A67" s="196"/>
      <c r="B67" s="117" t="s">
        <v>793</v>
      </c>
      <c r="V67" s="197"/>
    </row>
    <row r="68" spans="1:22" ht="18" customHeight="1">
      <c r="A68" s="196"/>
      <c r="V68" s="197"/>
    </row>
    <row r="69" spans="1:22" ht="18" customHeight="1">
      <c r="A69" s="196"/>
      <c r="B69" s="14" t="s">
        <v>794</v>
      </c>
      <c r="C69" s="14"/>
      <c r="D69" s="120"/>
      <c r="J69" s="28" t="s">
        <v>138</v>
      </c>
      <c r="K69" s="47" t="s">
        <v>792</v>
      </c>
      <c r="M69" s="47"/>
      <c r="N69" s="47"/>
      <c r="P69" s="102" t="s">
        <v>353</v>
      </c>
      <c r="Q69" s="30" t="s">
        <v>795</v>
      </c>
      <c r="R69" s="14"/>
      <c r="V69" s="197"/>
    </row>
    <row r="70" spans="1:22" ht="18" customHeight="1">
      <c r="A70" s="196"/>
      <c r="B70" s="14"/>
      <c r="C70" s="14"/>
      <c r="D70" s="120"/>
      <c r="J70" s="28" t="s">
        <v>138</v>
      </c>
      <c r="K70" s="641">
        <f>K62</f>
        <v>30.87</v>
      </c>
      <c r="L70" s="638"/>
      <c r="M70" s="102" t="s">
        <v>353</v>
      </c>
      <c r="N70" s="641">
        <f>K52/SQRT(3)*1000</f>
        <v>63.508529610858844</v>
      </c>
      <c r="O70" s="638"/>
      <c r="V70" s="197"/>
    </row>
    <row r="71" spans="1:22" ht="18" customHeight="1">
      <c r="A71" s="196"/>
      <c r="B71" s="14"/>
      <c r="C71" s="14"/>
      <c r="D71" s="120"/>
      <c r="J71" s="28" t="s">
        <v>138</v>
      </c>
      <c r="K71" s="911">
        <f>K70/N70</f>
        <v>0.48607644026955671</v>
      </c>
      <c r="L71" s="911"/>
      <c r="M71" s="47" t="s">
        <v>9</v>
      </c>
      <c r="N71" s="47"/>
      <c r="O71" s="14"/>
      <c r="P71" s="28"/>
      <c r="Q71" s="14"/>
      <c r="R71" s="14"/>
      <c r="V71" s="197"/>
    </row>
    <row r="72" spans="1:22" ht="18" customHeight="1">
      <c r="A72" s="196"/>
      <c r="V72" s="197"/>
    </row>
    <row r="73" spans="1:22" ht="18" customHeight="1">
      <c r="A73" s="196"/>
      <c r="B73" s="14" t="s">
        <v>796</v>
      </c>
      <c r="C73" s="14"/>
      <c r="D73" s="14"/>
      <c r="E73" s="14"/>
      <c r="F73" s="14"/>
      <c r="G73" s="14"/>
      <c r="H73" s="14"/>
      <c r="I73" s="47"/>
      <c r="J73" s="28" t="s">
        <v>138</v>
      </c>
      <c r="K73" s="638" t="s">
        <v>797</v>
      </c>
      <c r="L73" s="638"/>
      <c r="M73" s="28" t="s">
        <v>326</v>
      </c>
      <c r="N73" s="47" t="s">
        <v>798</v>
      </c>
      <c r="O73" s="14"/>
      <c r="P73" s="28"/>
      <c r="V73" s="197"/>
    </row>
    <row r="74" spans="1:22" ht="18" customHeight="1">
      <c r="A74" s="196"/>
      <c r="J74" s="28" t="s">
        <v>138</v>
      </c>
      <c r="K74" s="639">
        <f>K71*K71</f>
        <v>0.23627030578512392</v>
      </c>
      <c r="L74" s="639"/>
      <c r="M74" s="28" t="s">
        <v>326</v>
      </c>
      <c r="N74" s="637">
        <f>N33</f>
        <v>2.7035014500000001</v>
      </c>
      <c r="O74" s="637"/>
      <c r="V74" s="197"/>
    </row>
    <row r="75" spans="1:22" ht="18" customHeight="1">
      <c r="A75" s="196"/>
      <c r="J75" s="28" t="s">
        <v>138</v>
      </c>
      <c r="K75" s="1163">
        <f>K74*N74</f>
        <v>0.63875711428202597</v>
      </c>
      <c r="L75" s="1163"/>
      <c r="M75" s="30" t="s">
        <v>168</v>
      </c>
      <c r="V75" s="197"/>
    </row>
    <row r="76" spans="1:22" ht="18" customHeight="1">
      <c r="A76" s="196"/>
      <c r="V76" s="197"/>
    </row>
    <row r="77" spans="1:22" ht="18" customHeight="1">
      <c r="A77" s="196"/>
      <c r="B77" s="14" t="s">
        <v>799</v>
      </c>
      <c r="C77" s="14"/>
      <c r="D77" s="14"/>
      <c r="E77" s="28"/>
      <c r="F77" s="14"/>
      <c r="G77" s="14"/>
      <c r="H77" s="102"/>
      <c r="I77" s="47"/>
      <c r="J77" s="47"/>
      <c r="K77" s="14"/>
      <c r="V77" s="197"/>
    </row>
    <row r="78" spans="1:22" ht="18" customHeight="1">
      <c r="A78" s="196"/>
      <c r="B78" s="14"/>
      <c r="C78" s="14"/>
      <c r="D78" s="269"/>
      <c r="E78" s="120" t="s">
        <v>800</v>
      </c>
      <c r="F78" s="27" t="str">
        <f>IF(D79&gt;=G79,"&gt;","&lt;")</f>
        <v>&gt;</v>
      </c>
      <c r="G78" s="293" t="s">
        <v>131</v>
      </c>
      <c r="H78" s="230"/>
      <c r="J78" s="28"/>
      <c r="K78" s="230"/>
      <c r="V78" s="197"/>
    </row>
    <row r="79" spans="1:22" ht="18" customHeight="1">
      <c r="A79" s="196"/>
      <c r="D79" s="639">
        <f>H54</f>
        <v>100</v>
      </c>
      <c r="E79" s="639"/>
      <c r="F79" s="27" t="str">
        <f>F78</f>
        <v>&gt;</v>
      </c>
      <c r="G79" s="1163">
        <f>K64</f>
        <v>57.905014500000007</v>
      </c>
      <c r="H79" s="639"/>
      <c r="I79" s="14"/>
      <c r="J79" s="269"/>
      <c r="V79" s="197"/>
    </row>
    <row r="80" spans="1:22" ht="18" customHeight="1">
      <c r="A80" s="196"/>
      <c r="D80" s="211"/>
      <c r="E80" s="256" t="s">
        <v>801</v>
      </c>
      <c r="F80" s="27"/>
      <c r="G80" s="18" t="str">
        <f>IF(F78="&gt;","Suitably Dimensioned","Under Dimensioned")</f>
        <v>Suitably Dimensioned</v>
      </c>
      <c r="H80" s="27"/>
      <c r="I80" s="120"/>
      <c r="J80" s="27"/>
      <c r="K80" s="120"/>
      <c r="V80" s="197"/>
    </row>
    <row r="81" spans="1:23" ht="18" customHeight="1">
      <c r="A81" s="196"/>
      <c r="D81" s="211"/>
      <c r="E81" s="256"/>
      <c r="F81" s="27"/>
      <c r="G81" s="18"/>
      <c r="H81" s="27"/>
      <c r="I81" s="120"/>
      <c r="J81" s="27"/>
      <c r="K81" s="120"/>
      <c r="V81" s="197"/>
    </row>
    <row r="82" spans="1:23" ht="18" customHeight="1">
      <c r="A82" s="196"/>
      <c r="D82" s="211"/>
      <c r="E82" s="256"/>
      <c r="F82" s="27"/>
      <c r="G82" s="18"/>
      <c r="H82" s="27"/>
      <c r="I82" s="120"/>
      <c r="J82" s="27"/>
      <c r="K82" s="120"/>
      <c r="V82" s="197"/>
    </row>
    <row r="83" spans="1:23" ht="18" customHeight="1">
      <c r="A83" s="196"/>
      <c r="D83" s="211"/>
      <c r="E83" s="256"/>
      <c r="F83" s="27"/>
      <c r="G83" s="18"/>
      <c r="H83" s="27"/>
      <c r="I83" s="120"/>
      <c r="J83" s="27"/>
      <c r="K83" s="120"/>
      <c r="V83" s="197"/>
    </row>
    <row r="84" spans="1:23" ht="18" customHeight="1">
      <c r="A84" s="196"/>
      <c r="D84" s="211"/>
      <c r="E84" s="256"/>
      <c r="F84" s="27"/>
      <c r="G84" s="18"/>
      <c r="H84" s="27"/>
      <c r="I84" s="120"/>
      <c r="J84" s="27"/>
      <c r="K84" s="120"/>
      <c r="V84" s="197"/>
    </row>
    <row r="85" spans="1:23" ht="18.600000000000001" customHeight="1">
      <c r="A85" s="196"/>
      <c r="D85" s="211"/>
      <c r="E85" s="256"/>
      <c r="F85" s="27"/>
      <c r="G85" s="18"/>
      <c r="H85" s="27"/>
      <c r="I85" s="120"/>
      <c r="J85" s="27"/>
      <c r="K85" s="120"/>
      <c r="V85" s="197"/>
    </row>
    <row r="86" spans="1:23" ht="18" customHeight="1">
      <c r="A86" s="196"/>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1195"/>
      <c r="T87" s="1196"/>
      <c r="U87" s="207"/>
      <c r="V87" s="140"/>
    </row>
    <row r="88" spans="1:23" ht="18"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customHeight="1">
      <c r="A89" s="196"/>
      <c r="B89" s="656" t="str">
        <f>B48</f>
        <v>T15/T25</v>
      </c>
      <c r="C89" s="657"/>
      <c r="D89" s="696" t="s">
        <v>121</v>
      </c>
      <c r="E89" s="697"/>
      <c r="V89" s="197"/>
    </row>
    <row r="90" spans="1:23" ht="18" customHeight="1">
      <c r="A90" s="196"/>
      <c r="B90" s="656" t="str">
        <f>B49</f>
        <v>T16/T26</v>
      </c>
      <c r="C90" s="657"/>
      <c r="D90" s="1208"/>
      <c r="E90" s="1209"/>
      <c r="V90" s="197"/>
    </row>
    <row r="91" spans="1:23" ht="18" customHeight="1">
      <c r="A91" s="196"/>
      <c r="B91" s="656" t="str">
        <f>B50</f>
        <v>T17/T27</v>
      </c>
      <c r="C91" s="657"/>
      <c r="D91" s="654"/>
      <c r="E91" s="655"/>
      <c r="V91" s="197"/>
    </row>
    <row r="92" spans="1:23" ht="18" customHeight="1">
      <c r="A92" s="196"/>
      <c r="V92" s="197"/>
    </row>
    <row r="93" spans="1:23" ht="18" customHeight="1">
      <c r="A93" s="196"/>
      <c r="V93" s="197"/>
    </row>
    <row r="94" spans="1:23" ht="18" customHeight="1">
      <c r="A94" s="196"/>
      <c r="B94" s="30" t="s">
        <v>785</v>
      </c>
      <c r="H94" s="200">
        <v>33</v>
      </c>
      <c r="I94" s="201" t="s">
        <v>786</v>
      </c>
      <c r="J94" s="203" t="s">
        <v>353</v>
      </c>
      <c r="K94" s="122">
        <v>0.11</v>
      </c>
      <c r="L94" s="201" t="s">
        <v>786</v>
      </c>
      <c r="M94" s="30" t="s">
        <v>174</v>
      </c>
      <c r="V94" s="197"/>
    </row>
    <row r="95" spans="1:23" ht="18" customHeight="1">
      <c r="A95" s="196"/>
      <c r="B95" s="30" t="s">
        <v>787</v>
      </c>
      <c r="H95" s="656" t="s">
        <v>788</v>
      </c>
      <c r="I95" s="657"/>
      <c r="V95" s="197"/>
    </row>
    <row r="96" spans="1:23" ht="18" customHeight="1">
      <c r="A96" s="196"/>
      <c r="B96" s="30" t="s">
        <v>573</v>
      </c>
      <c r="H96" s="656">
        <v>100</v>
      </c>
      <c r="I96" s="657"/>
      <c r="J96" s="30" t="s">
        <v>168</v>
      </c>
      <c r="V96" s="197"/>
      <c r="W96" s="30" t="str">
        <f>G122</f>
        <v>Suitably Dimensioned</v>
      </c>
    </row>
    <row r="97" spans="1:22" ht="18" customHeight="1">
      <c r="A97" s="196"/>
      <c r="V97" s="197"/>
    </row>
    <row r="98" spans="1:22" ht="18" customHeight="1">
      <c r="A98" s="196"/>
      <c r="V98" s="197"/>
    </row>
    <row r="99" spans="1:22" ht="18" customHeight="1">
      <c r="A99" s="196"/>
      <c r="C99" s="141" t="s">
        <v>416</v>
      </c>
      <c r="D99" s="285"/>
      <c r="E99" s="511" t="s">
        <v>243</v>
      </c>
      <c r="F99" s="239"/>
      <c r="G99" s="239"/>
      <c r="H99" s="239"/>
      <c r="I99" s="145"/>
      <c r="J99" s="272" t="s">
        <v>138</v>
      </c>
      <c r="K99" s="688">
        <f>'CT-VT Burdens'!S77*12</f>
        <v>1.2000000000000002</v>
      </c>
      <c r="L99" s="689"/>
      <c r="M99" s="3" t="s">
        <v>168</v>
      </c>
      <c r="V99" s="197"/>
    </row>
    <row r="100" spans="1:22" ht="18" customHeight="1">
      <c r="A100" s="196"/>
      <c r="C100" s="96" t="s">
        <v>416</v>
      </c>
      <c r="D100" s="14"/>
      <c r="E100" s="308" t="s">
        <v>815</v>
      </c>
      <c r="F100" s="14"/>
      <c r="H100" s="211"/>
      <c r="I100" s="27"/>
      <c r="J100" s="101" t="s">
        <v>138</v>
      </c>
      <c r="K100" s="688">
        <f>'CT-VT Burdens'!S92*2</f>
        <v>0.75600000000000001</v>
      </c>
      <c r="L100" s="689"/>
      <c r="M100" s="214" t="s">
        <v>168</v>
      </c>
      <c r="V100" s="197"/>
    </row>
    <row r="101" spans="1:22" ht="18" customHeight="1">
      <c r="A101" s="196"/>
      <c r="C101" s="96" t="s">
        <v>416</v>
      </c>
      <c r="D101" s="14"/>
      <c r="E101" s="308" t="s">
        <v>571</v>
      </c>
      <c r="F101" s="14"/>
      <c r="H101" s="211"/>
      <c r="I101" s="27"/>
      <c r="J101" s="101" t="s">
        <v>138</v>
      </c>
      <c r="K101" s="688">
        <f>'CT-VT Burdens'!S76*16</f>
        <v>1.6</v>
      </c>
      <c r="L101" s="689"/>
      <c r="M101" s="214" t="s">
        <v>168</v>
      </c>
      <c r="V101" s="197"/>
    </row>
    <row r="102" spans="1:22" ht="18" customHeight="1">
      <c r="A102" s="196"/>
      <c r="C102" s="96" t="s">
        <v>416</v>
      </c>
      <c r="D102" s="14"/>
      <c r="E102" s="308" t="s">
        <v>816</v>
      </c>
      <c r="F102" s="14"/>
      <c r="H102" s="211"/>
      <c r="I102" s="27"/>
      <c r="J102" s="101" t="s">
        <v>138</v>
      </c>
      <c r="K102" s="688">
        <f>'CT-VT Burdens'!S48*12</f>
        <v>0.24</v>
      </c>
      <c r="L102" s="689"/>
      <c r="M102" s="214" t="s">
        <v>168</v>
      </c>
      <c r="V102" s="197"/>
    </row>
    <row r="103" spans="1:22" ht="18" customHeight="1">
      <c r="A103" s="196"/>
      <c r="B103" s="117"/>
      <c r="C103" s="96" t="s">
        <v>416</v>
      </c>
      <c r="D103" s="14"/>
      <c r="E103" s="47"/>
      <c r="F103" s="14"/>
      <c r="H103" s="211"/>
      <c r="I103" s="27"/>
      <c r="J103" s="101" t="s">
        <v>138</v>
      </c>
      <c r="K103" s="688"/>
      <c r="L103" s="689"/>
      <c r="M103" s="214" t="s">
        <v>168</v>
      </c>
      <c r="N103" s="14"/>
      <c r="O103" s="14"/>
      <c r="P103" s="28"/>
      <c r="Q103" s="211"/>
      <c r="R103" s="14"/>
      <c r="S103" s="14"/>
      <c r="T103" s="14"/>
      <c r="U103" s="14"/>
      <c r="V103" s="197"/>
    </row>
    <row r="104" spans="1:22" ht="18" customHeight="1">
      <c r="A104" s="196"/>
      <c r="C104" s="96" t="s">
        <v>792</v>
      </c>
      <c r="D104" s="14"/>
      <c r="E104" s="47"/>
      <c r="F104" s="14"/>
      <c r="H104" s="211"/>
      <c r="I104" s="27"/>
      <c r="J104" s="101" t="s">
        <v>138</v>
      </c>
      <c r="K104" s="644">
        <f>SUM(K99:L103)</f>
        <v>3.7960000000000003</v>
      </c>
      <c r="L104" s="645"/>
      <c r="M104" s="214" t="s">
        <v>168</v>
      </c>
      <c r="R104" s="14"/>
      <c r="S104" s="14"/>
      <c r="T104" s="14"/>
      <c r="U104" s="293"/>
      <c r="V104" s="197"/>
    </row>
    <row r="105" spans="1:22" ht="18" customHeight="1">
      <c r="A105" s="196"/>
      <c r="C105" s="196" t="s">
        <v>423</v>
      </c>
      <c r="D105" s="14"/>
      <c r="E105" s="14"/>
      <c r="F105" s="14"/>
      <c r="I105" s="27"/>
      <c r="J105" s="101" t="s">
        <v>138</v>
      </c>
      <c r="K105" s="1197">
        <f>'CT-VT Burdens'!S39*10</f>
        <v>27.035014500000003</v>
      </c>
      <c r="L105" s="1198"/>
      <c r="M105" s="309" t="s">
        <v>168</v>
      </c>
      <c r="R105" s="14"/>
      <c r="S105" s="14"/>
      <c r="T105" s="14"/>
      <c r="U105" s="293"/>
      <c r="V105" s="197"/>
    </row>
    <row r="106" spans="1:22" ht="18" customHeight="1">
      <c r="A106" s="196"/>
      <c r="C106" s="1" t="s">
        <v>424</v>
      </c>
      <c r="D106" s="2"/>
      <c r="E106" s="2"/>
      <c r="F106" s="2"/>
      <c r="G106" s="208"/>
      <c r="H106" s="208"/>
      <c r="I106" s="236" t="s">
        <v>523</v>
      </c>
      <c r="J106" s="195" t="s">
        <v>138</v>
      </c>
      <c r="K106" s="1197">
        <f>K104+K105</f>
        <v>30.831014500000002</v>
      </c>
      <c r="L106" s="1198"/>
      <c r="M106" s="3" t="s">
        <v>168</v>
      </c>
      <c r="R106" s="14"/>
      <c r="S106" s="14"/>
      <c r="T106" s="14"/>
      <c r="U106" s="293"/>
      <c r="V106" s="197"/>
    </row>
    <row r="107" spans="1:22" ht="18" customHeight="1">
      <c r="A107" s="96"/>
      <c r="B107" s="14"/>
      <c r="C107" s="120"/>
      <c r="D107" s="47"/>
      <c r="E107" s="47"/>
      <c r="F107" s="47"/>
      <c r="G107" s="47"/>
      <c r="H107" s="47"/>
      <c r="I107" s="47"/>
      <c r="J107" s="14"/>
      <c r="K107" s="28"/>
      <c r="L107" s="14"/>
      <c r="M107" s="14"/>
      <c r="N107" s="230"/>
      <c r="O107" s="230"/>
      <c r="P107" s="14"/>
      <c r="R107" s="14"/>
      <c r="S107" s="14"/>
      <c r="T107" s="14"/>
      <c r="U107" s="14"/>
      <c r="V107" s="197"/>
    </row>
    <row r="108" spans="1:22" ht="18" customHeight="1">
      <c r="A108" s="196"/>
      <c r="R108" s="14"/>
      <c r="S108" s="14"/>
      <c r="T108" s="14"/>
      <c r="U108" s="198"/>
      <c r="V108" s="197"/>
    </row>
    <row r="109" spans="1:22" ht="18" customHeight="1">
      <c r="A109" s="196"/>
      <c r="B109" s="117" t="s">
        <v>793</v>
      </c>
      <c r="V109" s="197"/>
    </row>
    <row r="110" spans="1:22" ht="18" customHeight="1">
      <c r="A110" s="196"/>
      <c r="V110" s="197"/>
    </row>
    <row r="111" spans="1:22" ht="18" customHeight="1">
      <c r="A111" s="196"/>
      <c r="B111" s="14" t="s">
        <v>794</v>
      </c>
      <c r="C111" s="14"/>
      <c r="D111" s="120"/>
      <c r="J111" s="28" t="s">
        <v>138</v>
      </c>
      <c r="K111" s="47" t="s">
        <v>792</v>
      </c>
      <c r="M111" s="47"/>
      <c r="N111" s="47"/>
      <c r="P111" s="102" t="s">
        <v>353</v>
      </c>
      <c r="Q111" s="30" t="s">
        <v>795</v>
      </c>
      <c r="R111" s="14"/>
      <c r="V111" s="197"/>
    </row>
    <row r="112" spans="1:22" ht="18" customHeight="1">
      <c r="A112" s="196"/>
      <c r="B112" s="14"/>
      <c r="C112" s="14"/>
      <c r="D112" s="120"/>
      <c r="J112" s="28" t="s">
        <v>138</v>
      </c>
      <c r="K112" s="641">
        <f>K104</f>
        <v>3.7960000000000003</v>
      </c>
      <c r="L112" s="638"/>
      <c r="M112" s="102" t="s">
        <v>353</v>
      </c>
      <c r="N112" s="641">
        <f>K94/SQRT(3)*1000</f>
        <v>63.508529610858844</v>
      </c>
      <c r="O112" s="638"/>
      <c r="V112" s="197"/>
    </row>
    <row r="113" spans="1:22" ht="18" customHeight="1">
      <c r="A113" s="196"/>
      <c r="B113" s="14"/>
      <c r="C113" s="14"/>
      <c r="D113" s="120"/>
      <c r="J113" s="28" t="s">
        <v>138</v>
      </c>
      <c r="K113" s="911">
        <f>K112/N112</f>
        <v>5.9771498777558704E-2</v>
      </c>
      <c r="L113" s="911"/>
      <c r="M113" s="47" t="s">
        <v>9</v>
      </c>
      <c r="N113" s="47"/>
      <c r="O113" s="14"/>
      <c r="P113" s="28"/>
      <c r="Q113" s="14"/>
      <c r="R113" s="14"/>
      <c r="V113" s="197"/>
    </row>
    <row r="114" spans="1:22" ht="18" customHeight="1">
      <c r="A114" s="196"/>
      <c r="V114" s="197"/>
    </row>
    <row r="115" spans="1:22" ht="18" customHeight="1">
      <c r="A115" s="196"/>
      <c r="B115" s="14" t="s">
        <v>796</v>
      </c>
      <c r="C115" s="14"/>
      <c r="D115" s="14"/>
      <c r="E115" s="14"/>
      <c r="F115" s="14"/>
      <c r="G115" s="14"/>
      <c r="H115" s="14"/>
      <c r="I115" s="47"/>
      <c r="J115" s="28" t="s">
        <v>138</v>
      </c>
      <c r="K115" s="638" t="s">
        <v>797</v>
      </c>
      <c r="L115" s="638"/>
      <c r="M115" s="28" t="s">
        <v>326</v>
      </c>
      <c r="N115" s="47" t="s">
        <v>798</v>
      </c>
      <c r="O115" s="14"/>
      <c r="P115" s="28"/>
      <c r="Q115" s="479"/>
      <c r="V115" s="197"/>
    </row>
    <row r="116" spans="1:22" ht="18" customHeight="1">
      <c r="A116" s="196"/>
      <c r="J116" s="28" t="s">
        <v>138</v>
      </c>
      <c r="K116" s="639">
        <f>K113*K113</f>
        <v>3.5726320661157015E-3</v>
      </c>
      <c r="L116" s="639"/>
      <c r="M116" s="28" t="s">
        <v>326</v>
      </c>
      <c r="N116" s="637">
        <f>N74</f>
        <v>2.7035014500000001</v>
      </c>
      <c r="O116" s="637"/>
      <c r="V116" s="197"/>
    </row>
    <row r="117" spans="1:22" ht="18" customHeight="1">
      <c r="A117" s="196"/>
      <c r="J117" s="28" t="s">
        <v>138</v>
      </c>
      <c r="K117" s="1163">
        <f>K116*N116</f>
        <v>9.6586159710602953E-3</v>
      </c>
      <c r="L117" s="1163"/>
      <c r="M117" s="30" t="s">
        <v>168</v>
      </c>
      <c r="V117" s="197"/>
    </row>
    <row r="118" spans="1:22" ht="18" customHeight="1">
      <c r="A118" s="196"/>
      <c r="V118" s="197"/>
    </row>
    <row r="119" spans="1:22" ht="18" customHeight="1">
      <c r="A119" s="196"/>
      <c r="B119" s="14" t="s">
        <v>799</v>
      </c>
      <c r="C119" s="14"/>
      <c r="D119" s="14"/>
      <c r="E119" s="28"/>
      <c r="F119" s="14"/>
      <c r="G119" s="14"/>
      <c r="H119" s="102"/>
      <c r="I119" s="47"/>
      <c r="J119" s="47"/>
      <c r="K119" s="14"/>
      <c r="V119" s="197"/>
    </row>
    <row r="120" spans="1:22" ht="18" customHeight="1">
      <c r="A120" s="196"/>
      <c r="B120" s="14"/>
      <c r="C120" s="14"/>
      <c r="D120" s="269"/>
      <c r="E120" s="120" t="s">
        <v>800</v>
      </c>
      <c r="F120" s="27" t="str">
        <f>IF(D121&gt;=G121,"&gt;","&lt;")</f>
        <v>&gt;</v>
      </c>
      <c r="G120" s="293" t="s">
        <v>131</v>
      </c>
      <c r="H120" s="230"/>
      <c r="J120" s="28"/>
      <c r="K120" s="230"/>
      <c r="V120" s="197"/>
    </row>
    <row r="121" spans="1:22" ht="18" customHeight="1">
      <c r="A121" s="196"/>
      <c r="D121" s="639">
        <f>H96</f>
        <v>100</v>
      </c>
      <c r="E121" s="639"/>
      <c r="F121" s="27" t="str">
        <f>F120</f>
        <v>&gt;</v>
      </c>
      <c r="G121" s="1163">
        <f>K106</f>
        <v>30.831014500000002</v>
      </c>
      <c r="H121" s="639"/>
      <c r="I121" s="14"/>
      <c r="J121" s="269"/>
      <c r="V121" s="197"/>
    </row>
    <row r="122" spans="1:22" ht="18" customHeight="1">
      <c r="A122" s="196"/>
      <c r="D122" s="211"/>
      <c r="E122" s="256" t="s">
        <v>801</v>
      </c>
      <c r="F122" s="27"/>
      <c r="G122" s="18" t="str">
        <f>IF(F120="&gt;","Suitably Dimensioned","Under Dimensioned")</f>
        <v>Suitably Dimensioned</v>
      </c>
      <c r="H122" s="27"/>
      <c r="I122" s="120"/>
      <c r="J122" s="27"/>
      <c r="K122" s="120"/>
      <c r="V122" s="197"/>
    </row>
    <row r="123" spans="1:22" ht="18" customHeight="1">
      <c r="A123" s="196"/>
      <c r="D123" s="211"/>
      <c r="E123" s="256"/>
      <c r="F123" s="27"/>
      <c r="G123" s="18"/>
      <c r="H123" s="27"/>
      <c r="I123" s="120"/>
      <c r="J123" s="27"/>
      <c r="K123" s="120"/>
      <c r="V123" s="197"/>
    </row>
    <row r="124" spans="1:22" ht="18" customHeight="1">
      <c r="A124" s="196"/>
      <c r="D124" s="211"/>
      <c r="E124" s="256"/>
      <c r="F124" s="27"/>
      <c r="G124" s="18"/>
      <c r="H124" s="27"/>
      <c r="I124" s="120"/>
      <c r="J124" s="27"/>
      <c r="K124" s="120"/>
      <c r="V124" s="197"/>
    </row>
    <row r="125" spans="1:22" ht="18" customHeight="1">
      <c r="A125" s="196"/>
      <c r="D125" s="211"/>
      <c r="E125" s="256"/>
      <c r="F125" s="27"/>
      <c r="G125" s="18"/>
      <c r="H125" s="27"/>
      <c r="I125" s="120"/>
      <c r="J125" s="27"/>
      <c r="K125" s="120"/>
      <c r="V125" s="197"/>
    </row>
    <row r="126" spans="1:22" ht="18" customHeight="1">
      <c r="A126" s="196"/>
      <c r="D126" s="211"/>
      <c r="E126" s="256"/>
      <c r="F126" s="27"/>
      <c r="G126" s="18"/>
      <c r="H126" s="27"/>
      <c r="I126" s="120"/>
      <c r="J126" s="27"/>
      <c r="K126" s="120"/>
      <c r="V126" s="197"/>
    </row>
    <row r="127" spans="1:22" ht="18" customHeight="1">
      <c r="A127" s="196"/>
      <c r="V127" s="197"/>
    </row>
    <row r="128" spans="1:22" s="14" customFormat="1" ht="18" customHeight="1">
      <c r="A128" s="206"/>
      <c r="B128" s="207"/>
      <c r="C128" s="207"/>
      <c r="D128" s="207"/>
      <c r="E128" s="207"/>
      <c r="F128" s="207"/>
      <c r="G128" s="207"/>
      <c r="H128" s="207"/>
      <c r="I128" s="207"/>
      <c r="J128" s="207"/>
      <c r="K128" s="207"/>
      <c r="L128" s="207"/>
      <c r="M128" s="207"/>
      <c r="N128" s="207"/>
      <c r="O128" s="207"/>
      <c r="P128" s="207"/>
      <c r="Q128" s="236"/>
      <c r="R128" s="194"/>
      <c r="S128" s="1195"/>
      <c r="T128" s="1196"/>
      <c r="U128" s="207"/>
      <c r="V128" s="140"/>
    </row>
    <row r="129" spans="1:22" s="14" customFormat="1" ht="18" customHeight="1">
      <c r="A129" s="141"/>
      <c r="B129" s="285"/>
      <c r="C129" s="285"/>
      <c r="D129" s="285"/>
      <c r="E129" s="285"/>
      <c r="F129" s="285"/>
      <c r="G129" s="285"/>
      <c r="H129" s="285"/>
      <c r="I129" s="285"/>
      <c r="J129" s="285"/>
      <c r="K129" s="285"/>
      <c r="L129" s="285"/>
      <c r="M129" s="285"/>
      <c r="N129" s="285"/>
      <c r="O129" s="285"/>
      <c r="P129" s="285"/>
      <c r="Q129" s="286"/>
      <c r="R129" s="145"/>
      <c r="S129" s="287"/>
      <c r="T129" s="285"/>
      <c r="U129" s="285"/>
      <c r="V129" s="288"/>
    </row>
    <row r="130" spans="1:22" ht="18" customHeight="1">
      <c r="A130" s="96" t="s">
        <v>817</v>
      </c>
      <c r="V130" s="197"/>
    </row>
    <row r="131" spans="1:22" ht="18" customHeight="1">
      <c r="A131" s="660" t="s">
        <v>127</v>
      </c>
      <c r="B131" s="660"/>
      <c r="C131" s="660"/>
      <c r="D131" s="660"/>
      <c r="E131" s="660" t="s">
        <v>128</v>
      </c>
      <c r="F131" s="660"/>
      <c r="G131" s="660"/>
      <c r="H131" s="660"/>
      <c r="I131" s="660"/>
      <c r="J131" s="782" t="s">
        <v>129</v>
      </c>
      <c r="K131" s="782"/>
      <c r="L131" s="782" t="s">
        <v>100</v>
      </c>
      <c r="M131" s="782"/>
      <c r="N131" s="782" t="s">
        <v>112</v>
      </c>
      <c r="O131" s="782"/>
      <c r="P131" s="782"/>
      <c r="Q131" s="660" t="s">
        <v>805</v>
      </c>
      <c r="R131" s="660"/>
      <c r="S131" s="660"/>
      <c r="T131" s="660"/>
      <c r="U131" s="660"/>
      <c r="V131" s="660"/>
    </row>
    <row r="132" spans="1:22" ht="18" customHeight="1">
      <c r="A132" s="660"/>
      <c r="B132" s="660"/>
      <c r="C132" s="660"/>
      <c r="D132" s="660"/>
      <c r="E132" s="660"/>
      <c r="F132" s="660"/>
      <c r="G132" s="660"/>
      <c r="H132" s="660"/>
      <c r="I132" s="660"/>
      <c r="J132" s="782"/>
      <c r="K132" s="782"/>
      <c r="L132" s="782"/>
      <c r="M132" s="782"/>
      <c r="N132" s="782"/>
      <c r="O132" s="782"/>
      <c r="P132" s="782"/>
      <c r="Q132" s="660"/>
      <c r="R132" s="660"/>
      <c r="S132" s="660"/>
      <c r="T132" s="660"/>
      <c r="U132" s="660"/>
      <c r="V132" s="660"/>
    </row>
    <row r="133" spans="1:22" ht="18" customHeight="1">
      <c r="A133" s="660"/>
      <c r="B133" s="660"/>
      <c r="C133" s="660"/>
      <c r="D133" s="660"/>
      <c r="E133" s="1203"/>
      <c r="F133" s="1203"/>
      <c r="G133" s="660"/>
      <c r="H133" s="660"/>
      <c r="I133" s="660"/>
      <c r="J133" s="782"/>
      <c r="K133" s="782"/>
      <c r="L133" s="782"/>
      <c r="M133" s="782"/>
      <c r="N133" s="782"/>
      <c r="O133" s="782"/>
      <c r="P133" s="782"/>
      <c r="Q133" s="660"/>
      <c r="R133" s="660"/>
      <c r="S133" s="660"/>
      <c r="T133" s="660"/>
      <c r="U133" s="660"/>
      <c r="V133" s="660"/>
    </row>
    <row r="134" spans="1:22" ht="18" customHeight="1">
      <c r="A134" s="809" t="str">
        <f>B7&amp;","&amp;B8&amp;","&amp;B9</f>
        <v>T15/T25,T16/T26,T17/T27</v>
      </c>
      <c r="B134" s="810"/>
      <c r="C134" s="786" t="str">
        <f>D7</f>
        <v>Core1</v>
      </c>
      <c r="D134" s="787"/>
      <c r="E134" s="355">
        <f>H11</f>
        <v>33</v>
      </c>
      <c r="F134" s="258" t="str">
        <f>I11</f>
        <v>/ √3</v>
      </c>
      <c r="G134" s="356" t="s">
        <v>353</v>
      </c>
      <c r="H134" s="255">
        <f>K11</f>
        <v>0.11</v>
      </c>
      <c r="I134" s="258" t="str">
        <f>L11</f>
        <v>/ √3</v>
      </c>
      <c r="J134" s="802">
        <f>'CT-VT Burdens'!S37</f>
        <v>150</v>
      </c>
      <c r="K134" s="803">
        <f>'CT-VT Burdens'!S28</f>
        <v>2.5</v>
      </c>
      <c r="L134" s="649">
        <f>H12</f>
        <v>0.2</v>
      </c>
      <c r="M134" s="649"/>
      <c r="N134" s="649">
        <f>H13</f>
        <v>100</v>
      </c>
      <c r="O134" s="649"/>
      <c r="P134" s="649"/>
      <c r="Q134" s="649" t="str">
        <f>G39</f>
        <v>Suitably Dimensioned</v>
      </c>
      <c r="R134" s="649"/>
      <c r="S134" s="649"/>
      <c r="T134" s="649"/>
      <c r="U134" s="649"/>
      <c r="V134" s="649"/>
    </row>
    <row r="135" spans="1:22" ht="18" customHeight="1">
      <c r="A135" s="1210"/>
      <c r="B135" s="1211"/>
      <c r="C135" s="649" t="str">
        <f>D48</f>
        <v>Core2</v>
      </c>
      <c r="D135" s="649"/>
      <c r="E135" s="355">
        <f>H52</f>
        <v>33</v>
      </c>
      <c r="F135" s="258" t="str">
        <f>I52</f>
        <v>/ √3</v>
      </c>
      <c r="G135" s="480" t="s">
        <v>353</v>
      </c>
      <c r="H135" s="255">
        <f>K52</f>
        <v>0.11</v>
      </c>
      <c r="I135" s="258" t="str">
        <f>L52</f>
        <v>/ √3</v>
      </c>
      <c r="J135" s="802"/>
      <c r="K135" s="649"/>
      <c r="L135" s="649" t="str">
        <f>H53</f>
        <v>0.2/3P</v>
      </c>
      <c r="M135" s="649"/>
      <c r="N135" s="649">
        <f>H54</f>
        <v>100</v>
      </c>
      <c r="O135" s="649"/>
      <c r="P135" s="649"/>
      <c r="Q135" s="649" t="str">
        <f>G80</f>
        <v>Suitably Dimensioned</v>
      </c>
      <c r="R135" s="649"/>
      <c r="S135" s="649"/>
      <c r="T135" s="649"/>
      <c r="U135" s="649"/>
      <c r="V135" s="649"/>
    </row>
    <row r="136" spans="1:22" ht="18" customHeight="1">
      <c r="A136" s="1212"/>
      <c r="B136" s="1213"/>
      <c r="C136" s="649" t="str">
        <f>D89</f>
        <v>Core3</v>
      </c>
      <c r="D136" s="649"/>
      <c r="E136" s="355">
        <f>H94</f>
        <v>33</v>
      </c>
      <c r="F136" s="258" t="str">
        <f>I94</f>
        <v>/ √3</v>
      </c>
      <c r="G136" s="480" t="s">
        <v>353</v>
      </c>
      <c r="H136" s="255">
        <f>K94</f>
        <v>0.11</v>
      </c>
      <c r="I136" s="258" t="str">
        <f>L94</f>
        <v>/ √3</v>
      </c>
      <c r="J136" s="802"/>
      <c r="K136" s="649"/>
      <c r="L136" s="649" t="str">
        <f>H95</f>
        <v>0.2/3P</v>
      </c>
      <c r="M136" s="649"/>
      <c r="N136" s="649">
        <f>H96</f>
        <v>100</v>
      </c>
      <c r="O136" s="649"/>
      <c r="P136" s="649"/>
      <c r="Q136" s="649" t="str">
        <f>G122</f>
        <v>Suitably Dimensioned</v>
      </c>
      <c r="R136" s="649"/>
      <c r="S136" s="649"/>
      <c r="T136" s="649"/>
      <c r="U136" s="649"/>
      <c r="V136" s="649"/>
    </row>
    <row r="137" spans="1:22" ht="18" customHeight="1">
      <c r="A137" s="196"/>
      <c r="V137" s="197"/>
    </row>
    <row r="138" spans="1:22" ht="18" customHeight="1">
      <c r="A138" s="196"/>
      <c r="V138" s="197"/>
    </row>
    <row r="139" spans="1:22" ht="18" customHeight="1">
      <c r="A139" s="196"/>
      <c r="V139" s="197"/>
    </row>
    <row r="140" spans="1:22" ht="18" customHeight="1">
      <c r="A140" s="196"/>
      <c r="V140" s="197"/>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s="14" customFormat="1" ht="18" customHeight="1">
      <c r="A169" s="206"/>
      <c r="B169" s="207"/>
      <c r="C169" s="207"/>
      <c r="D169" s="207"/>
      <c r="E169" s="207"/>
      <c r="F169" s="207"/>
      <c r="G169" s="207"/>
      <c r="H169" s="207"/>
      <c r="I169" s="207"/>
      <c r="J169" s="207"/>
      <c r="K169" s="207"/>
      <c r="L169" s="207"/>
      <c r="M169" s="207"/>
      <c r="N169" s="207"/>
      <c r="O169" s="207"/>
      <c r="P169" s="207"/>
      <c r="Q169" s="236"/>
      <c r="R169" s="194"/>
      <c r="S169" s="1195"/>
      <c r="T169" s="1196"/>
      <c r="U169" s="207"/>
      <c r="V169" s="140"/>
    </row>
  </sheetData>
  <mergeCells count="111">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K16:L16"/>
    <mergeCell ref="K17:L17"/>
    <mergeCell ref="K18:L18"/>
    <mergeCell ref="K19:L19"/>
    <mergeCell ref="K20:L20"/>
    <mergeCell ref="K21:L21"/>
    <mergeCell ref="B7:C7"/>
    <mergeCell ref="D7:E9"/>
    <mergeCell ref="B8:C8"/>
    <mergeCell ref="B9:C9"/>
    <mergeCell ref="H12:I12"/>
    <mergeCell ref="H13:I13"/>
    <mergeCell ref="K33:L33"/>
    <mergeCell ref="N33:O33"/>
    <mergeCell ref="K34:L34"/>
    <mergeCell ref="D38:E38"/>
    <mergeCell ref="G38:H38"/>
    <mergeCell ref="S46:T46"/>
    <mergeCell ref="K22:L22"/>
    <mergeCell ref="K23:L23"/>
    <mergeCell ref="K29:L29"/>
    <mergeCell ref="N29:O29"/>
    <mergeCell ref="K30:L30"/>
    <mergeCell ref="K32:L32"/>
    <mergeCell ref="K57:L57"/>
    <mergeCell ref="K58:L58"/>
    <mergeCell ref="K59:L59"/>
    <mergeCell ref="K60:L60"/>
    <mergeCell ref="K61:L61"/>
    <mergeCell ref="K62:L62"/>
    <mergeCell ref="B48:C48"/>
    <mergeCell ref="D48:E50"/>
    <mergeCell ref="B49:C49"/>
    <mergeCell ref="B50:C50"/>
    <mergeCell ref="H53:I53"/>
    <mergeCell ref="H54:I54"/>
    <mergeCell ref="K74:L74"/>
    <mergeCell ref="N74:O74"/>
    <mergeCell ref="K75:L75"/>
    <mergeCell ref="D79:E79"/>
    <mergeCell ref="G79:H79"/>
    <mergeCell ref="S87:T87"/>
    <mergeCell ref="K63:L63"/>
    <mergeCell ref="K64:L64"/>
    <mergeCell ref="K70:L70"/>
    <mergeCell ref="N70:O70"/>
    <mergeCell ref="K71:L71"/>
    <mergeCell ref="K73:L73"/>
    <mergeCell ref="K101:L101"/>
    <mergeCell ref="K102:L102"/>
    <mergeCell ref="K103:L103"/>
    <mergeCell ref="K104:L104"/>
    <mergeCell ref="K105:L105"/>
    <mergeCell ref="K106:L106"/>
    <mergeCell ref="B89:C89"/>
    <mergeCell ref="H95:I95"/>
    <mergeCell ref="H96:I96"/>
    <mergeCell ref="K99:L99"/>
    <mergeCell ref="K100:L100"/>
    <mergeCell ref="E131:I133"/>
    <mergeCell ref="J131:K133"/>
    <mergeCell ref="L131:M133"/>
    <mergeCell ref="N131:P133"/>
    <mergeCell ref="Q131:V133"/>
    <mergeCell ref="K112:L112"/>
    <mergeCell ref="N112:O112"/>
    <mergeCell ref="K113:L113"/>
    <mergeCell ref="K115:L115"/>
    <mergeCell ref="K116:L116"/>
    <mergeCell ref="N116:O116"/>
    <mergeCell ref="S169:T169"/>
    <mergeCell ref="D89:E91"/>
    <mergeCell ref="B90:C90"/>
    <mergeCell ref="B91:C91"/>
    <mergeCell ref="Q134:V134"/>
    <mergeCell ref="C135:D135"/>
    <mergeCell ref="L135:M135"/>
    <mergeCell ref="N135:P135"/>
    <mergeCell ref="Q135:V135"/>
    <mergeCell ref="C136:D136"/>
    <mergeCell ref="L136:M136"/>
    <mergeCell ref="N136:P136"/>
    <mergeCell ref="Q136:V136"/>
    <mergeCell ref="A134:B136"/>
    <mergeCell ref="C134:D134"/>
    <mergeCell ref="J134:J136"/>
    <mergeCell ref="K134:K136"/>
    <mergeCell ref="L134:M134"/>
    <mergeCell ref="N134:P134"/>
    <mergeCell ref="K117:L117"/>
    <mergeCell ref="D121:E121"/>
    <mergeCell ref="G121:H121"/>
    <mergeCell ref="S128:T128"/>
    <mergeCell ref="A131:D133"/>
  </mergeCells>
  <conditionalFormatting sqref="G39">
    <cfRule type="cellIs" dxfId="8" priority="3" stopIfTrue="1" operator="equal">
      <formula>"Under Dimentioned"</formula>
    </cfRule>
  </conditionalFormatting>
  <conditionalFormatting sqref="G80:G85">
    <cfRule type="cellIs" dxfId="7" priority="2" stopIfTrue="1" operator="equal">
      <formula>"Under Dimentioned"</formula>
    </cfRule>
  </conditionalFormatting>
  <conditionalFormatting sqref="G122:G126">
    <cfRule type="cellIs" dxfId="6" priority="1" stopIfTrue="1" operator="equal">
      <formula>"Under Dimentioned"</formula>
    </cfRule>
  </conditionalFormatting>
  <dataValidations disablePrompts="1" count="1">
    <dataValidation type="list" allowBlank="1" showInputMessage="1" showErrorMessage="1" sqref="D48 IZ89:IZ91 SV89:SV91 ACR89:ACR91 AMN89:AMN91 AWJ89:AWJ91 BGF89:BGF91 BQB89:BQB91 BZX89:BZX91 CJT89:CJT91 CTP89:CTP91 DDL89:DDL91 DNH89:DNH91 DXD89:DXD91 EGZ89:EGZ91 EQV89:EQV91 FAR89:FAR91 FKN89:FKN91 FUJ89:FUJ91 GEF89:GEF91 GOB89:GOB91 GXX89:GXX91 HHT89:HHT91 HRP89:HRP91 IBL89:IBL91 ILH89:ILH91 IVD89:IVD91 JEZ89:JEZ91 JOV89:JOV91 JYR89:JYR91 KIN89:KIN91 KSJ89:KSJ91 LCF89:LCF91 LMB89:LMB91 LVX89:LVX91 MFT89:MFT91 MPP89:MPP91 MZL89:MZL91 NJH89:NJH91 NTD89:NTD91 OCZ89:OCZ91 OMV89:OMV91 OWR89:OWR91 PGN89:PGN91 PQJ89:PQJ91 QAF89:QAF91 QKB89:QKB91 QTX89:QTX91 RDT89:RDT91 RNP89:RNP91 RXL89:RXL91 SHH89:SHH91 SRD89:SRD91 TAZ89:TAZ91 TKV89:TKV91 TUR89:TUR91 UEN89:UEN91 UOJ89:UOJ91 UYF89:UYF91 VIB89:VIB91 VRX89:VRX91 WBT89:WBT91 WLP89:WLP91 WVL89:WVL91 D65621 IZ65621 SV65621 ACR65621 AMN65621 AWJ65621 BGF65621 BQB65621 BZX65621 CJT65621 CTP65621 DDL65621 DNH65621 DXD65621 EGZ65621 EQV65621 FAR65621 FKN65621 FUJ65621 GEF65621 GOB65621 GXX65621 HHT65621 HRP65621 IBL65621 ILH65621 IVD65621 JEZ65621 JOV65621 JYR65621 KIN65621 KSJ65621 LCF65621 LMB65621 LVX65621 MFT65621 MPP65621 MZL65621 NJH65621 NTD65621 OCZ65621 OMV65621 OWR65621 PGN65621 PQJ65621 QAF65621 QKB65621 QTX65621 RDT65621 RNP65621 RXL65621 SHH65621 SRD65621 TAZ65621 TKV65621 TUR65621 UEN65621 UOJ65621 UYF65621 VIB65621 VRX65621 WBT65621 WLP65621 WVL65621 D131157 IZ131157 SV131157 ACR131157 AMN131157 AWJ131157 BGF131157 BQB131157 BZX131157 CJT131157 CTP131157 DDL131157 DNH131157 DXD131157 EGZ131157 EQV131157 FAR131157 FKN131157 FUJ131157 GEF131157 GOB131157 GXX131157 HHT131157 HRP131157 IBL131157 ILH131157 IVD131157 JEZ131157 JOV131157 JYR131157 KIN131157 KSJ131157 LCF131157 LMB131157 LVX131157 MFT131157 MPP131157 MZL131157 NJH131157 NTD131157 OCZ131157 OMV131157 OWR131157 PGN131157 PQJ131157 QAF131157 QKB131157 QTX131157 RDT131157 RNP131157 RXL131157 SHH131157 SRD131157 TAZ131157 TKV131157 TUR131157 UEN131157 UOJ131157 UYF131157 VIB131157 VRX131157 WBT131157 WLP131157 WVL131157 D196693 IZ196693 SV196693 ACR196693 AMN196693 AWJ196693 BGF196693 BQB196693 BZX196693 CJT196693 CTP196693 DDL196693 DNH196693 DXD196693 EGZ196693 EQV196693 FAR196693 FKN196693 FUJ196693 GEF196693 GOB196693 GXX196693 HHT196693 HRP196693 IBL196693 ILH196693 IVD196693 JEZ196693 JOV196693 JYR196693 KIN196693 KSJ196693 LCF196693 LMB196693 LVX196693 MFT196693 MPP196693 MZL196693 NJH196693 NTD196693 OCZ196693 OMV196693 OWR196693 PGN196693 PQJ196693 QAF196693 QKB196693 QTX196693 RDT196693 RNP196693 RXL196693 SHH196693 SRD196693 TAZ196693 TKV196693 TUR196693 UEN196693 UOJ196693 UYF196693 VIB196693 VRX196693 WBT196693 WLP196693 WVL196693 D262229 IZ262229 SV262229 ACR262229 AMN262229 AWJ262229 BGF262229 BQB262229 BZX262229 CJT262229 CTP262229 DDL262229 DNH262229 DXD262229 EGZ262229 EQV262229 FAR262229 FKN262229 FUJ262229 GEF262229 GOB262229 GXX262229 HHT262229 HRP262229 IBL262229 ILH262229 IVD262229 JEZ262229 JOV262229 JYR262229 KIN262229 KSJ262229 LCF262229 LMB262229 LVX262229 MFT262229 MPP262229 MZL262229 NJH262229 NTD262229 OCZ262229 OMV262229 OWR262229 PGN262229 PQJ262229 QAF262229 QKB262229 QTX262229 RDT262229 RNP262229 RXL262229 SHH262229 SRD262229 TAZ262229 TKV262229 TUR262229 UEN262229 UOJ262229 UYF262229 VIB262229 VRX262229 WBT262229 WLP262229 WVL262229 D327765 IZ327765 SV327765 ACR327765 AMN327765 AWJ327765 BGF327765 BQB327765 BZX327765 CJT327765 CTP327765 DDL327765 DNH327765 DXD327765 EGZ327765 EQV327765 FAR327765 FKN327765 FUJ327765 GEF327765 GOB327765 GXX327765 HHT327765 HRP327765 IBL327765 ILH327765 IVD327765 JEZ327765 JOV327765 JYR327765 KIN327765 KSJ327765 LCF327765 LMB327765 LVX327765 MFT327765 MPP327765 MZL327765 NJH327765 NTD327765 OCZ327765 OMV327765 OWR327765 PGN327765 PQJ327765 QAF327765 QKB327765 QTX327765 RDT327765 RNP327765 RXL327765 SHH327765 SRD327765 TAZ327765 TKV327765 TUR327765 UEN327765 UOJ327765 UYF327765 VIB327765 VRX327765 WBT327765 WLP327765 WVL327765 D393301 IZ393301 SV393301 ACR393301 AMN393301 AWJ393301 BGF393301 BQB393301 BZX393301 CJT393301 CTP393301 DDL393301 DNH393301 DXD393301 EGZ393301 EQV393301 FAR393301 FKN393301 FUJ393301 GEF393301 GOB393301 GXX393301 HHT393301 HRP393301 IBL393301 ILH393301 IVD393301 JEZ393301 JOV393301 JYR393301 KIN393301 KSJ393301 LCF393301 LMB393301 LVX393301 MFT393301 MPP393301 MZL393301 NJH393301 NTD393301 OCZ393301 OMV393301 OWR393301 PGN393301 PQJ393301 QAF393301 QKB393301 QTX393301 RDT393301 RNP393301 RXL393301 SHH393301 SRD393301 TAZ393301 TKV393301 TUR393301 UEN393301 UOJ393301 UYF393301 VIB393301 VRX393301 WBT393301 WLP393301 WVL393301 D458837 IZ458837 SV458837 ACR458837 AMN458837 AWJ458837 BGF458837 BQB458837 BZX458837 CJT458837 CTP458837 DDL458837 DNH458837 DXD458837 EGZ458837 EQV458837 FAR458837 FKN458837 FUJ458837 GEF458837 GOB458837 GXX458837 HHT458837 HRP458837 IBL458837 ILH458837 IVD458837 JEZ458837 JOV458837 JYR458837 KIN458837 KSJ458837 LCF458837 LMB458837 LVX458837 MFT458837 MPP458837 MZL458837 NJH458837 NTD458837 OCZ458837 OMV458837 OWR458837 PGN458837 PQJ458837 QAF458837 QKB458837 QTX458837 RDT458837 RNP458837 RXL458837 SHH458837 SRD458837 TAZ458837 TKV458837 TUR458837 UEN458837 UOJ458837 UYF458837 VIB458837 VRX458837 WBT458837 WLP458837 WVL458837 D524373 IZ524373 SV524373 ACR524373 AMN524373 AWJ524373 BGF524373 BQB524373 BZX524373 CJT524373 CTP524373 DDL524373 DNH524373 DXD524373 EGZ524373 EQV524373 FAR524373 FKN524373 FUJ524373 GEF524373 GOB524373 GXX524373 HHT524373 HRP524373 IBL524373 ILH524373 IVD524373 JEZ524373 JOV524373 JYR524373 KIN524373 KSJ524373 LCF524373 LMB524373 LVX524373 MFT524373 MPP524373 MZL524373 NJH524373 NTD524373 OCZ524373 OMV524373 OWR524373 PGN524373 PQJ524373 QAF524373 QKB524373 QTX524373 RDT524373 RNP524373 RXL524373 SHH524373 SRD524373 TAZ524373 TKV524373 TUR524373 UEN524373 UOJ524373 UYF524373 VIB524373 VRX524373 WBT524373 WLP524373 WVL524373 D589909 IZ589909 SV589909 ACR589909 AMN589909 AWJ589909 BGF589909 BQB589909 BZX589909 CJT589909 CTP589909 DDL589909 DNH589909 DXD589909 EGZ589909 EQV589909 FAR589909 FKN589909 FUJ589909 GEF589909 GOB589909 GXX589909 HHT589909 HRP589909 IBL589909 ILH589909 IVD589909 JEZ589909 JOV589909 JYR589909 KIN589909 KSJ589909 LCF589909 LMB589909 LVX589909 MFT589909 MPP589909 MZL589909 NJH589909 NTD589909 OCZ589909 OMV589909 OWR589909 PGN589909 PQJ589909 QAF589909 QKB589909 QTX589909 RDT589909 RNP589909 RXL589909 SHH589909 SRD589909 TAZ589909 TKV589909 TUR589909 UEN589909 UOJ589909 UYF589909 VIB589909 VRX589909 WBT589909 WLP589909 WVL589909 D655445 IZ655445 SV655445 ACR655445 AMN655445 AWJ655445 BGF655445 BQB655445 BZX655445 CJT655445 CTP655445 DDL655445 DNH655445 DXD655445 EGZ655445 EQV655445 FAR655445 FKN655445 FUJ655445 GEF655445 GOB655445 GXX655445 HHT655445 HRP655445 IBL655445 ILH655445 IVD655445 JEZ655445 JOV655445 JYR655445 KIN655445 KSJ655445 LCF655445 LMB655445 LVX655445 MFT655445 MPP655445 MZL655445 NJH655445 NTD655445 OCZ655445 OMV655445 OWR655445 PGN655445 PQJ655445 QAF655445 QKB655445 QTX655445 RDT655445 RNP655445 RXL655445 SHH655445 SRD655445 TAZ655445 TKV655445 TUR655445 UEN655445 UOJ655445 UYF655445 VIB655445 VRX655445 WBT655445 WLP655445 WVL655445 D720981 IZ720981 SV720981 ACR720981 AMN720981 AWJ720981 BGF720981 BQB720981 BZX720981 CJT720981 CTP720981 DDL720981 DNH720981 DXD720981 EGZ720981 EQV720981 FAR720981 FKN720981 FUJ720981 GEF720981 GOB720981 GXX720981 HHT720981 HRP720981 IBL720981 ILH720981 IVD720981 JEZ720981 JOV720981 JYR720981 KIN720981 KSJ720981 LCF720981 LMB720981 LVX720981 MFT720981 MPP720981 MZL720981 NJH720981 NTD720981 OCZ720981 OMV720981 OWR720981 PGN720981 PQJ720981 QAF720981 QKB720981 QTX720981 RDT720981 RNP720981 RXL720981 SHH720981 SRD720981 TAZ720981 TKV720981 TUR720981 UEN720981 UOJ720981 UYF720981 VIB720981 VRX720981 WBT720981 WLP720981 WVL720981 D786517 IZ786517 SV786517 ACR786517 AMN786517 AWJ786517 BGF786517 BQB786517 BZX786517 CJT786517 CTP786517 DDL786517 DNH786517 DXD786517 EGZ786517 EQV786517 FAR786517 FKN786517 FUJ786517 GEF786517 GOB786517 GXX786517 HHT786517 HRP786517 IBL786517 ILH786517 IVD786517 JEZ786517 JOV786517 JYR786517 KIN786517 KSJ786517 LCF786517 LMB786517 LVX786517 MFT786517 MPP786517 MZL786517 NJH786517 NTD786517 OCZ786517 OMV786517 OWR786517 PGN786517 PQJ786517 QAF786517 QKB786517 QTX786517 RDT786517 RNP786517 RXL786517 SHH786517 SRD786517 TAZ786517 TKV786517 TUR786517 UEN786517 UOJ786517 UYF786517 VIB786517 VRX786517 WBT786517 WLP786517 WVL786517 D852053 IZ852053 SV852053 ACR852053 AMN852053 AWJ852053 BGF852053 BQB852053 BZX852053 CJT852053 CTP852053 DDL852053 DNH852053 DXD852053 EGZ852053 EQV852053 FAR852053 FKN852053 FUJ852053 GEF852053 GOB852053 GXX852053 HHT852053 HRP852053 IBL852053 ILH852053 IVD852053 JEZ852053 JOV852053 JYR852053 KIN852053 KSJ852053 LCF852053 LMB852053 LVX852053 MFT852053 MPP852053 MZL852053 NJH852053 NTD852053 OCZ852053 OMV852053 OWR852053 PGN852053 PQJ852053 QAF852053 QKB852053 QTX852053 RDT852053 RNP852053 RXL852053 SHH852053 SRD852053 TAZ852053 TKV852053 TUR852053 UEN852053 UOJ852053 UYF852053 VIB852053 VRX852053 WBT852053 WLP852053 WVL852053 D917589 IZ917589 SV917589 ACR917589 AMN917589 AWJ917589 BGF917589 BQB917589 BZX917589 CJT917589 CTP917589 DDL917589 DNH917589 DXD917589 EGZ917589 EQV917589 FAR917589 FKN917589 FUJ917589 GEF917589 GOB917589 GXX917589 HHT917589 HRP917589 IBL917589 ILH917589 IVD917589 JEZ917589 JOV917589 JYR917589 KIN917589 KSJ917589 LCF917589 LMB917589 LVX917589 MFT917589 MPP917589 MZL917589 NJH917589 NTD917589 OCZ917589 OMV917589 OWR917589 PGN917589 PQJ917589 QAF917589 QKB917589 QTX917589 RDT917589 RNP917589 RXL917589 SHH917589 SRD917589 TAZ917589 TKV917589 TUR917589 UEN917589 UOJ917589 UYF917589 VIB917589 VRX917589 WBT917589 WLP917589 WVL917589 D983125 IZ983125 SV983125 ACR983125 AMN983125 AWJ983125 BGF983125 BQB983125 BZX983125 CJT983125 CTP983125 DDL983125 DNH983125 DXD983125 EGZ983125 EQV983125 FAR983125 FKN983125 FUJ983125 GEF983125 GOB983125 GXX983125 HHT983125 HRP983125 IBL983125 ILH983125 IVD983125 JEZ983125 JOV983125 JYR983125 KIN983125 KSJ983125 LCF983125 LMB983125 LVX983125 MFT983125 MPP983125 MZL983125 NJH983125 NTD983125 OCZ983125 OMV983125 OWR983125 PGN983125 PQJ983125 QAF983125 QKB983125 QTX983125 RDT983125 RNP983125 RXL983125 SHH983125 SRD983125 TAZ983125 TKV983125 TUR983125 UEN983125 UOJ983125 UYF983125 VIB983125 VRX983125 WBT983125 WLP983125 WVL983125 D7 IZ48:IZ50 SV48:SV50 ACR48:ACR50 AMN48:AMN50 AWJ48:AWJ50 BGF48:BGF50 BQB48:BQB50 BZX48:BZX50 CJT48:CJT50 CTP48:CTP50 DDL48:DDL50 DNH48:DNH50 DXD48:DXD50 EGZ48:EGZ50 EQV48:EQV50 FAR48:FAR50 FKN48:FKN50 FUJ48:FUJ50 GEF48:GEF50 GOB48:GOB50 GXX48:GXX50 HHT48:HHT50 HRP48:HRP50 IBL48:IBL50 ILH48:ILH50 IVD48:IVD50 JEZ48:JEZ50 JOV48:JOV50 JYR48:JYR50 KIN48:KIN50 KSJ48:KSJ50 LCF48:LCF50 LMB48:LMB50 LVX48:LVX50 MFT48:MFT50 MPP48:MPP50 MZL48:MZL50 NJH48:NJH50 NTD48:NTD50 OCZ48:OCZ50 OMV48:OMV50 OWR48:OWR50 PGN48:PGN50 PQJ48:PQJ50 QAF48:QAF50 QKB48:QKB50 QTX48:QTX50 RDT48:RDT50 RNP48:RNP50 RXL48:RXL50 SHH48:SHH50 SRD48:SRD50 TAZ48:TAZ50 TKV48:TKV50 TUR48:TUR50 UEN48:UEN50 UOJ48:UOJ50 UYF48:UYF50 VIB48:VIB50 VRX48:VRX50 WBT48:WBT50 WLP48:WLP50 WVL48:WVL50 D65579 IZ65579 SV65579 ACR65579 AMN65579 AWJ65579 BGF65579 BQB65579 BZX65579 CJT65579 CTP65579 DDL65579 DNH65579 DXD65579 EGZ65579 EQV65579 FAR65579 FKN65579 FUJ65579 GEF65579 GOB65579 GXX65579 HHT65579 HRP65579 IBL65579 ILH65579 IVD65579 JEZ65579 JOV65579 JYR65579 KIN65579 KSJ65579 LCF65579 LMB65579 LVX65579 MFT65579 MPP65579 MZL65579 NJH65579 NTD65579 OCZ65579 OMV65579 OWR65579 PGN65579 PQJ65579 QAF65579 QKB65579 QTX65579 RDT65579 RNP65579 RXL65579 SHH65579 SRD65579 TAZ65579 TKV65579 TUR65579 UEN65579 UOJ65579 UYF65579 VIB65579 VRX65579 WBT65579 WLP65579 WVL65579 D131115 IZ131115 SV131115 ACR131115 AMN131115 AWJ131115 BGF131115 BQB131115 BZX131115 CJT131115 CTP131115 DDL131115 DNH131115 DXD131115 EGZ131115 EQV131115 FAR131115 FKN131115 FUJ131115 GEF131115 GOB131115 GXX131115 HHT131115 HRP131115 IBL131115 ILH131115 IVD131115 JEZ131115 JOV131115 JYR131115 KIN131115 KSJ131115 LCF131115 LMB131115 LVX131115 MFT131115 MPP131115 MZL131115 NJH131115 NTD131115 OCZ131115 OMV131115 OWR131115 PGN131115 PQJ131115 QAF131115 QKB131115 QTX131115 RDT131115 RNP131115 RXL131115 SHH131115 SRD131115 TAZ131115 TKV131115 TUR131115 UEN131115 UOJ131115 UYF131115 VIB131115 VRX131115 WBT131115 WLP131115 WVL131115 D196651 IZ196651 SV196651 ACR196651 AMN196651 AWJ196651 BGF196651 BQB196651 BZX196651 CJT196651 CTP196651 DDL196651 DNH196651 DXD196651 EGZ196651 EQV196651 FAR196651 FKN196651 FUJ196651 GEF196651 GOB196651 GXX196651 HHT196651 HRP196651 IBL196651 ILH196651 IVD196651 JEZ196651 JOV196651 JYR196651 KIN196651 KSJ196651 LCF196651 LMB196651 LVX196651 MFT196651 MPP196651 MZL196651 NJH196651 NTD196651 OCZ196651 OMV196651 OWR196651 PGN196651 PQJ196651 QAF196651 QKB196651 QTX196651 RDT196651 RNP196651 RXL196651 SHH196651 SRD196651 TAZ196651 TKV196651 TUR196651 UEN196651 UOJ196651 UYF196651 VIB196651 VRX196651 WBT196651 WLP196651 WVL196651 D262187 IZ262187 SV262187 ACR262187 AMN262187 AWJ262187 BGF262187 BQB262187 BZX262187 CJT262187 CTP262187 DDL262187 DNH262187 DXD262187 EGZ262187 EQV262187 FAR262187 FKN262187 FUJ262187 GEF262187 GOB262187 GXX262187 HHT262187 HRP262187 IBL262187 ILH262187 IVD262187 JEZ262187 JOV262187 JYR262187 KIN262187 KSJ262187 LCF262187 LMB262187 LVX262187 MFT262187 MPP262187 MZL262187 NJH262187 NTD262187 OCZ262187 OMV262187 OWR262187 PGN262187 PQJ262187 QAF262187 QKB262187 QTX262187 RDT262187 RNP262187 RXL262187 SHH262187 SRD262187 TAZ262187 TKV262187 TUR262187 UEN262187 UOJ262187 UYF262187 VIB262187 VRX262187 WBT262187 WLP262187 WVL262187 D327723 IZ327723 SV327723 ACR327723 AMN327723 AWJ327723 BGF327723 BQB327723 BZX327723 CJT327723 CTP327723 DDL327723 DNH327723 DXD327723 EGZ327723 EQV327723 FAR327723 FKN327723 FUJ327723 GEF327723 GOB327723 GXX327723 HHT327723 HRP327723 IBL327723 ILH327723 IVD327723 JEZ327723 JOV327723 JYR327723 KIN327723 KSJ327723 LCF327723 LMB327723 LVX327723 MFT327723 MPP327723 MZL327723 NJH327723 NTD327723 OCZ327723 OMV327723 OWR327723 PGN327723 PQJ327723 QAF327723 QKB327723 QTX327723 RDT327723 RNP327723 RXL327723 SHH327723 SRD327723 TAZ327723 TKV327723 TUR327723 UEN327723 UOJ327723 UYF327723 VIB327723 VRX327723 WBT327723 WLP327723 WVL327723 D393259 IZ393259 SV393259 ACR393259 AMN393259 AWJ393259 BGF393259 BQB393259 BZX393259 CJT393259 CTP393259 DDL393259 DNH393259 DXD393259 EGZ393259 EQV393259 FAR393259 FKN393259 FUJ393259 GEF393259 GOB393259 GXX393259 HHT393259 HRP393259 IBL393259 ILH393259 IVD393259 JEZ393259 JOV393259 JYR393259 KIN393259 KSJ393259 LCF393259 LMB393259 LVX393259 MFT393259 MPP393259 MZL393259 NJH393259 NTD393259 OCZ393259 OMV393259 OWR393259 PGN393259 PQJ393259 QAF393259 QKB393259 QTX393259 RDT393259 RNP393259 RXL393259 SHH393259 SRD393259 TAZ393259 TKV393259 TUR393259 UEN393259 UOJ393259 UYF393259 VIB393259 VRX393259 WBT393259 WLP393259 WVL393259 D458795 IZ458795 SV458795 ACR458795 AMN458795 AWJ458795 BGF458795 BQB458795 BZX458795 CJT458795 CTP458795 DDL458795 DNH458795 DXD458795 EGZ458795 EQV458795 FAR458795 FKN458795 FUJ458795 GEF458795 GOB458795 GXX458795 HHT458795 HRP458795 IBL458795 ILH458795 IVD458795 JEZ458795 JOV458795 JYR458795 KIN458795 KSJ458795 LCF458795 LMB458795 LVX458795 MFT458795 MPP458795 MZL458795 NJH458795 NTD458795 OCZ458795 OMV458795 OWR458795 PGN458795 PQJ458795 QAF458795 QKB458795 QTX458795 RDT458795 RNP458795 RXL458795 SHH458795 SRD458795 TAZ458795 TKV458795 TUR458795 UEN458795 UOJ458795 UYF458795 VIB458795 VRX458795 WBT458795 WLP458795 WVL458795 D524331 IZ524331 SV524331 ACR524331 AMN524331 AWJ524331 BGF524331 BQB524331 BZX524331 CJT524331 CTP524331 DDL524331 DNH524331 DXD524331 EGZ524331 EQV524331 FAR524331 FKN524331 FUJ524331 GEF524331 GOB524331 GXX524331 HHT524331 HRP524331 IBL524331 ILH524331 IVD524331 JEZ524331 JOV524331 JYR524331 KIN524331 KSJ524331 LCF524331 LMB524331 LVX524331 MFT524331 MPP524331 MZL524331 NJH524331 NTD524331 OCZ524331 OMV524331 OWR524331 PGN524331 PQJ524331 QAF524331 QKB524331 QTX524331 RDT524331 RNP524331 RXL524331 SHH524331 SRD524331 TAZ524331 TKV524331 TUR524331 UEN524331 UOJ524331 UYF524331 VIB524331 VRX524331 WBT524331 WLP524331 WVL524331 D589867 IZ589867 SV589867 ACR589867 AMN589867 AWJ589867 BGF589867 BQB589867 BZX589867 CJT589867 CTP589867 DDL589867 DNH589867 DXD589867 EGZ589867 EQV589867 FAR589867 FKN589867 FUJ589867 GEF589867 GOB589867 GXX589867 HHT589867 HRP589867 IBL589867 ILH589867 IVD589867 JEZ589867 JOV589867 JYR589867 KIN589867 KSJ589867 LCF589867 LMB589867 LVX589867 MFT589867 MPP589867 MZL589867 NJH589867 NTD589867 OCZ589867 OMV589867 OWR589867 PGN589867 PQJ589867 QAF589867 QKB589867 QTX589867 RDT589867 RNP589867 RXL589867 SHH589867 SRD589867 TAZ589867 TKV589867 TUR589867 UEN589867 UOJ589867 UYF589867 VIB589867 VRX589867 WBT589867 WLP589867 WVL589867 D655403 IZ655403 SV655403 ACR655403 AMN655403 AWJ655403 BGF655403 BQB655403 BZX655403 CJT655403 CTP655403 DDL655403 DNH655403 DXD655403 EGZ655403 EQV655403 FAR655403 FKN655403 FUJ655403 GEF655403 GOB655403 GXX655403 HHT655403 HRP655403 IBL655403 ILH655403 IVD655403 JEZ655403 JOV655403 JYR655403 KIN655403 KSJ655403 LCF655403 LMB655403 LVX655403 MFT655403 MPP655403 MZL655403 NJH655403 NTD655403 OCZ655403 OMV655403 OWR655403 PGN655403 PQJ655403 QAF655403 QKB655403 QTX655403 RDT655403 RNP655403 RXL655403 SHH655403 SRD655403 TAZ655403 TKV655403 TUR655403 UEN655403 UOJ655403 UYF655403 VIB655403 VRX655403 WBT655403 WLP655403 WVL655403 D720939 IZ720939 SV720939 ACR720939 AMN720939 AWJ720939 BGF720939 BQB720939 BZX720939 CJT720939 CTP720939 DDL720939 DNH720939 DXD720939 EGZ720939 EQV720939 FAR720939 FKN720939 FUJ720939 GEF720939 GOB720939 GXX720939 HHT720939 HRP720939 IBL720939 ILH720939 IVD720939 JEZ720939 JOV720939 JYR720939 KIN720939 KSJ720939 LCF720939 LMB720939 LVX720939 MFT720939 MPP720939 MZL720939 NJH720939 NTD720939 OCZ720939 OMV720939 OWR720939 PGN720939 PQJ720939 QAF720939 QKB720939 QTX720939 RDT720939 RNP720939 RXL720939 SHH720939 SRD720939 TAZ720939 TKV720939 TUR720939 UEN720939 UOJ720939 UYF720939 VIB720939 VRX720939 WBT720939 WLP720939 WVL720939 D786475 IZ786475 SV786475 ACR786475 AMN786475 AWJ786475 BGF786475 BQB786475 BZX786475 CJT786475 CTP786475 DDL786475 DNH786475 DXD786475 EGZ786475 EQV786475 FAR786475 FKN786475 FUJ786475 GEF786475 GOB786475 GXX786475 HHT786475 HRP786475 IBL786475 ILH786475 IVD786475 JEZ786475 JOV786475 JYR786475 KIN786475 KSJ786475 LCF786475 LMB786475 LVX786475 MFT786475 MPP786475 MZL786475 NJH786475 NTD786475 OCZ786475 OMV786475 OWR786475 PGN786475 PQJ786475 QAF786475 QKB786475 QTX786475 RDT786475 RNP786475 RXL786475 SHH786475 SRD786475 TAZ786475 TKV786475 TUR786475 UEN786475 UOJ786475 UYF786475 VIB786475 VRX786475 WBT786475 WLP786475 WVL786475 D852011 IZ852011 SV852011 ACR852011 AMN852011 AWJ852011 BGF852011 BQB852011 BZX852011 CJT852011 CTP852011 DDL852011 DNH852011 DXD852011 EGZ852011 EQV852011 FAR852011 FKN852011 FUJ852011 GEF852011 GOB852011 GXX852011 HHT852011 HRP852011 IBL852011 ILH852011 IVD852011 JEZ852011 JOV852011 JYR852011 KIN852011 KSJ852011 LCF852011 LMB852011 LVX852011 MFT852011 MPP852011 MZL852011 NJH852011 NTD852011 OCZ852011 OMV852011 OWR852011 PGN852011 PQJ852011 QAF852011 QKB852011 QTX852011 RDT852011 RNP852011 RXL852011 SHH852011 SRD852011 TAZ852011 TKV852011 TUR852011 UEN852011 UOJ852011 UYF852011 VIB852011 VRX852011 WBT852011 WLP852011 WVL852011 D917547 IZ917547 SV917547 ACR917547 AMN917547 AWJ917547 BGF917547 BQB917547 BZX917547 CJT917547 CTP917547 DDL917547 DNH917547 DXD917547 EGZ917547 EQV917547 FAR917547 FKN917547 FUJ917547 GEF917547 GOB917547 GXX917547 HHT917547 HRP917547 IBL917547 ILH917547 IVD917547 JEZ917547 JOV917547 JYR917547 KIN917547 KSJ917547 LCF917547 LMB917547 LVX917547 MFT917547 MPP917547 MZL917547 NJH917547 NTD917547 OCZ917547 OMV917547 OWR917547 PGN917547 PQJ917547 QAF917547 QKB917547 QTX917547 RDT917547 RNP917547 RXL917547 SHH917547 SRD917547 TAZ917547 TKV917547 TUR917547 UEN917547 UOJ917547 UYF917547 VIB917547 VRX917547 WBT917547 WLP917547 WVL917547 D983083 IZ983083 SV983083 ACR983083 AMN983083 AWJ983083 BGF983083 BQB983083 BZX983083 CJT983083 CTP983083 DDL983083 DNH983083 DXD983083 EGZ983083 EQV983083 FAR983083 FKN983083 FUJ983083 GEF983083 GOB983083 GXX983083 HHT983083 HRP983083 IBL983083 ILH983083 IVD983083 JEZ983083 JOV983083 JYR983083 KIN983083 KSJ983083 LCF983083 LMB983083 LVX983083 MFT983083 MPP983083 MZL983083 NJH983083 NTD983083 OCZ983083 OMV983083 OWR983083 PGN983083 PQJ983083 QAF983083 QKB983083 QTX983083 RDT983083 RNP983083 RXL983083 SHH983083 SRD983083 TAZ983083 TKV983083 TUR983083 UEN983083 UOJ983083 UYF983083 VIB983083 VRX983083 WBT983083 WLP983083 WVL983083 WVL983044 IZ7:IZ9 SV7:SV9 ACR7:ACR9 AMN7:AMN9 AWJ7:AWJ9 BGF7:BGF9 BQB7:BQB9 BZX7:BZX9 CJT7:CJT9 CTP7:CTP9 DDL7:DDL9 DNH7:DNH9 DXD7:DXD9 EGZ7:EGZ9 EQV7:EQV9 FAR7:FAR9 FKN7:FKN9 FUJ7:FUJ9 GEF7:GEF9 GOB7:GOB9 GXX7:GXX9 HHT7:HHT9 HRP7:HRP9 IBL7:IBL9 ILH7:ILH9 IVD7:IVD9 JEZ7:JEZ9 JOV7:JOV9 JYR7:JYR9 KIN7:KIN9 KSJ7:KSJ9 LCF7:LCF9 LMB7:LMB9 LVX7:LVX9 MFT7:MFT9 MPP7:MPP9 MZL7:MZL9 NJH7:NJH9 NTD7:NTD9 OCZ7:OCZ9 OMV7:OMV9 OWR7:OWR9 PGN7:PGN9 PQJ7:PQJ9 QAF7:QAF9 QKB7:QKB9 QTX7:QTX9 RDT7:RDT9 RNP7:RNP9 RXL7:RXL9 SHH7:SHH9 SRD7:SRD9 TAZ7:TAZ9 TKV7:TKV9 TUR7:TUR9 UEN7:UEN9 UOJ7:UOJ9 UYF7:UYF9 VIB7:VIB9 VRX7:VRX9 WBT7:WBT9 WLP7:WLP9 WVL7:WVL9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D89" xr:uid="{E75E7BC8-DB13-4F64-8FFB-5EA347481D45}">
      <formula1>"Core1,Core2,Core3"</formula1>
    </dataValidation>
  </dataValidations>
  <printOptions horizontalCentered="1" verticalCentered="1"/>
  <pageMargins left="0.5" right="0.5" top="0.5" bottom="0.5" header="0" footer="0"/>
  <pageSetup paperSize="9" scale="99" orientation="portrait" r:id="rId1"/>
  <headerFooter alignWithMargins="0"/>
  <rowBreaks count="2" manualBreakCount="2">
    <brk id="46" max="21" man="1"/>
    <brk id="87"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230401" r:id="rId4" name="Button 1">
              <controlPr defaultSize="0" print="0" autoFill="0" autoPict="0" macro="[2]!Button1_Click">
                <anchor moveWithCells="1" sizeWithCells="1">
                  <from>
                    <xdr:col>22</xdr:col>
                    <xdr:colOff>0</xdr:colOff>
                    <xdr:row>1</xdr:row>
                    <xdr:rowOff>365760</xdr:rowOff>
                  </from>
                  <to>
                    <xdr:col>25</xdr:col>
                    <xdr:colOff>60960</xdr:colOff>
                    <xdr:row>3</xdr:row>
                    <xdr:rowOff>289560</xdr:rowOff>
                  </to>
                </anchor>
              </controlPr>
            </control>
          </mc:Choice>
        </mc:AlternateContent>
      </controls>
    </mc:Choice>
  </mc:AlternateContent>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46D47-F58B-435D-A3D9-CF2379CAFFA6}">
  <sheetPr>
    <tabColor indexed="43"/>
  </sheetPr>
  <dimension ref="A1:Y172"/>
  <sheetViews>
    <sheetView showZeros="0" view="pageBreakPreview" topLeftCell="A49" zoomScale="145" zoomScaleNormal="100" zoomScaleSheetLayoutView="145" workbookViewId="0">
      <selection activeCell="Q50" sqref="Q50"/>
    </sheetView>
  </sheetViews>
  <sheetFormatPr defaultColWidth="4.33203125" defaultRowHeight="18" customHeight="1"/>
  <cols>
    <col min="1" max="9" width="4.33203125" style="30"/>
    <col min="10" max="11" width="4.33203125" style="30" customWidth="1"/>
    <col min="12" max="16384" width="4.33203125" style="30"/>
  </cols>
  <sheetData>
    <row r="1" spans="1:24"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74" t="str">
        <f>Title!R1</f>
        <v>N-19957.1-DF5W</v>
      </c>
      <c r="S1" s="775"/>
      <c r="T1" s="775"/>
      <c r="U1" s="775"/>
      <c r="V1" s="776"/>
      <c r="W1" s="14"/>
      <c r="X1" s="14"/>
    </row>
    <row r="2" spans="1:24" ht="18" customHeight="1">
      <c r="A2" s="720"/>
      <c r="B2" s="721"/>
      <c r="C2" s="721"/>
      <c r="D2" s="721"/>
      <c r="E2" s="721"/>
      <c r="F2" s="721"/>
      <c r="G2" s="722"/>
      <c r="H2" s="729" t="str">
        <f>Title!H2</f>
        <v>ADEQUACY CHECK</v>
      </c>
      <c r="I2" s="730"/>
      <c r="J2" s="730"/>
      <c r="K2" s="730"/>
      <c r="L2" s="730"/>
      <c r="M2" s="730"/>
      <c r="N2" s="731"/>
      <c r="O2" s="702" t="str">
        <f>Title!O2</f>
        <v>Date</v>
      </c>
      <c r="P2" s="703"/>
      <c r="Q2" s="704"/>
      <c r="R2" s="777">
        <f>Title!R2</f>
        <v>46106</v>
      </c>
      <c r="S2" s="775"/>
      <c r="T2" s="775"/>
      <c r="U2" s="775"/>
      <c r="V2" s="776"/>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74" t="str">
        <f>Title!R3</f>
        <v>-</v>
      </c>
      <c r="S3" s="775"/>
      <c r="T3" s="775"/>
      <c r="U3" s="775"/>
      <c r="V3" s="776"/>
      <c r="W3" s="14"/>
      <c r="X3" s="14"/>
    </row>
    <row r="4" spans="1:24" ht="18" customHeight="1">
      <c r="A4" s="723"/>
      <c r="B4" s="724"/>
      <c r="C4" s="724"/>
      <c r="D4" s="724"/>
      <c r="E4" s="724"/>
      <c r="F4" s="724"/>
      <c r="G4" s="725"/>
      <c r="H4" s="738"/>
      <c r="I4" s="739"/>
      <c r="J4" s="739"/>
      <c r="K4" s="739"/>
      <c r="L4" s="739"/>
      <c r="M4" s="739"/>
      <c r="N4" s="740"/>
      <c r="O4" s="702" t="str">
        <f>Title!O4</f>
        <v>Revision No.</v>
      </c>
      <c r="P4" s="703"/>
      <c r="Q4" s="704"/>
      <c r="R4" s="774" t="str">
        <f>Title!R4</f>
        <v>A</v>
      </c>
      <c r="S4" s="775"/>
      <c r="T4" s="775"/>
      <c r="U4" s="775"/>
      <c r="V4" s="776"/>
      <c r="W4" s="14"/>
      <c r="X4" s="14"/>
    </row>
    <row r="5" spans="1:24" ht="18" customHeight="1">
      <c r="A5" s="708" t="str">
        <f>Title!A5</f>
        <v>Prep. By</v>
      </c>
      <c r="B5" s="709"/>
      <c r="C5" s="25" t="str">
        <f>Title!C5</f>
        <v>AP</v>
      </c>
      <c r="D5" s="708" t="str">
        <f>Title!D5</f>
        <v>Checked By</v>
      </c>
      <c r="E5" s="710"/>
      <c r="F5" s="709"/>
      <c r="G5" s="25" t="str">
        <f>Title!G5</f>
        <v>RB</v>
      </c>
      <c r="H5" s="711" t="s">
        <v>807</v>
      </c>
      <c r="I5" s="712"/>
      <c r="J5" s="712"/>
      <c r="K5" s="712"/>
      <c r="L5" s="712"/>
      <c r="M5" s="712"/>
      <c r="N5" s="713"/>
      <c r="O5" s="714" t="str">
        <f>Title!O5</f>
        <v>Contractor</v>
      </c>
      <c r="P5" s="715"/>
      <c r="Q5" s="716"/>
      <c r="R5" s="774" t="str">
        <f>Title!R5</f>
        <v>HITACHI</v>
      </c>
      <c r="S5" s="775"/>
      <c r="T5" s="775"/>
      <c r="U5" s="775"/>
      <c r="V5" s="776"/>
      <c r="W5" s="14"/>
      <c r="X5" s="14"/>
    </row>
    <row r="6" spans="1:24" ht="18" customHeight="1">
      <c r="A6" s="196"/>
      <c r="V6" s="197"/>
    </row>
    <row r="7" spans="1:24" ht="18" customHeight="1">
      <c r="A7" s="196"/>
      <c r="B7" s="894" t="s">
        <v>818</v>
      </c>
      <c r="C7" s="894"/>
      <c r="D7" s="894" t="s">
        <v>396</v>
      </c>
      <c r="E7" s="894"/>
      <c r="V7" s="197"/>
    </row>
    <row r="8" spans="1:24" ht="18" customHeight="1">
      <c r="A8" s="196"/>
      <c r="B8" s="894" t="s">
        <v>819</v>
      </c>
      <c r="C8" s="894"/>
      <c r="D8" s="894"/>
      <c r="E8" s="894"/>
      <c r="V8" s="197"/>
    </row>
    <row r="9" spans="1:24" ht="18" customHeight="1">
      <c r="A9" s="196"/>
      <c r="B9" s="894" t="s">
        <v>820</v>
      </c>
      <c r="C9" s="894"/>
      <c r="D9" s="894"/>
      <c r="E9" s="894"/>
      <c r="V9" s="197"/>
    </row>
    <row r="10" spans="1:24" ht="18" customHeight="1">
      <c r="A10" s="196"/>
      <c r="V10" s="197"/>
    </row>
    <row r="11" spans="1:24" ht="18" customHeight="1">
      <c r="A11" s="196"/>
      <c r="B11" s="30" t="s">
        <v>785</v>
      </c>
      <c r="H11" s="200">
        <v>33</v>
      </c>
      <c r="I11" s="201" t="s">
        <v>786</v>
      </c>
      <c r="J11" s="203" t="s">
        <v>353</v>
      </c>
      <c r="K11" s="122">
        <v>0.11</v>
      </c>
      <c r="L11" s="201" t="s">
        <v>786</v>
      </c>
      <c r="M11" s="30" t="s">
        <v>174</v>
      </c>
      <c r="V11" s="197"/>
    </row>
    <row r="12" spans="1:24" ht="18" customHeight="1">
      <c r="A12" s="196"/>
      <c r="B12" s="30" t="s">
        <v>787</v>
      </c>
      <c r="H12" s="656" t="s">
        <v>806</v>
      </c>
      <c r="I12" s="657"/>
      <c r="V12" s="197"/>
    </row>
    <row r="13" spans="1:24" ht="18" customHeight="1">
      <c r="A13" s="196"/>
      <c r="B13" s="30" t="s">
        <v>573</v>
      </c>
      <c r="H13" s="656">
        <v>20</v>
      </c>
      <c r="I13" s="657"/>
      <c r="J13" s="30" t="s">
        <v>168</v>
      </c>
      <c r="V13" s="197"/>
      <c r="W13" s="30" t="str">
        <f>G39</f>
        <v>Suitably Dimensioned</v>
      </c>
    </row>
    <row r="14" spans="1:24" ht="18" customHeight="1">
      <c r="A14" s="196"/>
      <c r="V14" s="197"/>
    </row>
    <row r="15" spans="1:24" ht="18" customHeight="1">
      <c r="A15" s="196"/>
      <c r="V15" s="197"/>
    </row>
    <row r="16" spans="1:24" ht="18" customHeight="1">
      <c r="A16" s="196"/>
      <c r="C16" s="141" t="s">
        <v>416</v>
      </c>
      <c r="D16" s="285"/>
      <c r="E16" s="511" t="s">
        <v>519</v>
      </c>
      <c r="F16" s="239"/>
      <c r="G16" s="239"/>
      <c r="H16" s="239"/>
      <c r="I16" s="145"/>
      <c r="J16" s="272" t="s">
        <v>138</v>
      </c>
      <c r="K16" s="688">
        <f>'CT-VT Burdens'!S48</f>
        <v>0.02</v>
      </c>
      <c r="L16" s="689"/>
      <c r="M16" s="3" t="s">
        <v>168</v>
      </c>
      <c r="V16" s="197"/>
    </row>
    <row r="17" spans="1:25" ht="18" customHeight="1">
      <c r="A17" s="196"/>
      <c r="C17" s="96" t="s">
        <v>416</v>
      </c>
      <c r="D17" s="14"/>
      <c r="E17" s="30" t="s">
        <v>803</v>
      </c>
      <c r="F17" s="14"/>
      <c r="H17" s="211"/>
      <c r="I17" s="27"/>
      <c r="J17" s="101" t="s">
        <v>138</v>
      </c>
      <c r="K17" s="688">
        <f>'CT-VT Burdens'!S55</f>
        <v>0.05</v>
      </c>
      <c r="L17" s="689"/>
      <c r="M17" s="214" t="s">
        <v>168</v>
      </c>
      <c r="V17" s="197"/>
      <c r="Y17" s="308" t="s">
        <v>243</v>
      </c>
    </row>
    <row r="18" spans="1:25" ht="18" customHeight="1">
      <c r="A18" s="196"/>
      <c r="C18" s="96" t="s">
        <v>416</v>
      </c>
      <c r="D18" s="14"/>
      <c r="E18" s="30" t="s">
        <v>399</v>
      </c>
      <c r="F18" s="14"/>
      <c r="H18" s="211"/>
      <c r="I18" s="27"/>
      <c r="J18" s="101" t="s">
        <v>138</v>
      </c>
      <c r="K18" s="688">
        <f>'CT-VT Burdens'!S48</f>
        <v>0.02</v>
      </c>
      <c r="L18" s="689"/>
      <c r="M18" s="214" t="s">
        <v>168</v>
      </c>
      <c r="V18" s="197"/>
      <c r="Y18" s="308" t="s">
        <v>519</v>
      </c>
    </row>
    <row r="19" spans="1:25" ht="18" customHeight="1">
      <c r="A19" s="196"/>
      <c r="C19" s="96" t="s">
        <v>416</v>
      </c>
      <c r="D19" s="14"/>
      <c r="E19" s="30" t="s">
        <v>519</v>
      </c>
      <c r="F19" s="14"/>
      <c r="H19" s="211"/>
      <c r="I19" s="27"/>
      <c r="J19" s="101" t="s">
        <v>138</v>
      </c>
      <c r="K19" s="688">
        <f>'CT-VT Burdens'!S48</f>
        <v>0.02</v>
      </c>
      <c r="L19" s="689"/>
      <c r="M19" s="214" t="s">
        <v>168</v>
      </c>
      <c r="V19" s="197"/>
      <c r="Y19" s="308" t="s">
        <v>399</v>
      </c>
    </row>
    <row r="20" spans="1:25" ht="13.2">
      <c r="A20" s="196"/>
      <c r="B20" s="117"/>
      <c r="C20" s="196" t="s">
        <v>416</v>
      </c>
      <c r="D20" s="14"/>
      <c r="E20" s="308"/>
      <c r="F20" s="14"/>
      <c r="H20" s="211"/>
      <c r="I20" s="27"/>
      <c r="J20" s="101" t="s">
        <v>138</v>
      </c>
      <c r="K20" s="688"/>
      <c r="L20" s="689"/>
      <c r="M20" s="214" t="s">
        <v>168</v>
      </c>
      <c r="N20" s="14"/>
      <c r="O20" s="14"/>
      <c r="P20" s="28"/>
      <c r="Q20" s="211"/>
      <c r="R20" s="14"/>
      <c r="S20" s="14"/>
      <c r="T20" s="14"/>
      <c r="U20" s="14"/>
      <c r="V20" s="197"/>
    </row>
    <row r="21" spans="1:25" ht="18" customHeight="1">
      <c r="A21" s="196"/>
      <c r="C21" s="96" t="s">
        <v>792</v>
      </c>
      <c r="D21" s="14"/>
      <c r="E21" s="47"/>
      <c r="F21" s="14"/>
      <c r="H21" s="211"/>
      <c r="I21" s="27"/>
      <c r="J21" s="101" t="s">
        <v>138</v>
      </c>
      <c r="K21" s="644">
        <f>SUM(K16:L20)</f>
        <v>0.11000000000000001</v>
      </c>
      <c r="L21" s="645"/>
      <c r="M21" s="214" t="s">
        <v>168</v>
      </c>
      <c r="R21" s="14"/>
      <c r="S21" s="14"/>
      <c r="T21" s="14"/>
      <c r="U21" s="293"/>
      <c r="V21" s="197"/>
    </row>
    <row r="22" spans="1:25" ht="18" customHeight="1">
      <c r="A22" s="196"/>
      <c r="C22" s="196" t="s">
        <v>423</v>
      </c>
      <c r="D22" s="14"/>
      <c r="E22" s="14"/>
      <c r="F22" s="14"/>
      <c r="I22" s="27"/>
      <c r="J22" s="101" t="s">
        <v>138</v>
      </c>
      <c r="K22" s="1197">
        <f>'CT-VT Burdens'!S39</f>
        <v>2.7035014500000001</v>
      </c>
      <c r="L22" s="1198"/>
      <c r="M22" s="309" t="s">
        <v>168</v>
      </c>
      <c r="R22" s="14"/>
      <c r="S22" s="14"/>
      <c r="T22" s="14"/>
      <c r="U22" s="293"/>
      <c r="V22" s="197"/>
    </row>
    <row r="23" spans="1:25" ht="18" customHeight="1">
      <c r="A23" s="196"/>
      <c r="C23" s="1" t="s">
        <v>424</v>
      </c>
      <c r="D23" s="2"/>
      <c r="E23" s="2"/>
      <c r="F23" s="2"/>
      <c r="G23" s="208"/>
      <c r="H23" s="208"/>
      <c r="I23" s="236" t="s">
        <v>523</v>
      </c>
      <c r="J23" s="195" t="s">
        <v>138</v>
      </c>
      <c r="K23" s="1197">
        <f>K21+K22</f>
        <v>2.81350145</v>
      </c>
      <c r="L23" s="1198"/>
      <c r="M23" s="3" t="s">
        <v>168</v>
      </c>
      <c r="R23" s="14"/>
      <c r="S23" s="14"/>
      <c r="T23" s="14"/>
      <c r="U23" s="293"/>
      <c r="V23" s="197"/>
    </row>
    <row r="24" spans="1:25" ht="18" customHeight="1">
      <c r="A24" s="96"/>
      <c r="B24" s="14"/>
      <c r="C24" s="120"/>
      <c r="D24" s="47"/>
      <c r="E24" s="47"/>
      <c r="F24" s="47"/>
      <c r="G24" s="47"/>
      <c r="H24" s="47"/>
      <c r="I24" s="47"/>
      <c r="J24" s="14"/>
      <c r="K24" s="28"/>
      <c r="L24" s="14"/>
      <c r="M24" s="14"/>
      <c r="N24" s="230"/>
      <c r="O24" s="230"/>
      <c r="P24" s="14"/>
      <c r="R24" s="14"/>
      <c r="S24" s="14"/>
      <c r="T24" s="14"/>
      <c r="U24" s="14"/>
      <c r="V24" s="197"/>
    </row>
    <row r="25" spans="1:25" ht="18" customHeight="1">
      <c r="A25" s="196"/>
      <c r="P25" s="479"/>
      <c r="R25" s="14"/>
      <c r="S25" s="14"/>
      <c r="T25" s="14"/>
      <c r="U25" s="198"/>
      <c r="V25" s="197"/>
    </row>
    <row r="26" spans="1:25" ht="18" customHeight="1">
      <c r="A26" s="196"/>
      <c r="B26" s="116" t="s">
        <v>793</v>
      </c>
      <c r="V26" s="197"/>
    </row>
    <row r="27" spans="1:25" ht="18" customHeight="1">
      <c r="A27" s="196"/>
      <c r="V27" s="197"/>
    </row>
    <row r="28" spans="1:25" ht="18" customHeight="1">
      <c r="A28" s="196"/>
      <c r="B28" s="14" t="s">
        <v>794</v>
      </c>
      <c r="C28" s="14"/>
      <c r="D28" s="120"/>
      <c r="J28" s="28" t="s">
        <v>138</v>
      </c>
      <c r="K28" s="47" t="s">
        <v>792</v>
      </c>
      <c r="M28" s="47"/>
      <c r="N28" s="47"/>
      <c r="P28" s="102" t="s">
        <v>353</v>
      </c>
      <c r="Q28" s="30" t="s">
        <v>795</v>
      </c>
      <c r="R28" s="14"/>
      <c r="V28" s="197"/>
    </row>
    <row r="29" spans="1:25" ht="18" customHeight="1">
      <c r="A29" s="196"/>
      <c r="B29" s="14"/>
      <c r="C29" s="14"/>
      <c r="D29" s="120"/>
      <c r="J29" s="28" t="s">
        <v>138</v>
      </c>
      <c r="K29" s="641">
        <f>K21</f>
        <v>0.11000000000000001</v>
      </c>
      <c r="L29" s="638"/>
      <c r="M29" s="102" t="s">
        <v>353</v>
      </c>
      <c r="N29" s="641">
        <f>K11/SQRT(3)*1000</f>
        <v>63.508529610858844</v>
      </c>
      <c r="O29" s="638"/>
      <c r="V29" s="197"/>
    </row>
    <row r="30" spans="1:25" ht="18" customHeight="1">
      <c r="A30" s="196"/>
      <c r="B30" s="14"/>
      <c r="C30" s="14"/>
      <c r="D30" s="120"/>
      <c r="J30" s="28" t="s">
        <v>138</v>
      </c>
      <c r="K30" s="911">
        <f>K29/N29</f>
        <v>1.7320508075688772E-3</v>
      </c>
      <c r="L30" s="911"/>
      <c r="M30" s="47" t="s">
        <v>9</v>
      </c>
      <c r="N30" s="47"/>
      <c r="O30" s="14"/>
      <c r="P30" s="28"/>
      <c r="Q30" s="14"/>
      <c r="R30" s="14"/>
      <c r="V30" s="197"/>
    </row>
    <row r="31" spans="1:25" ht="18" customHeight="1">
      <c r="A31" s="196"/>
      <c r="V31" s="197"/>
    </row>
    <row r="32" spans="1:25" ht="18" customHeight="1">
      <c r="A32" s="196"/>
      <c r="B32" s="14" t="s">
        <v>796</v>
      </c>
      <c r="C32" s="14"/>
      <c r="D32" s="14"/>
      <c r="E32" s="14"/>
      <c r="F32" s="14"/>
      <c r="G32" s="14"/>
      <c r="H32" s="14"/>
      <c r="I32" s="47"/>
      <c r="J32" s="28" t="s">
        <v>138</v>
      </c>
      <c r="K32" s="638" t="s">
        <v>797</v>
      </c>
      <c r="L32" s="638"/>
      <c r="M32" s="28" t="s">
        <v>326</v>
      </c>
      <c r="N32" s="47" t="s">
        <v>798</v>
      </c>
      <c r="O32" s="14"/>
      <c r="P32" s="28"/>
      <c r="V32" s="197"/>
    </row>
    <row r="33" spans="1:22" ht="18" customHeight="1">
      <c r="A33" s="196"/>
      <c r="J33" s="28" t="s">
        <v>138</v>
      </c>
      <c r="K33" s="639">
        <f>K30*K30</f>
        <v>2.9999999999999997E-6</v>
      </c>
      <c r="L33" s="639"/>
      <c r="M33" s="28" t="s">
        <v>326</v>
      </c>
      <c r="N33" s="637">
        <f>'CT-VT Burdens'!S39</f>
        <v>2.7035014500000001</v>
      </c>
      <c r="O33" s="637"/>
      <c r="V33" s="197"/>
    </row>
    <row r="34" spans="1:22" ht="18" customHeight="1">
      <c r="A34" s="196"/>
      <c r="J34" s="28" t="s">
        <v>138</v>
      </c>
      <c r="K34" s="1163">
        <f>K33*N33</f>
        <v>8.1105043499999996E-6</v>
      </c>
      <c r="L34" s="1163"/>
      <c r="M34" s="30" t="s">
        <v>168</v>
      </c>
      <c r="V34" s="197"/>
    </row>
    <row r="35" spans="1:22" ht="18" customHeight="1">
      <c r="A35" s="196"/>
      <c r="V35" s="197"/>
    </row>
    <row r="36" spans="1:22" ht="18" customHeight="1">
      <c r="A36" s="196"/>
      <c r="B36" s="14" t="s">
        <v>799</v>
      </c>
      <c r="C36" s="14"/>
      <c r="D36" s="14"/>
      <c r="E36" s="28"/>
      <c r="F36" s="14"/>
      <c r="G36" s="14"/>
      <c r="H36" s="102"/>
      <c r="I36" s="47"/>
      <c r="J36" s="47"/>
      <c r="K36" s="14"/>
      <c r="V36" s="197"/>
    </row>
    <row r="37" spans="1:22" ht="18" customHeight="1">
      <c r="A37" s="196"/>
      <c r="B37" s="14"/>
      <c r="C37" s="14"/>
      <c r="D37" s="269"/>
      <c r="E37" s="120" t="s">
        <v>800</v>
      </c>
      <c r="F37" s="27" t="str">
        <f>IF(D38&gt;=G38,"&gt;","&lt;")</f>
        <v>&gt;</v>
      </c>
      <c r="G37" s="293" t="s">
        <v>131</v>
      </c>
      <c r="H37" s="230"/>
      <c r="J37" s="28"/>
      <c r="K37" s="230"/>
      <c r="V37" s="197"/>
    </row>
    <row r="38" spans="1:22" ht="18" customHeight="1">
      <c r="A38" s="196"/>
      <c r="D38" s="639">
        <f>H13</f>
        <v>20</v>
      </c>
      <c r="E38" s="639"/>
      <c r="F38" s="27" t="str">
        <f>F37</f>
        <v>&gt;</v>
      </c>
      <c r="G38" s="1163">
        <f>K23</f>
        <v>2.81350145</v>
      </c>
      <c r="H38" s="639"/>
      <c r="I38" s="14"/>
      <c r="J38" s="269"/>
      <c r="V38" s="197"/>
    </row>
    <row r="39" spans="1:22" ht="18" customHeight="1">
      <c r="A39" s="196"/>
      <c r="D39" s="211"/>
      <c r="E39" s="256" t="s">
        <v>801</v>
      </c>
      <c r="F39" s="27"/>
      <c r="G39" s="18" t="str">
        <f>IF(F37="&gt;","Suitably Dimensioned","Under Dimensioned")</f>
        <v>Suitably Dimensioned</v>
      </c>
      <c r="H39" s="27"/>
      <c r="I39" s="120"/>
      <c r="J39" s="27"/>
      <c r="K39" s="120"/>
      <c r="V39" s="197"/>
    </row>
    <row r="40" spans="1:22" ht="18" customHeight="1">
      <c r="A40" s="196"/>
      <c r="V40" s="197"/>
    </row>
    <row r="41" spans="1:22" ht="18" customHeight="1">
      <c r="A41" s="196"/>
      <c r="V41" s="197"/>
    </row>
    <row r="42" spans="1:22" ht="18" customHeight="1">
      <c r="A42" s="196"/>
      <c r="V42" s="197"/>
    </row>
    <row r="43" spans="1:22" ht="18" customHeight="1">
      <c r="A43" s="196"/>
      <c r="V43" s="197"/>
    </row>
    <row r="44" spans="1:22" ht="18" customHeight="1">
      <c r="A44" s="196"/>
      <c r="V44" s="197"/>
    </row>
    <row r="45" spans="1:22" ht="18" customHeight="1">
      <c r="A45" s="196"/>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1195"/>
      <c r="T46" s="1196"/>
      <c r="U46" s="207"/>
      <c r="V46" s="140"/>
    </row>
    <row r="47" spans="1:22"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2" ht="18" customHeight="1">
      <c r="A48" s="196"/>
      <c r="B48" s="894" t="s">
        <v>818</v>
      </c>
      <c r="C48" s="894"/>
      <c r="D48" s="894" t="s">
        <v>517</v>
      </c>
      <c r="E48" s="894"/>
      <c r="V48" s="197"/>
    </row>
    <row r="49" spans="1:23" ht="18" customHeight="1">
      <c r="A49" s="196"/>
      <c r="B49" s="894" t="s">
        <v>819</v>
      </c>
      <c r="C49" s="894"/>
      <c r="D49" s="894"/>
      <c r="E49" s="894"/>
      <c r="V49" s="197"/>
    </row>
    <row r="50" spans="1:23" ht="18" customHeight="1">
      <c r="A50" s="196"/>
      <c r="B50" s="894" t="s">
        <v>820</v>
      </c>
      <c r="C50" s="894"/>
      <c r="D50" s="894"/>
      <c r="E50" s="894"/>
      <c r="V50" s="197"/>
    </row>
    <row r="51" spans="1:23" ht="18" customHeight="1">
      <c r="A51" s="196"/>
      <c r="V51" s="197"/>
    </row>
    <row r="52" spans="1:23" ht="18" customHeight="1">
      <c r="A52" s="196"/>
      <c r="B52" s="30" t="s">
        <v>785</v>
      </c>
      <c r="H52" s="200">
        <v>33</v>
      </c>
      <c r="I52" s="201" t="s">
        <v>786</v>
      </c>
      <c r="J52" s="203" t="s">
        <v>353</v>
      </c>
      <c r="K52" s="122">
        <v>0.11</v>
      </c>
      <c r="L52" s="201" t="s">
        <v>786</v>
      </c>
      <c r="M52" s="30" t="s">
        <v>174</v>
      </c>
      <c r="V52" s="197"/>
    </row>
    <row r="53" spans="1:23" ht="18" customHeight="1">
      <c r="A53" s="196"/>
      <c r="B53" s="30" t="s">
        <v>787</v>
      </c>
      <c r="H53" s="656">
        <v>0.2</v>
      </c>
      <c r="I53" s="657"/>
      <c r="V53" s="197"/>
    </row>
    <row r="54" spans="1:23" ht="18" customHeight="1">
      <c r="A54" s="196"/>
      <c r="B54" s="30" t="s">
        <v>573</v>
      </c>
      <c r="H54" s="656">
        <v>10</v>
      </c>
      <c r="I54" s="657"/>
      <c r="J54" s="30" t="s">
        <v>168</v>
      </c>
      <c r="V54" s="197"/>
      <c r="W54" s="30" t="str">
        <f>G84</f>
        <v>Suitably Dimensioned</v>
      </c>
    </row>
    <row r="55" spans="1:23" ht="18" customHeight="1">
      <c r="A55" s="196"/>
      <c r="V55" s="197"/>
    </row>
    <row r="56" spans="1:23" ht="18" customHeight="1">
      <c r="A56" s="196"/>
      <c r="V56" s="197"/>
    </row>
    <row r="57" spans="1:23" ht="18" customHeight="1">
      <c r="A57" s="196"/>
      <c r="C57" s="141" t="s">
        <v>416</v>
      </c>
      <c r="D57" s="285"/>
      <c r="E57" s="511" t="s">
        <v>802</v>
      </c>
      <c r="F57" s="239"/>
      <c r="G57" s="239"/>
      <c r="H57" s="239"/>
      <c r="I57" s="145"/>
      <c r="J57" s="324" t="s">
        <v>138</v>
      </c>
      <c r="K57" s="688">
        <f>'CT-VT Burdens'!S96</f>
        <v>3.75</v>
      </c>
      <c r="L57" s="689"/>
      <c r="M57" s="3" t="s">
        <v>168</v>
      </c>
      <c r="V57" s="197"/>
    </row>
    <row r="58" spans="1:23" ht="18" customHeight="1">
      <c r="A58" s="196"/>
      <c r="C58" s="96" t="s">
        <v>416</v>
      </c>
      <c r="D58" s="14"/>
      <c r="E58" s="308" t="s">
        <v>205</v>
      </c>
      <c r="F58" s="14"/>
      <c r="H58" s="211"/>
      <c r="I58" s="27"/>
      <c r="J58" s="189" t="s">
        <v>138</v>
      </c>
      <c r="K58" s="1049">
        <f>'CT-VT Burdens'!S92</f>
        <v>0.378</v>
      </c>
      <c r="L58" s="1050"/>
      <c r="M58" s="214" t="s">
        <v>168</v>
      </c>
      <c r="V58" s="197"/>
    </row>
    <row r="59" spans="1:23" ht="18" customHeight="1">
      <c r="A59" s="196"/>
      <c r="C59" s="96" t="s">
        <v>416</v>
      </c>
      <c r="D59" s="14"/>
      <c r="E59" s="308"/>
      <c r="F59" s="14"/>
      <c r="H59" s="211"/>
      <c r="I59" s="27"/>
      <c r="J59" s="189" t="s">
        <v>138</v>
      </c>
      <c r="K59" s="688"/>
      <c r="L59" s="689"/>
      <c r="M59" s="214" t="s">
        <v>168</v>
      </c>
      <c r="V59" s="197"/>
    </row>
    <row r="60" spans="1:23" ht="18" customHeight="1">
      <c r="A60" s="196"/>
      <c r="C60" s="96" t="s">
        <v>416</v>
      </c>
      <c r="D60" s="14"/>
      <c r="E60" s="308"/>
      <c r="F60" s="14"/>
      <c r="H60" s="211"/>
      <c r="I60" s="27"/>
      <c r="J60" s="189" t="s">
        <v>138</v>
      </c>
      <c r="K60" s="688"/>
      <c r="L60" s="689"/>
      <c r="M60" s="214" t="s">
        <v>168</v>
      </c>
      <c r="V60" s="197"/>
    </row>
    <row r="61" spans="1:23" ht="18" customHeight="1">
      <c r="A61" s="196"/>
      <c r="B61" s="117"/>
      <c r="C61" s="96" t="s">
        <v>416</v>
      </c>
      <c r="D61" s="14"/>
      <c r="F61" s="14"/>
      <c r="H61" s="211"/>
      <c r="I61" s="27"/>
      <c r="J61" s="189" t="s">
        <v>138</v>
      </c>
      <c r="K61" s="688"/>
      <c r="L61" s="689"/>
      <c r="M61" s="214" t="s">
        <v>168</v>
      </c>
      <c r="N61" s="14"/>
      <c r="O61" s="14"/>
      <c r="P61" s="28"/>
      <c r="Q61" s="211"/>
      <c r="R61" s="14"/>
      <c r="S61" s="14"/>
      <c r="T61" s="14"/>
      <c r="U61" s="14"/>
      <c r="V61" s="197"/>
    </row>
    <row r="62" spans="1:23" ht="18" customHeight="1">
      <c r="A62" s="196"/>
      <c r="B62" s="117"/>
      <c r="C62" s="96" t="s">
        <v>416</v>
      </c>
      <c r="D62" s="14"/>
      <c r="F62" s="14"/>
      <c r="H62" s="211"/>
      <c r="I62" s="27"/>
      <c r="J62" s="189" t="s">
        <v>138</v>
      </c>
      <c r="K62" s="688"/>
      <c r="L62" s="684"/>
      <c r="M62" s="214" t="s">
        <v>168</v>
      </c>
      <c r="N62" s="14"/>
      <c r="O62" s="14"/>
      <c r="P62" s="28"/>
      <c r="Q62" s="211"/>
      <c r="R62" s="14"/>
      <c r="S62" s="14"/>
      <c r="T62" s="14"/>
      <c r="U62" s="14"/>
      <c r="V62" s="197"/>
    </row>
    <row r="63" spans="1:23" ht="18" customHeight="1">
      <c r="A63" s="196"/>
      <c r="B63" s="117"/>
      <c r="C63" s="96" t="s">
        <v>416</v>
      </c>
      <c r="D63" s="14"/>
      <c r="F63" s="14"/>
      <c r="H63" s="211"/>
      <c r="I63" s="27"/>
      <c r="J63" s="189" t="s">
        <v>138</v>
      </c>
      <c r="K63" s="688"/>
      <c r="L63" s="684"/>
      <c r="M63" s="214" t="s">
        <v>168</v>
      </c>
      <c r="N63" s="14"/>
      <c r="O63" s="14"/>
      <c r="P63" s="28"/>
      <c r="Q63" s="211"/>
      <c r="R63" s="14"/>
      <c r="S63" s="14"/>
      <c r="T63" s="14"/>
      <c r="U63" s="14"/>
      <c r="V63" s="197"/>
    </row>
    <row r="64" spans="1:23" ht="18" customHeight="1">
      <c r="A64" s="196"/>
      <c r="B64" s="117"/>
      <c r="C64" s="96" t="s">
        <v>416</v>
      </c>
      <c r="D64" s="14"/>
      <c r="F64" s="14"/>
      <c r="H64" s="211"/>
      <c r="I64" s="27"/>
      <c r="J64" s="189" t="s">
        <v>138</v>
      </c>
      <c r="K64" s="688"/>
      <c r="L64" s="684"/>
      <c r="M64" s="214" t="s">
        <v>168</v>
      </c>
      <c r="N64" s="14"/>
      <c r="O64" s="14"/>
      <c r="P64" s="28"/>
      <c r="Q64" s="211"/>
      <c r="R64" s="14"/>
      <c r="S64" s="14"/>
      <c r="T64" s="14"/>
      <c r="U64" s="14"/>
      <c r="V64" s="197"/>
    </row>
    <row r="65" spans="1:22" ht="18" customHeight="1">
      <c r="A65" s="196"/>
      <c r="B65" s="117"/>
      <c r="C65" s="96" t="s">
        <v>416</v>
      </c>
      <c r="D65" s="14"/>
      <c r="F65" s="14"/>
      <c r="H65" s="211"/>
      <c r="I65" s="27"/>
      <c r="J65" s="189" t="s">
        <v>138</v>
      </c>
      <c r="K65" s="212"/>
      <c r="L65" s="213"/>
      <c r="M65" s="214"/>
      <c r="N65" s="14"/>
      <c r="O65" s="14"/>
      <c r="P65" s="28"/>
      <c r="Q65" s="211"/>
      <c r="R65" s="14"/>
      <c r="S65" s="14"/>
      <c r="T65" s="14"/>
      <c r="U65" s="14"/>
      <c r="V65" s="197"/>
    </row>
    <row r="66" spans="1:22" ht="18" customHeight="1">
      <c r="A66" s="196"/>
      <c r="C66" s="96" t="s">
        <v>792</v>
      </c>
      <c r="D66" s="14"/>
      <c r="E66" s="47"/>
      <c r="F66" s="14"/>
      <c r="H66" s="211"/>
      <c r="I66" s="27"/>
      <c r="J66" s="101" t="s">
        <v>138</v>
      </c>
      <c r="K66" s="644">
        <f>SUM(K57:L64)</f>
        <v>4.1280000000000001</v>
      </c>
      <c r="L66" s="645"/>
      <c r="M66" s="214" t="s">
        <v>168</v>
      </c>
      <c r="R66" s="14"/>
      <c r="S66" s="14"/>
      <c r="T66" s="14"/>
      <c r="U66" s="293"/>
      <c r="V66" s="197"/>
    </row>
    <row r="67" spans="1:22" ht="18" customHeight="1">
      <c r="A67" s="196"/>
      <c r="C67" s="196" t="s">
        <v>423</v>
      </c>
      <c r="D67" s="14"/>
      <c r="E67" s="14"/>
      <c r="F67" s="14"/>
      <c r="I67" s="27"/>
      <c r="J67" s="101" t="s">
        <v>138</v>
      </c>
      <c r="K67" s="1197">
        <f>'CT-VT Burdens'!S39*1</f>
        <v>2.7035014500000001</v>
      </c>
      <c r="L67" s="1198"/>
      <c r="M67" s="309" t="s">
        <v>168</v>
      </c>
      <c r="R67" s="14"/>
      <c r="S67" s="14"/>
      <c r="T67" s="14"/>
      <c r="U67" s="293"/>
      <c r="V67" s="197"/>
    </row>
    <row r="68" spans="1:22" ht="18" customHeight="1">
      <c r="A68" s="196"/>
      <c r="C68" s="1" t="s">
        <v>424</v>
      </c>
      <c r="D68" s="2"/>
      <c r="E68" s="2"/>
      <c r="F68" s="2"/>
      <c r="G68" s="208"/>
      <c r="H68" s="208"/>
      <c r="I68" s="236" t="s">
        <v>523</v>
      </c>
      <c r="J68" s="195" t="s">
        <v>138</v>
      </c>
      <c r="K68" s="1197">
        <f>K66+K67</f>
        <v>6.8315014500000002</v>
      </c>
      <c r="L68" s="1198"/>
      <c r="M68" s="3" t="s">
        <v>168</v>
      </c>
      <c r="R68" s="14"/>
      <c r="S68" s="14"/>
      <c r="T68" s="14"/>
      <c r="U68" s="293"/>
      <c r="V68" s="197"/>
    </row>
    <row r="69" spans="1:22" ht="18" customHeight="1">
      <c r="A69" s="96"/>
      <c r="B69" s="14"/>
      <c r="C69" s="120"/>
      <c r="D69" s="47"/>
      <c r="E69" s="47"/>
      <c r="F69" s="47"/>
      <c r="G69" s="47"/>
      <c r="H69" s="47"/>
      <c r="I69" s="47"/>
      <c r="J69" s="14"/>
      <c r="K69" s="28"/>
      <c r="L69" s="14"/>
      <c r="M69" s="14"/>
      <c r="N69" s="230"/>
      <c r="O69" s="230"/>
      <c r="P69" s="14"/>
      <c r="R69" s="14"/>
      <c r="S69" s="14"/>
      <c r="T69" s="14"/>
      <c r="U69" s="14"/>
      <c r="V69" s="197"/>
    </row>
    <row r="70" spans="1:22" ht="18" customHeight="1">
      <c r="A70" s="196"/>
      <c r="P70" s="479"/>
      <c r="R70" s="14"/>
      <c r="S70" s="14"/>
      <c r="T70" s="14"/>
      <c r="U70" s="198"/>
      <c r="V70" s="197"/>
    </row>
    <row r="71" spans="1:22" ht="18" customHeight="1">
      <c r="A71" s="196"/>
      <c r="B71" s="117" t="s">
        <v>793</v>
      </c>
      <c r="V71" s="197"/>
    </row>
    <row r="72" spans="1:22" ht="18" customHeight="1">
      <c r="A72" s="196"/>
      <c r="V72" s="197"/>
    </row>
    <row r="73" spans="1:22" ht="18" customHeight="1">
      <c r="A73" s="196"/>
      <c r="B73" s="14" t="s">
        <v>794</v>
      </c>
      <c r="C73" s="14"/>
      <c r="D73" s="120"/>
      <c r="J73" s="28" t="s">
        <v>138</v>
      </c>
      <c r="K73" s="47" t="s">
        <v>792</v>
      </c>
      <c r="M73" s="47"/>
      <c r="N73" s="47"/>
      <c r="P73" s="102" t="s">
        <v>353</v>
      </c>
      <c r="Q73" s="30" t="s">
        <v>795</v>
      </c>
      <c r="R73" s="14"/>
      <c r="V73" s="197"/>
    </row>
    <row r="74" spans="1:22" ht="18" customHeight="1">
      <c r="A74" s="196"/>
      <c r="B74" s="14"/>
      <c r="C74" s="14"/>
      <c r="D74" s="120"/>
      <c r="J74" s="28" t="s">
        <v>138</v>
      </c>
      <c r="K74" s="641">
        <f>K66</f>
        <v>4.1280000000000001</v>
      </c>
      <c r="L74" s="638"/>
      <c r="M74" s="102" t="s">
        <v>353</v>
      </c>
      <c r="N74" s="641">
        <f>K52/SQRT(3)*1000</f>
        <v>63.508529610858844</v>
      </c>
      <c r="O74" s="638"/>
      <c r="V74" s="197"/>
    </row>
    <row r="75" spans="1:22" ht="18" customHeight="1">
      <c r="A75" s="196"/>
      <c r="B75" s="14"/>
      <c r="C75" s="14"/>
      <c r="D75" s="120"/>
      <c r="J75" s="28" t="s">
        <v>138</v>
      </c>
      <c r="K75" s="911">
        <f>K74/N74</f>
        <v>6.499914303313023E-2</v>
      </c>
      <c r="L75" s="911"/>
      <c r="M75" s="47" t="s">
        <v>9</v>
      </c>
      <c r="N75" s="47"/>
      <c r="O75" s="14"/>
      <c r="P75" s="28"/>
      <c r="Q75" s="14"/>
      <c r="R75" s="14"/>
      <c r="V75" s="197"/>
    </row>
    <row r="76" spans="1:22" ht="18" customHeight="1">
      <c r="A76" s="196"/>
      <c r="V76" s="197"/>
    </row>
    <row r="77" spans="1:22" ht="18" customHeight="1">
      <c r="A77" s="196"/>
      <c r="B77" s="14" t="s">
        <v>796</v>
      </c>
      <c r="C77" s="14"/>
      <c r="D77" s="14"/>
      <c r="E77" s="14"/>
      <c r="F77" s="14"/>
      <c r="G77" s="14"/>
      <c r="H77" s="14"/>
      <c r="I77" s="47"/>
      <c r="J77" s="28" t="s">
        <v>138</v>
      </c>
      <c r="K77" s="638" t="s">
        <v>797</v>
      </c>
      <c r="L77" s="638"/>
      <c r="M77" s="28" t="s">
        <v>326</v>
      </c>
      <c r="N77" s="47" t="s">
        <v>798</v>
      </c>
      <c r="O77" s="14"/>
      <c r="P77" s="28"/>
      <c r="V77" s="197"/>
    </row>
    <row r="78" spans="1:22" ht="18" customHeight="1">
      <c r="A78" s="196"/>
      <c r="J78" s="28" t="s">
        <v>138</v>
      </c>
      <c r="K78" s="639">
        <f>K75*K75</f>
        <v>4.2248885950413222E-3</v>
      </c>
      <c r="L78" s="639"/>
      <c r="M78" s="28" t="s">
        <v>326</v>
      </c>
      <c r="N78" s="637">
        <f>N33</f>
        <v>2.7035014500000001</v>
      </c>
      <c r="O78" s="637"/>
      <c r="V78" s="197"/>
    </row>
    <row r="79" spans="1:22" ht="18" customHeight="1">
      <c r="A79" s="196"/>
      <c r="J79" s="28" t="s">
        <v>138</v>
      </c>
      <c r="K79" s="1163">
        <f>K78*N78</f>
        <v>1.1421992442782677E-2</v>
      </c>
      <c r="L79" s="1163"/>
      <c r="M79" s="30" t="s">
        <v>168</v>
      </c>
      <c r="V79" s="197"/>
    </row>
    <row r="80" spans="1:22" ht="18" customHeight="1">
      <c r="A80" s="196"/>
      <c r="V80" s="197"/>
    </row>
    <row r="81" spans="1:23" ht="18" customHeight="1">
      <c r="A81" s="196"/>
      <c r="B81" s="14" t="s">
        <v>799</v>
      </c>
      <c r="C81" s="14"/>
      <c r="D81" s="14"/>
      <c r="E81" s="28"/>
      <c r="F81" s="14"/>
      <c r="G81" s="14"/>
      <c r="H81" s="102"/>
      <c r="I81" s="47"/>
      <c r="J81" s="47"/>
      <c r="K81" s="14"/>
      <c r="V81" s="197"/>
    </row>
    <row r="82" spans="1:23" ht="18" customHeight="1">
      <c r="A82" s="196"/>
      <c r="B82" s="14"/>
      <c r="C82" s="14"/>
      <c r="D82" s="269"/>
      <c r="E82" s="120" t="s">
        <v>800</v>
      </c>
      <c r="F82" s="27" t="str">
        <f>IF(D83&gt;=G83,"&gt;","&lt;")</f>
        <v>&gt;</v>
      </c>
      <c r="G82" s="293" t="s">
        <v>131</v>
      </c>
      <c r="H82" s="230"/>
      <c r="J82" s="28"/>
      <c r="K82" s="230"/>
      <c r="V82" s="197"/>
    </row>
    <row r="83" spans="1:23" ht="18" customHeight="1">
      <c r="A83" s="196"/>
      <c r="D83" s="639">
        <f>H54</f>
        <v>10</v>
      </c>
      <c r="E83" s="639"/>
      <c r="F83" s="27" t="str">
        <f>F82</f>
        <v>&gt;</v>
      </c>
      <c r="G83" s="1163">
        <f>K68</f>
        <v>6.8315014500000002</v>
      </c>
      <c r="H83" s="639"/>
      <c r="I83" s="14"/>
      <c r="J83" s="269"/>
      <c r="V83" s="197"/>
    </row>
    <row r="84" spans="1:23" ht="18" customHeight="1">
      <c r="A84" s="196"/>
      <c r="D84" s="211"/>
      <c r="E84" s="256" t="s">
        <v>801</v>
      </c>
      <c r="F84" s="27"/>
      <c r="G84" s="18" t="str">
        <f>IF(F82="&gt;","Suitably Dimensioned","Under Dimensioned")</f>
        <v>Suitably Dimensioned</v>
      </c>
      <c r="H84" s="27"/>
      <c r="I84" s="120"/>
      <c r="J84" s="27"/>
      <c r="K84" s="120"/>
      <c r="V84" s="197"/>
    </row>
    <row r="85" spans="1:23" ht="18" customHeight="1">
      <c r="A85" s="196"/>
      <c r="D85" s="211"/>
      <c r="E85" s="256"/>
      <c r="F85" s="27"/>
      <c r="G85" s="18"/>
      <c r="H85" s="27"/>
      <c r="I85" s="120"/>
      <c r="J85" s="27"/>
      <c r="K85" s="120"/>
      <c r="V85" s="197"/>
    </row>
    <row r="86" spans="1:23" ht="18" customHeight="1">
      <c r="A86" s="196"/>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1195"/>
      <c r="T87" s="1196"/>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656" t="s">
        <v>821</v>
      </c>
      <c r="C89" s="657"/>
      <c r="D89" s="894" t="s">
        <v>121</v>
      </c>
      <c r="E89" s="995"/>
      <c r="V89" s="197"/>
    </row>
    <row r="90" spans="1:23" ht="18" hidden="1" customHeight="1">
      <c r="A90" s="196"/>
      <c r="V90" s="197"/>
    </row>
    <row r="91" spans="1:23" ht="18" hidden="1" customHeight="1">
      <c r="A91" s="196"/>
      <c r="B91" s="30" t="s">
        <v>785</v>
      </c>
      <c r="H91" s="200">
        <v>33</v>
      </c>
      <c r="I91" s="201" t="s">
        <v>786</v>
      </c>
      <c r="J91" s="203" t="s">
        <v>353</v>
      </c>
      <c r="K91" s="122">
        <v>0.11</v>
      </c>
      <c r="L91" s="201" t="s">
        <v>786</v>
      </c>
      <c r="M91" s="30" t="s">
        <v>174</v>
      </c>
      <c r="V91" s="197"/>
    </row>
    <row r="92" spans="1:23" ht="18" hidden="1" customHeight="1">
      <c r="A92" s="196"/>
      <c r="B92" s="30" t="s">
        <v>787</v>
      </c>
      <c r="H92" s="656" t="s">
        <v>822</v>
      </c>
      <c r="I92" s="657"/>
      <c r="V92" s="197"/>
    </row>
    <row r="93" spans="1:23" ht="18" hidden="1" customHeight="1">
      <c r="A93" s="196"/>
      <c r="B93" s="30" t="s">
        <v>573</v>
      </c>
      <c r="H93" s="656">
        <v>50</v>
      </c>
      <c r="I93" s="657"/>
      <c r="J93" s="30" t="s">
        <v>168</v>
      </c>
      <c r="V93" s="197"/>
      <c r="W93" s="30" t="str">
        <f>G119</f>
        <v>Suitably Dimensioned</v>
      </c>
    </row>
    <row r="94" spans="1:23" ht="18" hidden="1" customHeight="1">
      <c r="A94" s="196"/>
      <c r="V94" s="197"/>
    </row>
    <row r="95" spans="1:23" ht="18" hidden="1" customHeight="1">
      <c r="A95" s="196"/>
      <c r="V95" s="197"/>
    </row>
    <row r="96" spans="1:23" ht="18" hidden="1" customHeight="1">
      <c r="A96" s="196"/>
      <c r="C96" s="141" t="s">
        <v>416</v>
      </c>
      <c r="D96" s="285"/>
      <c r="E96" s="146"/>
      <c r="F96" s="239"/>
      <c r="G96" s="239"/>
      <c r="H96" s="239"/>
      <c r="I96" s="145"/>
      <c r="J96" s="272" t="s">
        <v>138</v>
      </c>
      <c r="K96" s="688"/>
      <c r="L96" s="689"/>
      <c r="M96" s="3" t="s">
        <v>168</v>
      </c>
      <c r="V96" s="197"/>
    </row>
    <row r="97" spans="1:22" ht="18" hidden="1" customHeight="1">
      <c r="A97" s="196"/>
      <c r="C97" s="96" t="s">
        <v>416</v>
      </c>
      <c r="D97" s="14"/>
      <c r="E97" s="47"/>
      <c r="F97" s="14"/>
      <c r="H97" s="211"/>
      <c r="I97" s="27"/>
      <c r="J97" s="101" t="s">
        <v>138</v>
      </c>
      <c r="K97" s="688"/>
      <c r="L97" s="689"/>
      <c r="M97" s="214" t="s">
        <v>168</v>
      </c>
      <c r="V97" s="197"/>
    </row>
    <row r="98" spans="1:22" ht="18" hidden="1" customHeight="1">
      <c r="A98" s="196"/>
      <c r="C98" s="96" t="s">
        <v>416</v>
      </c>
      <c r="D98" s="14"/>
      <c r="E98" s="47"/>
      <c r="F98" s="14"/>
      <c r="H98" s="211"/>
      <c r="I98" s="27"/>
      <c r="J98" s="101" t="s">
        <v>138</v>
      </c>
      <c r="K98" s="688"/>
      <c r="L98" s="689"/>
      <c r="M98" s="214" t="s">
        <v>168</v>
      </c>
      <c r="V98" s="197"/>
    </row>
    <row r="99" spans="1:22" ht="18" hidden="1" customHeight="1">
      <c r="A99" s="196"/>
      <c r="C99" s="96" t="s">
        <v>416</v>
      </c>
      <c r="D99" s="14"/>
      <c r="E99" s="47"/>
      <c r="F99" s="14"/>
      <c r="H99" s="211"/>
      <c r="I99" s="27"/>
      <c r="J99" s="101" t="s">
        <v>138</v>
      </c>
      <c r="K99" s="688"/>
      <c r="L99" s="689"/>
      <c r="M99" s="214" t="s">
        <v>168</v>
      </c>
      <c r="V99" s="197"/>
    </row>
    <row r="100" spans="1:22" ht="18" hidden="1" customHeight="1">
      <c r="A100" s="196"/>
      <c r="B100" s="117"/>
      <c r="C100" s="96" t="s">
        <v>416</v>
      </c>
      <c r="D100" s="14"/>
      <c r="E100" s="47"/>
      <c r="F100" s="14"/>
      <c r="H100" s="211"/>
      <c r="I100" s="27"/>
      <c r="J100" s="101" t="s">
        <v>138</v>
      </c>
      <c r="K100" s="688">
        <v>4</v>
      </c>
      <c r="L100" s="689"/>
      <c r="M100" s="214" t="s">
        <v>168</v>
      </c>
      <c r="N100" s="14"/>
      <c r="O100" s="14"/>
      <c r="P100" s="28"/>
      <c r="Q100" s="211"/>
      <c r="R100" s="14"/>
      <c r="S100" s="14"/>
      <c r="T100" s="14"/>
      <c r="U100" s="14"/>
      <c r="V100" s="197"/>
    </row>
    <row r="101" spans="1:22" ht="18" hidden="1" customHeight="1">
      <c r="A101" s="196"/>
      <c r="C101" s="96" t="s">
        <v>792</v>
      </c>
      <c r="D101" s="14"/>
      <c r="E101" s="47"/>
      <c r="F101" s="14"/>
      <c r="H101" s="211"/>
      <c r="I101" s="27"/>
      <c r="J101" s="101" t="s">
        <v>138</v>
      </c>
      <c r="K101" s="644">
        <f>SUM(K96:L100)</f>
        <v>4</v>
      </c>
      <c r="L101" s="645"/>
      <c r="M101" s="214" t="s">
        <v>168</v>
      </c>
      <c r="R101" s="14"/>
      <c r="S101" s="14"/>
      <c r="T101" s="14"/>
      <c r="U101" s="293"/>
      <c r="V101" s="197"/>
    </row>
    <row r="102" spans="1:22" ht="18" hidden="1" customHeight="1">
      <c r="A102" s="196"/>
      <c r="C102" s="196" t="s">
        <v>423</v>
      </c>
      <c r="D102" s="14"/>
      <c r="E102" s="14"/>
      <c r="F102" s="14"/>
      <c r="I102" s="27"/>
      <c r="J102" s="101" t="s">
        <v>138</v>
      </c>
      <c r="K102" s="1197">
        <f>K114</f>
        <v>1.0724633851239665E-2</v>
      </c>
      <c r="L102" s="1198"/>
      <c r="M102" s="309" t="s">
        <v>168</v>
      </c>
      <c r="R102" s="14"/>
      <c r="S102" s="14"/>
      <c r="T102" s="14"/>
      <c r="U102" s="293"/>
      <c r="V102" s="197"/>
    </row>
    <row r="103" spans="1:22" ht="18" hidden="1" customHeight="1">
      <c r="A103" s="196"/>
      <c r="C103" s="1" t="s">
        <v>424</v>
      </c>
      <c r="D103" s="2"/>
      <c r="E103" s="2"/>
      <c r="F103" s="2"/>
      <c r="G103" s="208"/>
      <c r="H103" s="208"/>
      <c r="I103" s="236" t="s">
        <v>523</v>
      </c>
      <c r="J103" s="195" t="s">
        <v>138</v>
      </c>
      <c r="K103" s="1197">
        <f>K101+K102</f>
        <v>4.0107246338512397</v>
      </c>
      <c r="L103" s="1198"/>
      <c r="M103" s="3" t="s">
        <v>168</v>
      </c>
      <c r="R103" s="14"/>
      <c r="S103" s="14"/>
      <c r="T103" s="14"/>
      <c r="U103" s="293"/>
      <c r="V103" s="197"/>
    </row>
    <row r="104" spans="1:22" ht="18" hidden="1" customHeight="1">
      <c r="A104" s="96"/>
      <c r="B104" s="14"/>
      <c r="C104" s="120"/>
      <c r="D104" s="47"/>
      <c r="E104" s="47"/>
      <c r="F104" s="47"/>
      <c r="G104" s="47"/>
      <c r="H104" s="47"/>
      <c r="I104" s="47"/>
      <c r="J104" s="14"/>
      <c r="K104" s="28"/>
      <c r="L104" s="14"/>
      <c r="M104" s="14"/>
      <c r="N104" s="230"/>
      <c r="O104" s="230"/>
      <c r="P104" s="14"/>
      <c r="R104" s="14"/>
      <c r="S104" s="14"/>
      <c r="T104" s="14"/>
      <c r="U104" s="14"/>
      <c r="V104" s="197"/>
    </row>
    <row r="105" spans="1:22" ht="18" hidden="1" customHeight="1">
      <c r="A105" s="196"/>
      <c r="R105" s="14"/>
      <c r="S105" s="14"/>
      <c r="T105" s="14"/>
      <c r="U105" s="198"/>
      <c r="V105" s="197"/>
    </row>
    <row r="106" spans="1:22" ht="18" hidden="1" customHeight="1">
      <c r="A106" s="196"/>
      <c r="B106" s="117" t="s">
        <v>793</v>
      </c>
      <c r="V106" s="197"/>
    </row>
    <row r="107" spans="1:22" ht="18" hidden="1" customHeight="1">
      <c r="A107" s="196"/>
      <c r="V107" s="197"/>
    </row>
    <row r="108" spans="1:22" ht="18" hidden="1" customHeight="1">
      <c r="A108" s="196"/>
      <c r="B108" s="14" t="s">
        <v>794</v>
      </c>
      <c r="C108" s="14"/>
      <c r="D108" s="120"/>
      <c r="J108" s="28" t="s">
        <v>138</v>
      </c>
      <c r="K108" s="47" t="s">
        <v>792</v>
      </c>
      <c r="M108" s="47"/>
      <c r="N108" s="47"/>
      <c r="P108" s="102" t="s">
        <v>353</v>
      </c>
      <c r="Q108" s="30" t="s">
        <v>795</v>
      </c>
      <c r="R108" s="14"/>
      <c r="V108" s="197"/>
    </row>
    <row r="109" spans="1:22" ht="18" hidden="1" customHeight="1">
      <c r="A109" s="196"/>
      <c r="B109" s="14"/>
      <c r="C109" s="14"/>
      <c r="D109" s="120"/>
      <c r="J109" s="28" t="s">
        <v>138</v>
      </c>
      <c r="K109" s="641">
        <f>K101</f>
        <v>4</v>
      </c>
      <c r="L109" s="638"/>
      <c r="M109" s="102" t="s">
        <v>353</v>
      </c>
      <c r="N109" s="641">
        <f>K91/SQRT(3)*1000</f>
        <v>63.508529610858844</v>
      </c>
      <c r="O109" s="638"/>
      <c r="V109" s="197"/>
    </row>
    <row r="110" spans="1:22" ht="18" hidden="1" customHeight="1">
      <c r="A110" s="196"/>
      <c r="B110" s="14"/>
      <c r="C110" s="14"/>
      <c r="D110" s="120"/>
      <c r="J110" s="28" t="s">
        <v>138</v>
      </c>
      <c r="K110" s="911">
        <f>K109/N109</f>
        <v>6.2983665729777344E-2</v>
      </c>
      <c r="L110" s="911"/>
      <c r="M110" s="47" t="s">
        <v>9</v>
      </c>
      <c r="N110" s="47"/>
      <c r="O110" s="14"/>
      <c r="P110" s="28"/>
      <c r="Q110" s="14"/>
      <c r="R110" s="14"/>
      <c r="V110" s="197"/>
    </row>
    <row r="111" spans="1:22" ht="18" hidden="1" customHeight="1">
      <c r="A111" s="196"/>
      <c r="V111" s="197"/>
    </row>
    <row r="112" spans="1:22" ht="18" hidden="1" customHeight="1">
      <c r="A112" s="196"/>
      <c r="B112" s="14" t="s">
        <v>796</v>
      </c>
      <c r="C112" s="14"/>
      <c r="D112" s="14"/>
      <c r="E112" s="14"/>
      <c r="F112" s="14"/>
      <c r="G112" s="14"/>
      <c r="H112" s="14"/>
      <c r="I112" s="47"/>
      <c r="J112" s="28" t="s">
        <v>138</v>
      </c>
      <c r="K112" s="638" t="s">
        <v>797</v>
      </c>
      <c r="L112" s="638"/>
      <c r="M112" s="28" t="s">
        <v>326</v>
      </c>
      <c r="N112" s="47" t="s">
        <v>798</v>
      </c>
      <c r="O112" s="14"/>
      <c r="P112" s="28"/>
      <c r="Q112" s="479"/>
      <c r="V112" s="197"/>
    </row>
    <row r="113" spans="1:22" ht="18" hidden="1" customHeight="1">
      <c r="A113" s="196"/>
      <c r="J113" s="28" t="s">
        <v>138</v>
      </c>
      <c r="K113" s="639">
        <f>K110*K110</f>
        <v>3.9669421487603289E-3</v>
      </c>
      <c r="L113" s="639"/>
      <c r="M113" s="28" t="s">
        <v>326</v>
      </c>
      <c r="N113" s="637">
        <f>N78</f>
        <v>2.7035014500000001</v>
      </c>
      <c r="O113" s="637"/>
      <c r="V113" s="197"/>
    </row>
    <row r="114" spans="1:22" ht="18" hidden="1" customHeight="1">
      <c r="A114" s="196"/>
      <c r="J114" s="28" t="s">
        <v>138</v>
      </c>
      <c r="K114" s="1163">
        <f>K113*N113</f>
        <v>1.0724633851239665E-2</v>
      </c>
      <c r="L114" s="1163"/>
      <c r="M114" s="30" t="s">
        <v>168</v>
      </c>
      <c r="V114" s="197"/>
    </row>
    <row r="115" spans="1:22" ht="18" hidden="1" customHeight="1">
      <c r="A115" s="196"/>
      <c r="V115" s="197"/>
    </row>
    <row r="116" spans="1:22" ht="18" hidden="1" customHeight="1">
      <c r="A116" s="196"/>
      <c r="B116" s="14" t="s">
        <v>799</v>
      </c>
      <c r="C116" s="14"/>
      <c r="D116" s="14"/>
      <c r="E116" s="28"/>
      <c r="F116" s="14"/>
      <c r="G116" s="14"/>
      <c r="H116" s="102"/>
      <c r="I116" s="47"/>
      <c r="J116" s="47"/>
      <c r="K116" s="14"/>
      <c r="V116" s="197"/>
    </row>
    <row r="117" spans="1:22" ht="18" hidden="1" customHeight="1">
      <c r="A117" s="196"/>
      <c r="B117" s="14"/>
      <c r="C117" s="14"/>
      <c r="D117" s="269"/>
      <c r="E117" s="120" t="s">
        <v>800</v>
      </c>
      <c r="F117" s="27" t="str">
        <f>IF(D118&gt;=G118,"&gt;","&lt;")</f>
        <v>&gt;</v>
      </c>
      <c r="G117" s="293" t="s">
        <v>131</v>
      </c>
      <c r="H117" s="230"/>
      <c r="J117" s="28"/>
      <c r="K117" s="230"/>
      <c r="V117" s="197"/>
    </row>
    <row r="118" spans="1:22" ht="18" hidden="1" customHeight="1">
      <c r="A118" s="196"/>
      <c r="D118" s="639">
        <f>H93</f>
        <v>50</v>
      </c>
      <c r="E118" s="639"/>
      <c r="F118" s="27" t="str">
        <f>F117</f>
        <v>&gt;</v>
      </c>
      <c r="G118" s="1163">
        <f>K103</f>
        <v>4.0107246338512397</v>
      </c>
      <c r="H118" s="639"/>
      <c r="I118" s="14"/>
      <c r="J118" s="269"/>
      <c r="V118" s="197"/>
    </row>
    <row r="119" spans="1:22" ht="18" hidden="1" customHeight="1">
      <c r="A119" s="196"/>
      <c r="D119" s="211"/>
      <c r="E119" s="256" t="s">
        <v>801</v>
      </c>
      <c r="F119" s="27"/>
      <c r="G119" s="18" t="str">
        <f>IF(F117="&gt;","Suitably Dimensioned","Under Dimensioned")</f>
        <v>Suitably Dimensioned</v>
      </c>
      <c r="H119" s="27"/>
      <c r="I119" s="120"/>
      <c r="J119" s="27"/>
      <c r="K119" s="120"/>
      <c r="V119" s="197"/>
    </row>
    <row r="120" spans="1:22" ht="18" hidden="1" customHeight="1">
      <c r="A120" s="196"/>
      <c r="D120" s="211"/>
      <c r="E120" s="256"/>
      <c r="F120" s="27"/>
      <c r="G120" s="18"/>
      <c r="H120" s="27"/>
      <c r="I120" s="120"/>
      <c r="J120" s="27"/>
      <c r="K120" s="120"/>
      <c r="V120" s="197"/>
    </row>
    <row r="121" spans="1:22" ht="18" hidden="1" customHeight="1">
      <c r="A121" s="196"/>
      <c r="D121" s="211"/>
      <c r="E121" s="256"/>
      <c r="F121" s="27"/>
      <c r="G121" s="18"/>
      <c r="H121" s="27"/>
      <c r="I121" s="120"/>
      <c r="J121" s="27"/>
      <c r="K121" s="120"/>
      <c r="V121" s="197"/>
    </row>
    <row r="122" spans="1:22" ht="18" hidden="1" customHeight="1">
      <c r="A122" s="196"/>
      <c r="D122" s="211"/>
      <c r="E122" s="256"/>
      <c r="F122" s="27"/>
      <c r="G122" s="18"/>
      <c r="H122" s="27"/>
      <c r="I122" s="120"/>
      <c r="J122" s="27"/>
      <c r="K122" s="120"/>
      <c r="V122" s="197"/>
    </row>
    <row r="123" spans="1:22" ht="18" hidden="1" customHeight="1">
      <c r="A123" s="196"/>
      <c r="D123" s="211"/>
      <c r="E123" s="256"/>
      <c r="F123" s="27"/>
      <c r="G123" s="18"/>
      <c r="H123" s="27"/>
      <c r="I123" s="120"/>
      <c r="J123" s="27"/>
      <c r="K123" s="120"/>
      <c r="V123" s="197"/>
    </row>
    <row r="124" spans="1:22" ht="18" hidden="1" customHeight="1">
      <c r="A124" s="196"/>
      <c r="D124" s="211"/>
      <c r="E124" s="256"/>
      <c r="F124" s="27"/>
      <c r="G124" s="18"/>
      <c r="H124" s="27"/>
      <c r="I124" s="120"/>
      <c r="J124" s="27"/>
      <c r="K124" s="120"/>
      <c r="V124" s="197"/>
    </row>
    <row r="125" spans="1:22" ht="18" hidden="1" customHeight="1">
      <c r="A125" s="196"/>
      <c r="V125" s="197"/>
    </row>
    <row r="126" spans="1:22" ht="18" hidden="1" customHeight="1">
      <c r="A126" s="196"/>
      <c r="V126" s="197"/>
    </row>
    <row r="127" spans="1:22" ht="18" hidden="1" customHeight="1">
      <c r="A127" s="196"/>
      <c r="V127" s="197"/>
    </row>
    <row r="128" spans="1:22" ht="18" hidden="1" customHeight="1">
      <c r="A128" s="196"/>
      <c r="V128" s="197"/>
    </row>
    <row r="129" spans="1:22" ht="18" hidden="1" customHeight="1">
      <c r="A129" s="196"/>
      <c r="V129" s="197"/>
    </row>
    <row r="130" spans="1:22" ht="18" hidden="1" customHeight="1">
      <c r="A130" s="196"/>
      <c r="V130" s="197"/>
    </row>
    <row r="131" spans="1:22" s="14" customFormat="1" ht="18" hidden="1" customHeight="1">
      <c r="A131" s="206"/>
      <c r="B131" s="207"/>
      <c r="C131" s="207"/>
      <c r="D131" s="207"/>
      <c r="E131" s="207"/>
      <c r="F131" s="207"/>
      <c r="G131" s="207"/>
      <c r="H131" s="207"/>
      <c r="I131" s="207"/>
      <c r="J131" s="207"/>
      <c r="K131" s="207"/>
      <c r="L131" s="207"/>
      <c r="M131" s="207"/>
      <c r="N131" s="207"/>
      <c r="O131" s="207"/>
      <c r="P131" s="207"/>
      <c r="Q131" s="236"/>
      <c r="R131" s="194"/>
      <c r="S131" s="1195"/>
      <c r="T131" s="1196"/>
      <c r="U131" s="207"/>
      <c r="V131" s="140" t="s">
        <v>563</v>
      </c>
    </row>
    <row r="132" spans="1:22" s="14" customFormat="1" ht="18" customHeight="1">
      <c r="A132" s="141"/>
      <c r="B132" s="285"/>
      <c r="C132" s="285"/>
      <c r="D132" s="285"/>
      <c r="E132" s="285"/>
      <c r="F132" s="285"/>
      <c r="G132" s="285"/>
      <c r="H132" s="285"/>
      <c r="I132" s="285"/>
      <c r="J132" s="285"/>
      <c r="K132" s="285"/>
      <c r="L132" s="285"/>
      <c r="M132" s="285"/>
      <c r="N132" s="285"/>
      <c r="O132" s="285"/>
      <c r="P132" s="285"/>
      <c r="Q132" s="286"/>
      <c r="R132" s="145"/>
      <c r="S132" s="287"/>
      <c r="T132" s="285"/>
      <c r="U132" s="285"/>
      <c r="V132" s="288"/>
    </row>
    <row r="133" spans="1:22" ht="18" customHeight="1">
      <c r="A133" s="96" t="s">
        <v>817</v>
      </c>
      <c r="V133" s="197"/>
    </row>
    <row r="134" spans="1:22" ht="18" customHeight="1">
      <c r="A134" s="660" t="s">
        <v>127</v>
      </c>
      <c r="B134" s="660"/>
      <c r="C134" s="660"/>
      <c r="D134" s="660"/>
      <c r="E134" s="660" t="s">
        <v>128</v>
      </c>
      <c r="F134" s="660"/>
      <c r="G134" s="660"/>
      <c r="H134" s="660"/>
      <c r="I134" s="660"/>
      <c r="J134" s="782" t="s">
        <v>129</v>
      </c>
      <c r="K134" s="782"/>
      <c r="L134" s="782" t="s">
        <v>100</v>
      </c>
      <c r="M134" s="782"/>
      <c r="N134" s="782" t="s">
        <v>112</v>
      </c>
      <c r="O134" s="782"/>
      <c r="P134" s="782"/>
      <c r="Q134" s="660" t="s">
        <v>805</v>
      </c>
      <c r="R134" s="660"/>
      <c r="S134" s="660"/>
      <c r="T134" s="660"/>
      <c r="U134" s="660"/>
      <c r="V134" s="660"/>
    </row>
    <row r="135" spans="1:22" ht="18" customHeight="1">
      <c r="A135" s="660"/>
      <c r="B135" s="660"/>
      <c r="C135" s="660"/>
      <c r="D135" s="660"/>
      <c r="E135" s="660"/>
      <c r="F135" s="660"/>
      <c r="G135" s="660"/>
      <c r="H135" s="660"/>
      <c r="I135" s="660"/>
      <c r="J135" s="782"/>
      <c r="K135" s="782"/>
      <c r="L135" s="782"/>
      <c r="M135" s="782"/>
      <c r="N135" s="782"/>
      <c r="O135" s="782"/>
      <c r="P135" s="782"/>
      <c r="Q135" s="660"/>
      <c r="R135" s="660"/>
      <c r="S135" s="660"/>
      <c r="T135" s="660"/>
      <c r="U135" s="660"/>
      <c r="V135" s="660"/>
    </row>
    <row r="136" spans="1:22" ht="18" customHeight="1">
      <c r="A136" s="660"/>
      <c r="B136" s="660"/>
      <c r="C136" s="660"/>
      <c r="D136" s="660"/>
      <c r="E136" s="1203"/>
      <c r="F136" s="1203"/>
      <c r="G136" s="660"/>
      <c r="H136" s="660"/>
      <c r="I136" s="660"/>
      <c r="J136" s="782"/>
      <c r="K136" s="782"/>
      <c r="L136" s="782"/>
      <c r="M136" s="782"/>
      <c r="N136" s="782"/>
      <c r="O136" s="782"/>
      <c r="P136" s="782"/>
      <c r="Q136" s="660"/>
      <c r="R136" s="660"/>
      <c r="S136" s="660"/>
      <c r="T136" s="660"/>
      <c r="U136" s="660"/>
      <c r="V136" s="660"/>
    </row>
    <row r="137" spans="1:22" ht="18" customHeight="1">
      <c r="A137" s="809" t="str">
        <f>B7&amp;","&amp;B8&amp;","&amp;B9</f>
        <v>T15,T16,T17</v>
      </c>
      <c r="B137" s="810"/>
      <c r="C137" s="786" t="str">
        <f>D7</f>
        <v>Core1</v>
      </c>
      <c r="D137" s="787"/>
      <c r="E137" s="355">
        <f>H11</f>
        <v>33</v>
      </c>
      <c r="F137" s="258" t="str">
        <f>I11</f>
        <v>/ √3</v>
      </c>
      <c r="G137" s="356" t="s">
        <v>353</v>
      </c>
      <c r="H137" s="255">
        <f>K11</f>
        <v>0.11</v>
      </c>
      <c r="I137" s="258" t="str">
        <f>L11</f>
        <v>/ √3</v>
      </c>
      <c r="J137" s="802">
        <f>'CT-VT Burdens'!S37</f>
        <v>150</v>
      </c>
      <c r="K137" s="803">
        <f>'CT-VT Burdens'!S28</f>
        <v>2.5</v>
      </c>
      <c r="L137" s="649" t="str">
        <f>H12</f>
        <v>0.5/3P</v>
      </c>
      <c r="M137" s="649"/>
      <c r="N137" s="649">
        <f>H13</f>
        <v>20</v>
      </c>
      <c r="O137" s="649"/>
      <c r="P137" s="649"/>
      <c r="Q137" s="649" t="str">
        <f>G39</f>
        <v>Suitably Dimensioned</v>
      </c>
      <c r="R137" s="649"/>
      <c r="S137" s="649"/>
      <c r="T137" s="649"/>
      <c r="U137" s="649"/>
      <c r="V137" s="649"/>
    </row>
    <row r="138" spans="1:22" ht="18" customHeight="1">
      <c r="A138" s="1210"/>
      <c r="B138" s="1211"/>
      <c r="C138" s="649" t="str">
        <f>D48</f>
        <v>Core2</v>
      </c>
      <c r="D138" s="649"/>
      <c r="E138" s="355">
        <f>H52</f>
        <v>33</v>
      </c>
      <c r="F138" s="258" t="str">
        <f>I52</f>
        <v>/ √3</v>
      </c>
      <c r="G138" s="480" t="s">
        <v>353</v>
      </c>
      <c r="H138" s="255">
        <f>K52</f>
        <v>0.11</v>
      </c>
      <c r="I138" s="258" t="str">
        <f>L52</f>
        <v>/ √3</v>
      </c>
      <c r="J138" s="802"/>
      <c r="K138" s="649"/>
      <c r="L138" s="649">
        <f>H53</f>
        <v>0.2</v>
      </c>
      <c r="M138" s="649"/>
      <c r="N138" s="649">
        <f>H54</f>
        <v>10</v>
      </c>
      <c r="O138" s="649"/>
      <c r="P138" s="649"/>
      <c r="Q138" s="649" t="str">
        <f>G84</f>
        <v>Suitably Dimensioned</v>
      </c>
      <c r="R138" s="649"/>
      <c r="S138" s="649"/>
      <c r="T138" s="649"/>
      <c r="U138" s="649"/>
      <c r="V138" s="649"/>
    </row>
    <row r="139" spans="1:22" ht="18" customHeight="1">
      <c r="A139" s="1212"/>
      <c r="B139" s="1213"/>
      <c r="C139" s="649"/>
      <c r="D139" s="649"/>
      <c r="E139" s="355"/>
      <c r="F139" s="258"/>
      <c r="G139" s="480"/>
      <c r="H139" s="255"/>
      <c r="I139" s="258"/>
      <c r="J139" s="802"/>
      <c r="K139" s="649"/>
      <c r="L139" s="649"/>
      <c r="M139" s="649"/>
      <c r="N139" s="649"/>
      <c r="O139" s="649"/>
      <c r="P139" s="649"/>
      <c r="Q139" s="649"/>
      <c r="R139" s="649"/>
      <c r="S139" s="649"/>
      <c r="T139" s="649"/>
      <c r="U139" s="649"/>
      <c r="V139" s="649"/>
    </row>
    <row r="140" spans="1:22" ht="18" customHeight="1">
      <c r="A140" s="196"/>
      <c r="V140" s="197"/>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s="14" customFormat="1" ht="18" customHeight="1">
      <c r="A172" s="206"/>
      <c r="B172" s="207"/>
      <c r="C172" s="207"/>
      <c r="D172" s="207"/>
      <c r="E172" s="207"/>
      <c r="F172" s="207"/>
      <c r="G172" s="207"/>
      <c r="H172" s="207"/>
      <c r="I172" s="207"/>
      <c r="J172" s="207"/>
      <c r="K172" s="207"/>
      <c r="L172" s="207"/>
      <c r="M172" s="207"/>
      <c r="N172" s="207"/>
      <c r="O172" s="207"/>
      <c r="P172" s="207"/>
      <c r="Q172" s="236"/>
      <c r="R172" s="194"/>
      <c r="S172" s="1195"/>
      <c r="T172" s="1196"/>
      <c r="U172" s="207"/>
      <c r="V172" s="140"/>
    </row>
  </sheetData>
  <mergeCells count="112">
    <mergeCell ref="S172:T172"/>
    <mergeCell ref="Q137:V137"/>
    <mergeCell ref="C138:D138"/>
    <mergeCell ref="L138:M138"/>
    <mergeCell ref="N138:P138"/>
    <mergeCell ref="Q138:V138"/>
    <mergeCell ref="C139:D139"/>
    <mergeCell ref="L139:M139"/>
    <mergeCell ref="N139:P139"/>
    <mergeCell ref="Q139:V139"/>
    <mergeCell ref="A137:B139"/>
    <mergeCell ref="C137:D137"/>
    <mergeCell ref="J137:J139"/>
    <mergeCell ref="K137:K139"/>
    <mergeCell ref="L137:M137"/>
    <mergeCell ref="N137:P137"/>
    <mergeCell ref="S131:T131"/>
    <mergeCell ref="A134:D136"/>
    <mergeCell ref="E134:I136"/>
    <mergeCell ref="J134:K136"/>
    <mergeCell ref="L134:M136"/>
    <mergeCell ref="N134:P136"/>
    <mergeCell ref="Q134:V136"/>
    <mergeCell ref="K112:L112"/>
    <mergeCell ref="K113:L113"/>
    <mergeCell ref="N113:O113"/>
    <mergeCell ref="K114:L114"/>
    <mergeCell ref="D118:E118"/>
    <mergeCell ref="G118:H118"/>
    <mergeCell ref="K101:L101"/>
    <mergeCell ref="K102:L102"/>
    <mergeCell ref="K103:L103"/>
    <mergeCell ref="K109:L109"/>
    <mergeCell ref="N109:O109"/>
    <mergeCell ref="K110:L110"/>
    <mergeCell ref="H93:I93"/>
    <mergeCell ref="K96:L96"/>
    <mergeCell ref="K97:L97"/>
    <mergeCell ref="K98:L98"/>
    <mergeCell ref="K99:L99"/>
    <mergeCell ref="K100:L100"/>
    <mergeCell ref="D83:E83"/>
    <mergeCell ref="G83:H83"/>
    <mergeCell ref="S87:T87"/>
    <mergeCell ref="B89:C89"/>
    <mergeCell ref="D89:E89"/>
    <mergeCell ref="H92:I92"/>
    <mergeCell ref="N74:O74"/>
    <mergeCell ref="K75:L75"/>
    <mergeCell ref="K77:L77"/>
    <mergeCell ref="K78:L78"/>
    <mergeCell ref="N78:O78"/>
    <mergeCell ref="K79:L79"/>
    <mergeCell ref="K66:L66"/>
    <mergeCell ref="K67:L67"/>
    <mergeCell ref="K68:L68"/>
    <mergeCell ref="K74:L74"/>
    <mergeCell ref="K57:L57"/>
    <mergeCell ref="K58:L58"/>
    <mergeCell ref="K59:L59"/>
    <mergeCell ref="K60:L60"/>
    <mergeCell ref="K61:L61"/>
    <mergeCell ref="K62:L62"/>
    <mergeCell ref="H53:I53"/>
    <mergeCell ref="H54:I54"/>
    <mergeCell ref="K33:L33"/>
    <mergeCell ref="N33:O33"/>
    <mergeCell ref="K34:L34"/>
    <mergeCell ref="D38:E38"/>
    <mergeCell ref="G38:H38"/>
    <mergeCell ref="K63:L63"/>
    <mergeCell ref="K64:L64"/>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S46:T46"/>
    <mergeCell ref="K22:L22"/>
    <mergeCell ref="B8:C8"/>
    <mergeCell ref="B9:C9"/>
    <mergeCell ref="D7:E9"/>
    <mergeCell ref="D48:E50"/>
    <mergeCell ref="B49:C49"/>
    <mergeCell ref="B50:C50"/>
    <mergeCell ref="B7:C7"/>
    <mergeCell ref="H12:I12"/>
    <mergeCell ref="H13:I13"/>
    <mergeCell ref="K23:L23"/>
    <mergeCell ref="K29:L29"/>
    <mergeCell ref="N29:O29"/>
    <mergeCell ref="K30:L30"/>
    <mergeCell ref="K32:L32"/>
    <mergeCell ref="K16:L16"/>
    <mergeCell ref="K17:L17"/>
    <mergeCell ref="K18:L18"/>
    <mergeCell ref="K19:L19"/>
    <mergeCell ref="K20:L20"/>
    <mergeCell ref="K21:L21"/>
    <mergeCell ref="B48:C48"/>
  </mergeCells>
  <conditionalFormatting sqref="G39">
    <cfRule type="cellIs" dxfId="5" priority="3" stopIfTrue="1" operator="equal">
      <formula>"Under Dimentioned"</formula>
    </cfRule>
  </conditionalFormatting>
  <conditionalFormatting sqref="G84:G85">
    <cfRule type="cellIs" dxfId="4" priority="2" stopIfTrue="1" operator="equal">
      <formula>"Under Dimentioned"</formula>
    </cfRule>
  </conditionalFormatting>
  <conditionalFormatting sqref="G119:G124">
    <cfRule type="cellIs" dxfId="3" priority="1" stopIfTrue="1" operator="equal">
      <formula>"Under Dimentioned"</formula>
    </cfRule>
  </conditionalFormatting>
  <dataValidations count="1">
    <dataValidation type="list" allowBlank="1" showInputMessage="1" showErrorMessage="1" sqref="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4 IZ65624 SV65624 ACR65624 AMN65624 AWJ65624 BGF65624 BQB65624 BZX65624 CJT65624 CTP65624 DDL65624 DNH65624 DXD65624 EGZ65624 EQV65624 FAR65624 FKN65624 FUJ65624 GEF65624 GOB65624 GXX65624 HHT65624 HRP65624 IBL65624 ILH65624 IVD65624 JEZ65624 JOV65624 JYR65624 KIN65624 KSJ65624 LCF65624 LMB65624 LVX65624 MFT65624 MPP65624 MZL65624 NJH65624 NTD65624 OCZ65624 OMV65624 OWR65624 PGN65624 PQJ65624 QAF65624 QKB65624 QTX65624 RDT65624 RNP65624 RXL65624 SHH65624 SRD65624 TAZ65624 TKV65624 TUR65624 UEN65624 UOJ65624 UYF65624 VIB65624 VRX65624 WBT65624 WLP65624 WVL65624 D131160 IZ131160 SV131160 ACR131160 AMN131160 AWJ131160 BGF131160 BQB131160 BZX131160 CJT131160 CTP131160 DDL131160 DNH131160 DXD131160 EGZ131160 EQV131160 FAR131160 FKN131160 FUJ131160 GEF131160 GOB131160 GXX131160 HHT131160 HRP131160 IBL131160 ILH131160 IVD131160 JEZ131160 JOV131160 JYR131160 KIN131160 KSJ131160 LCF131160 LMB131160 LVX131160 MFT131160 MPP131160 MZL131160 NJH131160 NTD131160 OCZ131160 OMV131160 OWR131160 PGN131160 PQJ131160 QAF131160 QKB131160 QTX131160 RDT131160 RNP131160 RXL131160 SHH131160 SRD131160 TAZ131160 TKV131160 TUR131160 UEN131160 UOJ131160 UYF131160 VIB131160 VRX131160 WBT131160 WLP131160 WVL131160 D196696 IZ196696 SV196696 ACR196696 AMN196696 AWJ196696 BGF196696 BQB196696 BZX196696 CJT196696 CTP196696 DDL196696 DNH196696 DXD196696 EGZ196696 EQV196696 FAR196696 FKN196696 FUJ196696 GEF196696 GOB196696 GXX196696 HHT196696 HRP196696 IBL196696 ILH196696 IVD196696 JEZ196696 JOV196696 JYR196696 KIN196696 KSJ196696 LCF196696 LMB196696 LVX196696 MFT196696 MPP196696 MZL196696 NJH196696 NTD196696 OCZ196696 OMV196696 OWR196696 PGN196696 PQJ196696 QAF196696 QKB196696 QTX196696 RDT196696 RNP196696 RXL196696 SHH196696 SRD196696 TAZ196696 TKV196696 TUR196696 UEN196696 UOJ196696 UYF196696 VIB196696 VRX196696 WBT196696 WLP196696 WVL196696 D262232 IZ262232 SV262232 ACR262232 AMN262232 AWJ262232 BGF262232 BQB262232 BZX262232 CJT262232 CTP262232 DDL262232 DNH262232 DXD262232 EGZ262232 EQV262232 FAR262232 FKN262232 FUJ262232 GEF262232 GOB262232 GXX262232 HHT262232 HRP262232 IBL262232 ILH262232 IVD262232 JEZ262232 JOV262232 JYR262232 KIN262232 KSJ262232 LCF262232 LMB262232 LVX262232 MFT262232 MPP262232 MZL262232 NJH262232 NTD262232 OCZ262232 OMV262232 OWR262232 PGN262232 PQJ262232 QAF262232 QKB262232 QTX262232 RDT262232 RNP262232 RXL262232 SHH262232 SRD262232 TAZ262232 TKV262232 TUR262232 UEN262232 UOJ262232 UYF262232 VIB262232 VRX262232 WBT262232 WLP262232 WVL262232 D327768 IZ327768 SV327768 ACR327768 AMN327768 AWJ327768 BGF327768 BQB327768 BZX327768 CJT327768 CTP327768 DDL327768 DNH327768 DXD327768 EGZ327768 EQV327768 FAR327768 FKN327768 FUJ327768 GEF327768 GOB327768 GXX327768 HHT327768 HRP327768 IBL327768 ILH327768 IVD327768 JEZ327768 JOV327768 JYR327768 KIN327768 KSJ327768 LCF327768 LMB327768 LVX327768 MFT327768 MPP327768 MZL327768 NJH327768 NTD327768 OCZ327768 OMV327768 OWR327768 PGN327768 PQJ327768 QAF327768 QKB327768 QTX327768 RDT327768 RNP327768 RXL327768 SHH327768 SRD327768 TAZ327768 TKV327768 TUR327768 UEN327768 UOJ327768 UYF327768 VIB327768 VRX327768 WBT327768 WLP327768 WVL327768 D393304 IZ393304 SV393304 ACR393304 AMN393304 AWJ393304 BGF393304 BQB393304 BZX393304 CJT393304 CTP393304 DDL393304 DNH393304 DXD393304 EGZ393304 EQV393304 FAR393304 FKN393304 FUJ393304 GEF393304 GOB393304 GXX393304 HHT393304 HRP393304 IBL393304 ILH393304 IVD393304 JEZ393304 JOV393304 JYR393304 KIN393304 KSJ393304 LCF393304 LMB393304 LVX393304 MFT393304 MPP393304 MZL393304 NJH393304 NTD393304 OCZ393304 OMV393304 OWR393304 PGN393304 PQJ393304 QAF393304 QKB393304 QTX393304 RDT393304 RNP393304 RXL393304 SHH393304 SRD393304 TAZ393304 TKV393304 TUR393304 UEN393304 UOJ393304 UYF393304 VIB393304 VRX393304 WBT393304 WLP393304 WVL393304 D458840 IZ458840 SV458840 ACR458840 AMN458840 AWJ458840 BGF458840 BQB458840 BZX458840 CJT458840 CTP458840 DDL458840 DNH458840 DXD458840 EGZ458840 EQV458840 FAR458840 FKN458840 FUJ458840 GEF458840 GOB458840 GXX458840 HHT458840 HRP458840 IBL458840 ILH458840 IVD458840 JEZ458840 JOV458840 JYR458840 KIN458840 KSJ458840 LCF458840 LMB458840 LVX458840 MFT458840 MPP458840 MZL458840 NJH458840 NTD458840 OCZ458840 OMV458840 OWR458840 PGN458840 PQJ458840 QAF458840 QKB458840 QTX458840 RDT458840 RNP458840 RXL458840 SHH458840 SRD458840 TAZ458840 TKV458840 TUR458840 UEN458840 UOJ458840 UYF458840 VIB458840 VRX458840 WBT458840 WLP458840 WVL458840 D524376 IZ524376 SV524376 ACR524376 AMN524376 AWJ524376 BGF524376 BQB524376 BZX524376 CJT524376 CTP524376 DDL524376 DNH524376 DXD524376 EGZ524376 EQV524376 FAR524376 FKN524376 FUJ524376 GEF524376 GOB524376 GXX524376 HHT524376 HRP524376 IBL524376 ILH524376 IVD524376 JEZ524376 JOV524376 JYR524376 KIN524376 KSJ524376 LCF524376 LMB524376 LVX524376 MFT524376 MPP524376 MZL524376 NJH524376 NTD524376 OCZ524376 OMV524376 OWR524376 PGN524376 PQJ524376 QAF524376 QKB524376 QTX524376 RDT524376 RNP524376 RXL524376 SHH524376 SRD524376 TAZ524376 TKV524376 TUR524376 UEN524376 UOJ524376 UYF524376 VIB524376 VRX524376 WBT524376 WLP524376 WVL524376 D589912 IZ589912 SV589912 ACR589912 AMN589912 AWJ589912 BGF589912 BQB589912 BZX589912 CJT589912 CTP589912 DDL589912 DNH589912 DXD589912 EGZ589912 EQV589912 FAR589912 FKN589912 FUJ589912 GEF589912 GOB589912 GXX589912 HHT589912 HRP589912 IBL589912 ILH589912 IVD589912 JEZ589912 JOV589912 JYR589912 KIN589912 KSJ589912 LCF589912 LMB589912 LVX589912 MFT589912 MPP589912 MZL589912 NJH589912 NTD589912 OCZ589912 OMV589912 OWR589912 PGN589912 PQJ589912 QAF589912 QKB589912 QTX589912 RDT589912 RNP589912 RXL589912 SHH589912 SRD589912 TAZ589912 TKV589912 TUR589912 UEN589912 UOJ589912 UYF589912 VIB589912 VRX589912 WBT589912 WLP589912 WVL589912 D655448 IZ655448 SV655448 ACR655448 AMN655448 AWJ655448 BGF655448 BQB655448 BZX655448 CJT655448 CTP655448 DDL655448 DNH655448 DXD655448 EGZ655448 EQV655448 FAR655448 FKN655448 FUJ655448 GEF655448 GOB655448 GXX655448 HHT655448 HRP655448 IBL655448 ILH655448 IVD655448 JEZ655448 JOV655448 JYR655448 KIN655448 KSJ655448 LCF655448 LMB655448 LVX655448 MFT655448 MPP655448 MZL655448 NJH655448 NTD655448 OCZ655448 OMV655448 OWR655448 PGN655448 PQJ655448 QAF655448 QKB655448 QTX655448 RDT655448 RNP655448 RXL655448 SHH655448 SRD655448 TAZ655448 TKV655448 TUR655448 UEN655448 UOJ655448 UYF655448 VIB655448 VRX655448 WBT655448 WLP655448 WVL655448 D720984 IZ720984 SV720984 ACR720984 AMN720984 AWJ720984 BGF720984 BQB720984 BZX720984 CJT720984 CTP720984 DDL720984 DNH720984 DXD720984 EGZ720984 EQV720984 FAR720984 FKN720984 FUJ720984 GEF720984 GOB720984 GXX720984 HHT720984 HRP720984 IBL720984 ILH720984 IVD720984 JEZ720984 JOV720984 JYR720984 KIN720984 KSJ720984 LCF720984 LMB720984 LVX720984 MFT720984 MPP720984 MZL720984 NJH720984 NTD720984 OCZ720984 OMV720984 OWR720984 PGN720984 PQJ720984 QAF720984 QKB720984 QTX720984 RDT720984 RNP720984 RXL720984 SHH720984 SRD720984 TAZ720984 TKV720984 TUR720984 UEN720984 UOJ720984 UYF720984 VIB720984 VRX720984 WBT720984 WLP720984 WVL720984 D786520 IZ786520 SV786520 ACR786520 AMN786520 AWJ786520 BGF786520 BQB786520 BZX786520 CJT786520 CTP786520 DDL786520 DNH786520 DXD786520 EGZ786520 EQV786520 FAR786520 FKN786520 FUJ786520 GEF786520 GOB786520 GXX786520 HHT786520 HRP786520 IBL786520 ILH786520 IVD786520 JEZ786520 JOV786520 JYR786520 KIN786520 KSJ786520 LCF786520 LMB786520 LVX786520 MFT786520 MPP786520 MZL786520 NJH786520 NTD786520 OCZ786520 OMV786520 OWR786520 PGN786520 PQJ786520 QAF786520 QKB786520 QTX786520 RDT786520 RNP786520 RXL786520 SHH786520 SRD786520 TAZ786520 TKV786520 TUR786520 UEN786520 UOJ786520 UYF786520 VIB786520 VRX786520 WBT786520 WLP786520 WVL786520 D852056 IZ852056 SV852056 ACR852056 AMN852056 AWJ852056 BGF852056 BQB852056 BZX852056 CJT852056 CTP852056 DDL852056 DNH852056 DXD852056 EGZ852056 EQV852056 FAR852056 FKN852056 FUJ852056 GEF852056 GOB852056 GXX852056 HHT852056 HRP852056 IBL852056 ILH852056 IVD852056 JEZ852056 JOV852056 JYR852056 KIN852056 KSJ852056 LCF852056 LMB852056 LVX852056 MFT852056 MPP852056 MZL852056 NJH852056 NTD852056 OCZ852056 OMV852056 OWR852056 PGN852056 PQJ852056 QAF852056 QKB852056 QTX852056 RDT852056 RNP852056 RXL852056 SHH852056 SRD852056 TAZ852056 TKV852056 TUR852056 UEN852056 UOJ852056 UYF852056 VIB852056 VRX852056 WBT852056 WLP852056 WVL852056 D917592 IZ917592 SV917592 ACR917592 AMN917592 AWJ917592 BGF917592 BQB917592 BZX917592 CJT917592 CTP917592 DDL917592 DNH917592 DXD917592 EGZ917592 EQV917592 FAR917592 FKN917592 FUJ917592 GEF917592 GOB917592 GXX917592 HHT917592 HRP917592 IBL917592 ILH917592 IVD917592 JEZ917592 JOV917592 JYR917592 KIN917592 KSJ917592 LCF917592 LMB917592 LVX917592 MFT917592 MPP917592 MZL917592 NJH917592 NTD917592 OCZ917592 OMV917592 OWR917592 PGN917592 PQJ917592 QAF917592 QKB917592 QTX917592 RDT917592 RNP917592 RXL917592 SHH917592 SRD917592 TAZ917592 TKV917592 TUR917592 UEN917592 UOJ917592 UYF917592 VIB917592 VRX917592 WBT917592 WLP917592 WVL917592 D983128 IZ983128 SV983128 ACR983128 AMN983128 AWJ983128 BGF983128 BQB983128 BZX983128 CJT983128 CTP983128 DDL983128 DNH983128 DXD983128 EGZ983128 EQV983128 FAR983128 FKN983128 FUJ983128 GEF983128 GOB983128 GXX983128 HHT983128 HRP983128 IBL983128 ILH983128 IVD983128 JEZ983128 JOV983128 JYR983128 KIN983128 KSJ983128 LCF983128 LMB983128 LVX983128 MFT983128 MPP983128 MZL983128 NJH983128 NTD983128 OCZ983128 OMV983128 OWR983128 PGN983128 PQJ983128 QAF983128 QKB983128 QTX983128 RDT983128 RNP983128 RXL983128 SHH983128 SRD983128 TAZ983128 TKV983128 TUR983128 UEN983128 UOJ983128 UYF983128 VIB983128 VRX983128 WBT983128 WLP983128 WVL983128 D7 IZ48:IZ50 SV48:SV50 ACR48:ACR50 AMN48:AMN50 AWJ48:AWJ50 BGF48:BGF50 BQB48:BQB50 BZX48:BZX50 CJT48:CJT50 CTP48:CTP50 DDL48:DDL50 DNH48:DNH50 DXD48:DXD50 EGZ48:EGZ50 EQV48:EQV50 FAR48:FAR50 FKN48:FKN50 FUJ48:FUJ50 GEF48:GEF50 GOB48:GOB50 GXX48:GXX50 HHT48:HHT50 HRP48:HRP50 IBL48:IBL50 ILH48:ILH50 IVD48:IVD50 JEZ48:JEZ50 JOV48:JOV50 JYR48:JYR50 KIN48:KIN50 KSJ48:KSJ50 LCF48:LCF50 LMB48:LMB50 LVX48:LVX50 MFT48:MFT50 MPP48:MPP50 MZL48:MZL50 NJH48:NJH50 NTD48:NTD50 OCZ48:OCZ50 OMV48:OMV50 OWR48:OWR50 PGN48:PGN50 PQJ48:PQJ50 QAF48:QAF50 QKB48:QKB50 QTX48:QTX50 RDT48:RDT50 RNP48:RNP50 RXL48:RXL50 SHH48:SHH50 SRD48:SRD50 TAZ48:TAZ50 TKV48:TKV50 TUR48:TUR50 UEN48:UEN50 UOJ48:UOJ50 UYF48:UYF50 VIB48:VIB50 VRX48:VRX50 WBT48:WBT50 WLP48:WLP50 WVL48:WVL50 D65582 IZ65582 SV65582 ACR65582 AMN65582 AWJ65582 BGF65582 BQB65582 BZX65582 CJT65582 CTP65582 DDL65582 DNH65582 DXD65582 EGZ65582 EQV65582 FAR65582 FKN65582 FUJ65582 GEF65582 GOB65582 GXX65582 HHT65582 HRP65582 IBL65582 ILH65582 IVD65582 JEZ65582 JOV65582 JYR65582 KIN65582 KSJ65582 LCF65582 LMB65582 LVX65582 MFT65582 MPP65582 MZL65582 NJH65582 NTD65582 OCZ65582 OMV65582 OWR65582 PGN65582 PQJ65582 QAF65582 QKB65582 QTX65582 RDT65582 RNP65582 RXL65582 SHH65582 SRD65582 TAZ65582 TKV65582 TUR65582 UEN65582 UOJ65582 UYF65582 VIB65582 VRX65582 WBT65582 WLP65582 WVL65582 D131118 IZ131118 SV131118 ACR131118 AMN131118 AWJ131118 BGF131118 BQB131118 BZX131118 CJT131118 CTP131118 DDL131118 DNH131118 DXD131118 EGZ131118 EQV131118 FAR131118 FKN131118 FUJ131118 GEF131118 GOB131118 GXX131118 HHT131118 HRP131118 IBL131118 ILH131118 IVD131118 JEZ131118 JOV131118 JYR131118 KIN131118 KSJ131118 LCF131118 LMB131118 LVX131118 MFT131118 MPP131118 MZL131118 NJH131118 NTD131118 OCZ131118 OMV131118 OWR131118 PGN131118 PQJ131118 QAF131118 QKB131118 QTX131118 RDT131118 RNP131118 RXL131118 SHH131118 SRD131118 TAZ131118 TKV131118 TUR131118 UEN131118 UOJ131118 UYF131118 VIB131118 VRX131118 WBT131118 WLP131118 WVL131118 D196654 IZ196654 SV196654 ACR196654 AMN196654 AWJ196654 BGF196654 BQB196654 BZX196654 CJT196654 CTP196654 DDL196654 DNH196654 DXD196654 EGZ196654 EQV196654 FAR196654 FKN196654 FUJ196654 GEF196654 GOB196654 GXX196654 HHT196654 HRP196654 IBL196654 ILH196654 IVD196654 JEZ196654 JOV196654 JYR196654 KIN196654 KSJ196654 LCF196654 LMB196654 LVX196654 MFT196654 MPP196654 MZL196654 NJH196654 NTD196654 OCZ196654 OMV196654 OWR196654 PGN196654 PQJ196654 QAF196654 QKB196654 QTX196654 RDT196654 RNP196654 RXL196654 SHH196654 SRD196654 TAZ196654 TKV196654 TUR196654 UEN196654 UOJ196654 UYF196654 VIB196654 VRX196654 WBT196654 WLP196654 WVL196654 D262190 IZ262190 SV262190 ACR262190 AMN262190 AWJ262190 BGF262190 BQB262190 BZX262190 CJT262190 CTP262190 DDL262190 DNH262190 DXD262190 EGZ262190 EQV262190 FAR262190 FKN262190 FUJ262190 GEF262190 GOB262190 GXX262190 HHT262190 HRP262190 IBL262190 ILH262190 IVD262190 JEZ262190 JOV262190 JYR262190 KIN262190 KSJ262190 LCF262190 LMB262190 LVX262190 MFT262190 MPP262190 MZL262190 NJH262190 NTD262190 OCZ262190 OMV262190 OWR262190 PGN262190 PQJ262190 QAF262190 QKB262190 QTX262190 RDT262190 RNP262190 RXL262190 SHH262190 SRD262190 TAZ262190 TKV262190 TUR262190 UEN262190 UOJ262190 UYF262190 VIB262190 VRX262190 WBT262190 WLP262190 WVL262190 D327726 IZ327726 SV327726 ACR327726 AMN327726 AWJ327726 BGF327726 BQB327726 BZX327726 CJT327726 CTP327726 DDL327726 DNH327726 DXD327726 EGZ327726 EQV327726 FAR327726 FKN327726 FUJ327726 GEF327726 GOB327726 GXX327726 HHT327726 HRP327726 IBL327726 ILH327726 IVD327726 JEZ327726 JOV327726 JYR327726 KIN327726 KSJ327726 LCF327726 LMB327726 LVX327726 MFT327726 MPP327726 MZL327726 NJH327726 NTD327726 OCZ327726 OMV327726 OWR327726 PGN327726 PQJ327726 QAF327726 QKB327726 QTX327726 RDT327726 RNP327726 RXL327726 SHH327726 SRD327726 TAZ327726 TKV327726 TUR327726 UEN327726 UOJ327726 UYF327726 VIB327726 VRX327726 WBT327726 WLP327726 WVL327726 D393262 IZ393262 SV393262 ACR393262 AMN393262 AWJ393262 BGF393262 BQB393262 BZX393262 CJT393262 CTP393262 DDL393262 DNH393262 DXD393262 EGZ393262 EQV393262 FAR393262 FKN393262 FUJ393262 GEF393262 GOB393262 GXX393262 HHT393262 HRP393262 IBL393262 ILH393262 IVD393262 JEZ393262 JOV393262 JYR393262 KIN393262 KSJ393262 LCF393262 LMB393262 LVX393262 MFT393262 MPP393262 MZL393262 NJH393262 NTD393262 OCZ393262 OMV393262 OWR393262 PGN393262 PQJ393262 QAF393262 QKB393262 QTX393262 RDT393262 RNP393262 RXL393262 SHH393262 SRD393262 TAZ393262 TKV393262 TUR393262 UEN393262 UOJ393262 UYF393262 VIB393262 VRX393262 WBT393262 WLP393262 WVL393262 D458798 IZ458798 SV458798 ACR458798 AMN458798 AWJ458798 BGF458798 BQB458798 BZX458798 CJT458798 CTP458798 DDL458798 DNH458798 DXD458798 EGZ458798 EQV458798 FAR458798 FKN458798 FUJ458798 GEF458798 GOB458798 GXX458798 HHT458798 HRP458798 IBL458798 ILH458798 IVD458798 JEZ458798 JOV458798 JYR458798 KIN458798 KSJ458798 LCF458798 LMB458798 LVX458798 MFT458798 MPP458798 MZL458798 NJH458798 NTD458798 OCZ458798 OMV458798 OWR458798 PGN458798 PQJ458798 QAF458798 QKB458798 QTX458798 RDT458798 RNP458798 RXL458798 SHH458798 SRD458798 TAZ458798 TKV458798 TUR458798 UEN458798 UOJ458798 UYF458798 VIB458798 VRX458798 WBT458798 WLP458798 WVL458798 D524334 IZ524334 SV524334 ACR524334 AMN524334 AWJ524334 BGF524334 BQB524334 BZX524334 CJT524334 CTP524334 DDL524334 DNH524334 DXD524334 EGZ524334 EQV524334 FAR524334 FKN524334 FUJ524334 GEF524334 GOB524334 GXX524334 HHT524334 HRP524334 IBL524334 ILH524334 IVD524334 JEZ524334 JOV524334 JYR524334 KIN524334 KSJ524334 LCF524334 LMB524334 LVX524334 MFT524334 MPP524334 MZL524334 NJH524334 NTD524334 OCZ524334 OMV524334 OWR524334 PGN524334 PQJ524334 QAF524334 QKB524334 QTX524334 RDT524334 RNP524334 RXL524334 SHH524334 SRD524334 TAZ524334 TKV524334 TUR524334 UEN524334 UOJ524334 UYF524334 VIB524334 VRX524334 WBT524334 WLP524334 WVL524334 D589870 IZ589870 SV589870 ACR589870 AMN589870 AWJ589870 BGF589870 BQB589870 BZX589870 CJT589870 CTP589870 DDL589870 DNH589870 DXD589870 EGZ589870 EQV589870 FAR589870 FKN589870 FUJ589870 GEF589870 GOB589870 GXX589870 HHT589870 HRP589870 IBL589870 ILH589870 IVD589870 JEZ589870 JOV589870 JYR589870 KIN589870 KSJ589870 LCF589870 LMB589870 LVX589870 MFT589870 MPP589870 MZL589870 NJH589870 NTD589870 OCZ589870 OMV589870 OWR589870 PGN589870 PQJ589870 QAF589870 QKB589870 QTX589870 RDT589870 RNP589870 RXL589870 SHH589870 SRD589870 TAZ589870 TKV589870 TUR589870 UEN589870 UOJ589870 UYF589870 VIB589870 VRX589870 WBT589870 WLP589870 WVL589870 D655406 IZ655406 SV655406 ACR655406 AMN655406 AWJ655406 BGF655406 BQB655406 BZX655406 CJT655406 CTP655406 DDL655406 DNH655406 DXD655406 EGZ655406 EQV655406 FAR655406 FKN655406 FUJ655406 GEF655406 GOB655406 GXX655406 HHT655406 HRP655406 IBL655406 ILH655406 IVD655406 JEZ655406 JOV655406 JYR655406 KIN655406 KSJ655406 LCF655406 LMB655406 LVX655406 MFT655406 MPP655406 MZL655406 NJH655406 NTD655406 OCZ655406 OMV655406 OWR655406 PGN655406 PQJ655406 QAF655406 QKB655406 QTX655406 RDT655406 RNP655406 RXL655406 SHH655406 SRD655406 TAZ655406 TKV655406 TUR655406 UEN655406 UOJ655406 UYF655406 VIB655406 VRX655406 WBT655406 WLP655406 WVL655406 D720942 IZ720942 SV720942 ACR720942 AMN720942 AWJ720942 BGF720942 BQB720942 BZX720942 CJT720942 CTP720942 DDL720942 DNH720942 DXD720942 EGZ720942 EQV720942 FAR720942 FKN720942 FUJ720942 GEF720942 GOB720942 GXX720942 HHT720942 HRP720942 IBL720942 ILH720942 IVD720942 JEZ720942 JOV720942 JYR720942 KIN720942 KSJ720942 LCF720942 LMB720942 LVX720942 MFT720942 MPP720942 MZL720942 NJH720942 NTD720942 OCZ720942 OMV720942 OWR720942 PGN720942 PQJ720942 QAF720942 QKB720942 QTX720942 RDT720942 RNP720942 RXL720942 SHH720942 SRD720942 TAZ720942 TKV720942 TUR720942 UEN720942 UOJ720942 UYF720942 VIB720942 VRX720942 WBT720942 WLP720942 WVL720942 D786478 IZ786478 SV786478 ACR786478 AMN786478 AWJ786478 BGF786478 BQB786478 BZX786478 CJT786478 CTP786478 DDL786478 DNH786478 DXD786478 EGZ786478 EQV786478 FAR786478 FKN786478 FUJ786478 GEF786478 GOB786478 GXX786478 HHT786478 HRP786478 IBL786478 ILH786478 IVD786478 JEZ786478 JOV786478 JYR786478 KIN786478 KSJ786478 LCF786478 LMB786478 LVX786478 MFT786478 MPP786478 MZL786478 NJH786478 NTD786478 OCZ786478 OMV786478 OWR786478 PGN786478 PQJ786478 QAF786478 QKB786478 QTX786478 RDT786478 RNP786478 RXL786478 SHH786478 SRD786478 TAZ786478 TKV786478 TUR786478 UEN786478 UOJ786478 UYF786478 VIB786478 VRX786478 WBT786478 WLP786478 WVL786478 D852014 IZ852014 SV852014 ACR852014 AMN852014 AWJ852014 BGF852014 BQB852014 BZX852014 CJT852014 CTP852014 DDL852014 DNH852014 DXD852014 EGZ852014 EQV852014 FAR852014 FKN852014 FUJ852014 GEF852014 GOB852014 GXX852014 HHT852014 HRP852014 IBL852014 ILH852014 IVD852014 JEZ852014 JOV852014 JYR852014 KIN852014 KSJ852014 LCF852014 LMB852014 LVX852014 MFT852014 MPP852014 MZL852014 NJH852014 NTD852014 OCZ852014 OMV852014 OWR852014 PGN852014 PQJ852014 QAF852014 QKB852014 QTX852014 RDT852014 RNP852014 RXL852014 SHH852014 SRD852014 TAZ852014 TKV852014 TUR852014 UEN852014 UOJ852014 UYF852014 VIB852014 VRX852014 WBT852014 WLP852014 WVL852014 D917550 IZ917550 SV917550 ACR917550 AMN917550 AWJ917550 BGF917550 BQB917550 BZX917550 CJT917550 CTP917550 DDL917550 DNH917550 DXD917550 EGZ917550 EQV917550 FAR917550 FKN917550 FUJ917550 GEF917550 GOB917550 GXX917550 HHT917550 HRP917550 IBL917550 ILH917550 IVD917550 JEZ917550 JOV917550 JYR917550 KIN917550 KSJ917550 LCF917550 LMB917550 LVX917550 MFT917550 MPP917550 MZL917550 NJH917550 NTD917550 OCZ917550 OMV917550 OWR917550 PGN917550 PQJ917550 QAF917550 QKB917550 QTX917550 RDT917550 RNP917550 RXL917550 SHH917550 SRD917550 TAZ917550 TKV917550 TUR917550 UEN917550 UOJ917550 UYF917550 VIB917550 VRX917550 WBT917550 WLP917550 WVL917550 D983086 IZ983086 SV983086 ACR983086 AMN983086 AWJ983086 BGF983086 BQB983086 BZX983086 CJT983086 CTP983086 DDL983086 DNH983086 DXD983086 EGZ983086 EQV983086 FAR983086 FKN983086 FUJ983086 GEF983086 GOB983086 GXX983086 HHT983086 HRP983086 IBL983086 ILH983086 IVD983086 JEZ983086 JOV983086 JYR983086 KIN983086 KSJ983086 LCF983086 LMB983086 LVX983086 MFT983086 MPP983086 MZL983086 NJH983086 NTD983086 OCZ983086 OMV983086 OWR983086 PGN983086 PQJ983086 QAF983086 QKB983086 QTX983086 RDT983086 RNP983086 RXL983086 SHH983086 SRD983086 TAZ983086 TKV983086 TUR983086 UEN983086 UOJ983086 UYF983086 VIB983086 VRX983086 WBT983086 WLP983086 WVL983086 WVL983047 IZ7:IZ9 SV7:SV9 ACR7:ACR9 AMN7:AMN9 AWJ7:AWJ9 BGF7:BGF9 BQB7:BQB9 BZX7:BZX9 CJT7:CJT9 CTP7:CTP9 DDL7:DDL9 DNH7:DNH9 DXD7:DXD9 EGZ7:EGZ9 EQV7:EQV9 FAR7:FAR9 FKN7:FKN9 FUJ7:FUJ9 GEF7:GEF9 GOB7:GOB9 GXX7:GXX9 HHT7:HHT9 HRP7:HRP9 IBL7:IBL9 ILH7:ILH9 IVD7:IVD9 JEZ7:JEZ9 JOV7:JOV9 JYR7:JYR9 KIN7:KIN9 KSJ7:KSJ9 LCF7:LCF9 LMB7:LMB9 LVX7:LVX9 MFT7:MFT9 MPP7:MPP9 MZL7:MZL9 NJH7:NJH9 NTD7:NTD9 OCZ7:OCZ9 OMV7:OMV9 OWR7:OWR9 PGN7:PGN9 PQJ7:PQJ9 QAF7:QAF9 QKB7:QKB9 QTX7:QTX9 RDT7:RDT9 RNP7:RNP9 RXL7:RXL9 SHH7:SHH9 SRD7:SRD9 TAZ7:TAZ9 TKV7:TKV9 TUR7:TUR9 UEN7:UEN9 UOJ7:UOJ9 UYF7:UYF9 VIB7:VIB9 VRX7:VRX9 WBT7:WBT9 WLP7:WLP9 WVL7:WVL9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D48" xr:uid="{C7B334FB-9F1E-496D-8F4C-6E5A00146B80}">
      <formula1>"Core1,Core2,Core3"</formula1>
    </dataValidation>
  </dataValidations>
  <printOptions horizontalCentered="1" verticalCentered="1"/>
  <pageMargins left="0.5" right="0.5" top="0.5" bottom="0.5" header="0" footer="0"/>
  <pageSetup paperSize="9" scale="99" orientation="portrait" r:id="rId1"/>
  <headerFooter alignWithMargins="0"/>
  <rowBreaks count="2" manualBreakCount="2">
    <brk id="46" max="21" man="1"/>
    <brk id="87"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273409" r:id="rId4" name="Button 1">
              <controlPr defaultSize="0" print="0" autoFill="0" autoPict="0" macro="[2]!Button1_Click">
                <anchor moveWithCells="1" sizeWithCells="1">
                  <from>
                    <xdr:col>22</xdr:col>
                    <xdr:colOff>0</xdr:colOff>
                    <xdr:row>1</xdr:row>
                    <xdr:rowOff>365760</xdr:rowOff>
                  </from>
                  <to>
                    <xdr:col>25</xdr:col>
                    <xdr:colOff>60960</xdr:colOff>
                    <xdr:row>3</xdr:row>
                    <xdr:rowOff>289560</xdr:rowOff>
                  </to>
                </anchor>
              </controlPr>
            </control>
          </mc:Choice>
        </mc:AlternateContent>
      </controls>
    </mc:Choice>
  </mc:AlternateConten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00D36-2744-4E8E-BB8E-E353E80CDDCE}">
  <sheetPr>
    <tabColor indexed="45"/>
  </sheetPr>
  <dimension ref="A1:AC419"/>
  <sheetViews>
    <sheetView showZeros="0" view="pageBreakPreview" zoomScale="178" zoomScaleNormal="100" workbookViewId="0">
      <selection activeCell="T8" sqref="T8:U8"/>
    </sheetView>
  </sheetViews>
  <sheetFormatPr defaultColWidth="4.33203125" defaultRowHeight="18" customHeight="1"/>
  <cols>
    <col min="1" max="16" width="4.33203125" style="30"/>
    <col min="17" max="17" width="4.33203125" style="30" customWidth="1"/>
    <col min="18" max="21" width="4.33203125" style="30"/>
    <col min="22" max="22" width="4.33203125" style="30" customWidth="1"/>
    <col min="23" max="16384" width="4.33203125" style="30"/>
  </cols>
  <sheetData>
    <row r="1" spans="1:29" ht="18" customHeight="1">
      <c r="A1" s="717" t="s">
        <v>0</v>
      </c>
      <c r="B1" s="718"/>
      <c r="C1" s="718"/>
      <c r="D1" s="718"/>
      <c r="E1" s="718"/>
      <c r="F1" s="718"/>
      <c r="G1" s="719"/>
      <c r="H1" s="726" t="str">
        <f>[4]Title!H1</f>
        <v>CT / VT</v>
      </c>
      <c r="I1" s="727"/>
      <c r="J1" s="727"/>
      <c r="K1" s="727"/>
      <c r="L1" s="727"/>
      <c r="M1" s="727"/>
      <c r="N1" s="728"/>
      <c r="O1" s="702" t="str">
        <f>[4]Title!O1</f>
        <v>Contract No.</v>
      </c>
      <c r="P1" s="703"/>
      <c r="Q1" s="704"/>
      <c r="R1" s="705" t="str">
        <f>[4]Title!R1</f>
        <v>N-19957.1-DF5W</v>
      </c>
      <c r="S1" s="706"/>
      <c r="T1" s="706"/>
      <c r="U1" s="706"/>
      <c r="V1" s="707"/>
      <c r="W1" s="14"/>
      <c r="X1" s="14"/>
    </row>
    <row r="2" spans="1:29" ht="18" customHeight="1">
      <c r="A2" s="720"/>
      <c r="B2" s="721"/>
      <c r="C2" s="721"/>
      <c r="D2" s="721"/>
      <c r="E2" s="721"/>
      <c r="F2" s="721"/>
      <c r="G2" s="722"/>
      <c r="H2" s="729" t="str">
        <f>[4]Title!H2</f>
        <v>ADEQUACY CHECK</v>
      </c>
      <c r="I2" s="730"/>
      <c r="J2" s="730"/>
      <c r="K2" s="730"/>
      <c r="L2" s="730"/>
      <c r="M2" s="730"/>
      <c r="N2" s="731"/>
      <c r="O2" s="702" t="str">
        <f>[4]Title!O2</f>
        <v>Date</v>
      </c>
      <c r="P2" s="703"/>
      <c r="Q2" s="704"/>
      <c r="R2" s="732">
        <f>[4]Title!R2</f>
        <v>45925</v>
      </c>
      <c r="S2" s="706"/>
      <c r="T2" s="706"/>
      <c r="U2" s="706"/>
      <c r="V2" s="707"/>
      <c r="W2" s="14"/>
      <c r="X2" s="14"/>
    </row>
    <row r="3" spans="1:29" ht="18" customHeight="1">
      <c r="A3" s="720"/>
      <c r="B3" s="721"/>
      <c r="C3" s="721"/>
      <c r="D3" s="721"/>
      <c r="E3" s="721"/>
      <c r="F3" s="721"/>
      <c r="G3" s="722"/>
      <c r="H3" s="735" t="str">
        <f>[4]Title!H3</f>
        <v>33kV DF5W SS</v>
      </c>
      <c r="I3" s="736"/>
      <c r="J3" s="736"/>
      <c r="K3" s="736"/>
      <c r="L3" s="736"/>
      <c r="M3" s="736"/>
      <c r="N3" s="737"/>
      <c r="O3" s="702" t="str">
        <f>[4]Title!O3</f>
        <v>Document No.</v>
      </c>
      <c r="P3" s="703"/>
      <c r="Q3" s="704"/>
      <c r="R3" s="705" t="str">
        <f>[4]Title!R3</f>
        <v>-</v>
      </c>
      <c r="S3" s="706"/>
      <c r="T3" s="706"/>
      <c r="U3" s="706"/>
      <c r="V3" s="707"/>
      <c r="W3" s="14"/>
      <c r="X3" s="14"/>
    </row>
    <row r="4" spans="1:29" ht="18" customHeight="1">
      <c r="A4" s="723"/>
      <c r="B4" s="724"/>
      <c r="C4" s="724"/>
      <c r="D4" s="724"/>
      <c r="E4" s="724"/>
      <c r="F4" s="724"/>
      <c r="G4" s="725"/>
      <c r="H4" s="738"/>
      <c r="I4" s="739"/>
      <c r="J4" s="739"/>
      <c r="K4" s="739"/>
      <c r="L4" s="739"/>
      <c r="M4" s="739"/>
      <c r="N4" s="740"/>
      <c r="O4" s="702" t="str">
        <f>[4]Title!O4</f>
        <v>Revision No.</v>
      </c>
      <c r="P4" s="703"/>
      <c r="Q4" s="704"/>
      <c r="R4" s="705" t="str">
        <f>[4]Title!R4</f>
        <v>A</v>
      </c>
      <c r="S4" s="706"/>
      <c r="T4" s="706"/>
      <c r="U4" s="706"/>
      <c r="V4" s="707"/>
      <c r="W4" s="14"/>
      <c r="X4" s="14"/>
    </row>
    <row r="5" spans="1:29" ht="18" customHeight="1">
      <c r="A5" s="708" t="str">
        <f>[4]Title!A5</f>
        <v>Prep. By</v>
      </c>
      <c r="B5" s="709"/>
      <c r="C5" s="25" t="str">
        <f>[4]Title!C5</f>
        <v>AP</v>
      </c>
      <c r="D5" s="708" t="str">
        <f>[4]Title!D5</f>
        <v>Checked By</v>
      </c>
      <c r="E5" s="710"/>
      <c r="F5" s="709"/>
      <c r="G5" s="25" t="str">
        <f>[4]Title!G5</f>
        <v>RB</v>
      </c>
      <c r="H5" s="711" t="s">
        <v>395</v>
      </c>
      <c r="I5" s="712"/>
      <c r="J5" s="712"/>
      <c r="K5" s="712"/>
      <c r="L5" s="712"/>
      <c r="M5" s="712"/>
      <c r="N5" s="713"/>
      <c r="O5" s="714" t="str">
        <f>[4]Title!O5</f>
        <v>Contractor</v>
      </c>
      <c r="P5" s="715"/>
      <c r="Q5" s="716"/>
      <c r="R5" s="705" t="str">
        <f>[4]Title!R5</f>
        <v>HITACHI</v>
      </c>
      <c r="S5" s="706"/>
      <c r="T5" s="706"/>
      <c r="U5" s="706"/>
      <c r="V5" s="707"/>
      <c r="W5" s="14"/>
      <c r="X5" s="14"/>
    </row>
    <row r="6" spans="1:29" ht="18" customHeight="1">
      <c r="A6" s="196"/>
      <c r="V6" s="197"/>
    </row>
    <row r="7" spans="1:29" ht="18" customHeight="1">
      <c r="A7" s="196"/>
      <c r="B7" s="940" t="s">
        <v>870</v>
      </c>
      <c r="C7" s="941"/>
      <c r="D7" s="940" t="s">
        <v>517</v>
      </c>
      <c r="E7" s="941"/>
      <c r="F7" s="1182" t="s">
        <v>871</v>
      </c>
      <c r="G7" s="1182"/>
      <c r="H7" s="638" t="s">
        <v>872</v>
      </c>
      <c r="I7" s="638"/>
      <c r="J7" s="638"/>
      <c r="K7" s="638"/>
      <c r="L7" s="638"/>
      <c r="M7" s="638"/>
      <c r="P7" s="198"/>
      <c r="S7" s="199" t="s">
        <v>398</v>
      </c>
      <c r="T7" s="940" t="s">
        <v>920</v>
      </c>
      <c r="U7" s="941"/>
      <c r="V7" s="197"/>
    </row>
    <row r="8" spans="1:29" ht="18" customHeight="1">
      <c r="A8" s="196"/>
      <c r="B8" s="944" t="s">
        <v>873</v>
      </c>
      <c r="C8" s="944"/>
      <c r="D8" s="940" t="s">
        <v>124</v>
      </c>
      <c r="E8" s="941"/>
      <c r="F8" s="468"/>
      <c r="T8" s="940"/>
      <c r="U8" s="941"/>
      <c r="V8" s="197"/>
    </row>
    <row r="9" spans="1:29" ht="18" customHeight="1">
      <c r="A9" s="196"/>
      <c r="H9" s="662" t="s">
        <v>401</v>
      </c>
      <c r="I9" s="662"/>
      <c r="J9" s="701" t="s">
        <v>402</v>
      </c>
      <c r="K9" s="701"/>
      <c r="L9" s="701" t="s">
        <v>403</v>
      </c>
      <c r="M9" s="701"/>
      <c r="T9" s="940"/>
      <c r="U9" s="941"/>
      <c r="V9" s="197"/>
    </row>
    <row r="10" spans="1:29" ht="18" customHeight="1">
      <c r="A10" s="196"/>
      <c r="B10" s="47" t="s">
        <v>404</v>
      </c>
      <c r="H10" s="942">
        <v>4000</v>
      </c>
      <c r="I10" s="943"/>
      <c r="J10" s="940">
        <v>3000</v>
      </c>
      <c r="K10" s="941"/>
      <c r="L10" s="940" t="s">
        <v>7</v>
      </c>
      <c r="M10" s="941"/>
      <c r="N10" s="203" t="s">
        <v>353</v>
      </c>
      <c r="O10" s="515">
        <v>1</v>
      </c>
      <c r="P10" s="27" t="s">
        <v>9</v>
      </c>
      <c r="V10" s="197"/>
    </row>
    <row r="11" spans="1:29" ht="18" customHeight="1">
      <c r="A11" s="196"/>
      <c r="B11" s="47" t="s">
        <v>405</v>
      </c>
      <c r="H11" s="940" t="s">
        <v>406</v>
      </c>
      <c r="I11" s="941"/>
      <c r="V11" s="197"/>
    </row>
    <row r="12" spans="1:29" ht="18" customHeight="1">
      <c r="A12" s="196"/>
      <c r="B12" s="47" t="s">
        <v>407</v>
      </c>
      <c r="G12" s="120" t="s">
        <v>508</v>
      </c>
      <c r="H12" s="940">
        <v>14</v>
      </c>
      <c r="I12" s="941"/>
      <c r="J12" s="204" t="s">
        <v>344</v>
      </c>
      <c r="V12" s="197"/>
    </row>
    <row r="13" spans="1:29" ht="18" customHeight="1">
      <c r="A13" s="196"/>
      <c r="B13" s="47" t="s">
        <v>409</v>
      </c>
      <c r="G13" s="120" t="s">
        <v>509</v>
      </c>
      <c r="H13" s="940">
        <v>4000</v>
      </c>
      <c r="I13" s="941"/>
      <c r="J13" s="14" t="s">
        <v>316</v>
      </c>
      <c r="V13" s="197"/>
      <c r="W13" s="30" t="s">
        <v>411</v>
      </c>
      <c r="AB13" s="996">
        <f>M118</f>
        <v>2930.2612520379485</v>
      </c>
      <c r="AC13" s="997"/>
    </row>
    <row r="14" spans="1:29" ht="18" customHeight="1">
      <c r="A14" s="196"/>
      <c r="B14" s="14" t="s">
        <v>412</v>
      </c>
      <c r="G14" s="120" t="s">
        <v>413</v>
      </c>
      <c r="H14" s="940">
        <v>25</v>
      </c>
      <c r="I14" s="941"/>
      <c r="J14" s="14" t="s">
        <v>414</v>
      </c>
      <c r="V14" s="197"/>
    </row>
    <row r="15" spans="1:29" ht="18" customHeight="1">
      <c r="A15" s="196"/>
      <c r="V15" s="197"/>
    </row>
    <row r="16" spans="1:29" ht="18" customHeight="1">
      <c r="A16" s="205" t="s">
        <v>415</v>
      </c>
      <c r="V16" s="197"/>
    </row>
    <row r="17" spans="1:22" ht="18" customHeight="1">
      <c r="A17" s="196"/>
      <c r="V17" s="197"/>
    </row>
    <row r="18" spans="1:22" ht="18" customHeight="1">
      <c r="A18" s="196"/>
      <c r="B18" s="206" t="s">
        <v>416</v>
      </c>
      <c r="C18" s="207"/>
      <c r="D18" s="207" t="str">
        <f>T7</f>
        <v>P545</v>
      </c>
      <c r="E18" s="208"/>
      <c r="F18" s="208"/>
      <c r="G18" s="208"/>
      <c r="H18" s="194" t="s">
        <v>417</v>
      </c>
      <c r="I18" s="195" t="s">
        <v>138</v>
      </c>
      <c r="J18" s="1178">
        <v>0.02</v>
      </c>
      <c r="K18" s="1179"/>
      <c r="L18" s="214" t="s">
        <v>168</v>
      </c>
      <c r="V18" s="197"/>
    </row>
    <row r="19" spans="1:22" ht="18" customHeight="1">
      <c r="A19" s="196"/>
      <c r="B19" s="196" t="s">
        <v>416</v>
      </c>
      <c r="D19" s="308">
        <f>T8</f>
        <v>0</v>
      </c>
      <c r="I19" s="28" t="s">
        <v>138</v>
      </c>
      <c r="J19" s="1178"/>
      <c r="K19" s="1179"/>
      <c r="L19" s="309" t="s">
        <v>168</v>
      </c>
      <c r="V19" s="197"/>
    </row>
    <row r="20" spans="1:22" ht="18" customHeight="1">
      <c r="A20" s="196"/>
      <c r="B20" s="196" t="s">
        <v>416</v>
      </c>
      <c r="D20" s="308">
        <f>T9</f>
        <v>0</v>
      </c>
      <c r="E20" s="14"/>
      <c r="G20" s="211"/>
      <c r="H20" s="27"/>
      <c r="I20" s="101" t="s">
        <v>138</v>
      </c>
      <c r="J20" s="1178"/>
      <c r="K20" s="1179"/>
      <c r="L20" s="439" t="s">
        <v>168</v>
      </c>
      <c r="V20" s="197"/>
    </row>
    <row r="21" spans="1:22" ht="18" customHeight="1">
      <c r="A21" s="196"/>
      <c r="B21" s="196" t="s">
        <v>423</v>
      </c>
      <c r="H21" s="27"/>
      <c r="I21" s="189" t="s">
        <v>138</v>
      </c>
      <c r="J21" s="1180">
        <f>'[6]CT-VT Burdens'!S23</f>
        <v>0.56186130000000001</v>
      </c>
      <c r="K21" s="1181"/>
      <c r="L21" s="439" t="s">
        <v>168</v>
      </c>
      <c r="V21" s="197"/>
    </row>
    <row r="22" spans="1:22" ht="18" customHeight="1">
      <c r="A22" s="196"/>
      <c r="B22" s="217" t="s">
        <v>424</v>
      </c>
      <c r="C22" s="218"/>
      <c r="D22" s="218"/>
      <c r="E22" s="218"/>
      <c r="F22" s="219"/>
      <c r="G22" s="219"/>
      <c r="H22" s="202" t="s">
        <v>420</v>
      </c>
      <c r="I22" s="220" t="s">
        <v>138</v>
      </c>
      <c r="J22" s="897">
        <f>SUM(J19:K21)</f>
        <v>0.56186130000000001</v>
      </c>
      <c r="K22" s="797"/>
      <c r="L22" s="441"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57" t="s">
        <v>660</v>
      </c>
      <c r="C25" s="257" t="s">
        <v>138</v>
      </c>
      <c r="D25" s="254" t="s">
        <v>417</v>
      </c>
      <c r="E25" s="559" t="s">
        <v>421</v>
      </c>
      <c r="F25" s="257" t="s">
        <v>157</v>
      </c>
      <c r="G25" s="233" t="s">
        <v>326</v>
      </c>
      <c r="H25" s="234" t="s">
        <v>157</v>
      </c>
      <c r="I25" s="254" t="s">
        <v>361</v>
      </c>
      <c r="J25" s="516"/>
      <c r="K25" s="254"/>
      <c r="L25" s="560"/>
      <c r="M25" s="257" t="s">
        <v>419</v>
      </c>
      <c r="N25" s="257" t="s">
        <v>138</v>
      </c>
      <c r="O25" s="254" t="s">
        <v>420</v>
      </c>
      <c r="P25" s="561" t="s">
        <v>421</v>
      </c>
      <c r="Q25" s="556" t="s">
        <v>422</v>
      </c>
      <c r="R25" s="257" t="s">
        <v>326</v>
      </c>
      <c r="S25" s="254" t="s">
        <v>422</v>
      </c>
      <c r="T25" s="254" t="s">
        <v>361</v>
      </c>
      <c r="V25" s="197"/>
    </row>
    <row r="26" spans="1:22" ht="18" customHeight="1">
      <c r="A26" s="196"/>
      <c r="B26" s="560"/>
      <c r="C26" s="257" t="s">
        <v>138</v>
      </c>
      <c r="D26" s="313">
        <f>J18</f>
        <v>0.02</v>
      </c>
      <c r="E26" s="561" t="s">
        <v>421</v>
      </c>
      <c r="F26" s="257">
        <f>'[6]CT-VT Burdens'!S19</f>
        <v>1</v>
      </c>
      <c r="G26" s="257" t="s">
        <v>326</v>
      </c>
      <c r="H26" s="257">
        <f>'[6]CT-VT Burdens'!S19</f>
        <v>1</v>
      </c>
      <c r="I26" s="254" t="s">
        <v>361</v>
      </c>
      <c r="J26" s="516"/>
      <c r="K26" s="254"/>
      <c r="L26" s="560"/>
      <c r="M26" s="254"/>
      <c r="N26" s="257" t="s">
        <v>138</v>
      </c>
      <c r="O26" s="313">
        <f>J22</f>
        <v>0.56186130000000001</v>
      </c>
      <c r="P26" s="561" t="s">
        <v>421</v>
      </c>
      <c r="Q26" s="257">
        <f>O10</f>
        <v>1</v>
      </c>
      <c r="R26" s="257" t="s">
        <v>326</v>
      </c>
      <c r="S26" s="257">
        <f>O10</f>
        <v>1</v>
      </c>
      <c r="T26" s="254" t="s">
        <v>361</v>
      </c>
      <c r="V26" s="197"/>
    </row>
    <row r="27" spans="1:22" ht="18" customHeight="1">
      <c r="A27" s="196"/>
      <c r="B27" s="560"/>
      <c r="C27" s="257" t="s">
        <v>138</v>
      </c>
      <c r="D27" s="640">
        <f>D26/(F26*H26)</f>
        <v>0.02</v>
      </c>
      <c r="E27" s="640"/>
      <c r="F27" s="562" t="s">
        <v>344</v>
      </c>
      <c r="G27" s="254"/>
      <c r="H27" s="254"/>
      <c r="I27" s="254"/>
      <c r="J27" s="516"/>
      <c r="K27" s="254"/>
      <c r="L27" s="560"/>
      <c r="M27" s="254"/>
      <c r="N27" s="257" t="s">
        <v>138</v>
      </c>
      <c r="O27" s="640">
        <f>O26/(Q26*S26)</f>
        <v>0.56186130000000001</v>
      </c>
      <c r="P27" s="640"/>
      <c r="Q27" s="562" t="s">
        <v>344</v>
      </c>
      <c r="R27" s="254"/>
      <c r="S27" s="254"/>
      <c r="T27" s="254"/>
      <c r="V27" s="197"/>
    </row>
    <row r="28" spans="1:22" ht="18" customHeight="1">
      <c r="A28" s="196"/>
      <c r="B28" s="47"/>
      <c r="C28" s="47"/>
      <c r="D28" s="47"/>
      <c r="E28" s="47"/>
      <c r="H28" s="27"/>
      <c r="I28" s="28"/>
      <c r="J28" s="211"/>
      <c r="L28" s="47"/>
      <c r="O28" s="27"/>
      <c r="P28" s="223"/>
      <c r="Q28" s="223"/>
      <c r="V28" s="197"/>
    </row>
    <row r="29" spans="1:22" ht="18" customHeight="1">
      <c r="A29" s="196"/>
      <c r="B29" s="47" t="s">
        <v>874</v>
      </c>
      <c r="C29" s="47"/>
      <c r="D29" s="47"/>
      <c r="E29" s="47"/>
      <c r="H29" s="27"/>
      <c r="I29" s="28"/>
      <c r="J29" s="211"/>
      <c r="L29" s="28" t="s">
        <v>138</v>
      </c>
      <c r="M29" s="640">
        <f>D27</f>
        <v>0.02</v>
      </c>
      <c r="N29" s="640"/>
      <c r="O29" s="257" t="s">
        <v>358</v>
      </c>
      <c r="P29" s="640">
        <f>O27</f>
        <v>0.56186130000000001</v>
      </c>
      <c r="Q29" s="640"/>
      <c r="R29" s="555" t="s">
        <v>138</v>
      </c>
      <c r="S29" s="640">
        <f>M29+P29</f>
        <v>0.58186130000000003</v>
      </c>
      <c r="T29" s="640"/>
      <c r="U29" s="204" t="s">
        <v>344</v>
      </c>
      <c r="V29" s="197"/>
    </row>
    <row r="30" spans="1:22" ht="18" customHeight="1">
      <c r="A30" s="196"/>
      <c r="B30" s="47"/>
      <c r="C30" s="47"/>
      <c r="D30" s="47"/>
      <c r="E30" s="47"/>
      <c r="H30" s="27"/>
      <c r="I30" s="28"/>
      <c r="J30" s="211"/>
      <c r="L30" s="47"/>
      <c r="M30" s="313"/>
      <c r="N30" s="257"/>
      <c r="O30" s="555"/>
      <c r="P30" s="555"/>
      <c r="Q30" s="555"/>
      <c r="R30" s="204"/>
      <c r="V30" s="197"/>
    </row>
    <row r="31" spans="1:22" ht="18" customHeight="1">
      <c r="A31" s="116" t="s">
        <v>425</v>
      </c>
      <c r="B31" s="47"/>
      <c r="D31" s="47"/>
      <c r="E31" s="47"/>
      <c r="H31" s="27"/>
      <c r="I31" s="28"/>
      <c r="J31" s="211"/>
      <c r="L31" s="47"/>
      <c r="M31" s="313"/>
      <c r="N31" s="257"/>
      <c r="O31" s="555"/>
      <c r="P31" s="555"/>
      <c r="Q31" s="555"/>
      <c r="R31" s="204"/>
      <c r="V31" s="197"/>
    </row>
    <row r="32" spans="1:22" ht="18" customHeight="1">
      <c r="A32" s="284" t="s">
        <v>875</v>
      </c>
      <c r="V32" s="197"/>
    </row>
    <row r="33" spans="1:27" ht="18" customHeight="1">
      <c r="A33" s="196"/>
      <c r="B33" s="30" t="s">
        <v>484</v>
      </c>
      <c r="C33" s="27" t="s">
        <v>540</v>
      </c>
      <c r="D33" s="27" t="s">
        <v>876</v>
      </c>
      <c r="E33" s="27" t="s">
        <v>326</v>
      </c>
      <c r="F33" s="27" t="s">
        <v>522</v>
      </c>
      <c r="G33" s="27" t="s">
        <v>383</v>
      </c>
      <c r="H33" s="27" t="s">
        <v>431</v>
      </c>
      <c r="I33" s="27" t="s">
        <v>358</v>
      </c>
      <c r="J33" s="27" t="s">
        <v>877</v>
      </c>
      <c r="K33" s="30" t="s">
        <v>361</v>
      </c>
      <c r="U33" s="30" t="s">
        <v>878</v>
      </c>
      <c r="V33" s="197"/>
    </row>
    <row r="34" spans="1:27" ht="18" customHeight="1">
      <c r="A34" s="196"/>
      <c r="V34" s="197"/>
    </row>
    <row r="35" spans="1:27" s="291" customFormat="1" ht="18" customHeight="1">
      <c r="A35" s="1002" t="s">
        <v>879</v>
      </c>
      <c r="B35" s="965"/>
      <c r="C35" s="965"/>
      <c r="D35" s="965"/>
      <c r="E35" s="965"/>
      <c r="F35" s="965"/>
      <c r="G35" s="965"/>
      <c r="H35" s="965"/>
      <c r="I35" s="965"/>
      <c r="J35" s="965"/>
      <c r="K35" s="965"/>
      <c r="L35" s="965"/>
      <c r="M35" s="965"/>
      <c r="N35" s="965"/>
      <c r="O35" s="965"/>
      <c r="P35" s="965"/>
      <c r="Q35" s="965"/>
      <c r="R35" s="965"/>
      <c r="S35" s="965"/>
      <c r="T35" s="965"/>
      <c r="U35" s="965"/>
      <c r="V35" s="966"/>
      <c r="AA35" s="209"/>
    </row>
    <row r="36" spans="1:27" s="291" customFormat="1" ht="18" customHeight="1">
      <c r="A36" s="967"/>
      <c r="B36" s="965"/>
      <c r="C36" s="965"/>
      <c r="D36" s="965"/>
      <c r="E36" s="965"/>
      <c r="F36" s="965"/>
      <c r="G36" s="965"/>
      <c r="H36" s="965"/>
      <c r="I36" s="965"/>
      <c r="J36" s="965"/>
      <c r="K36" s="965"/>
      <c r="L36" s="965"/>
      <c r="M36" s="965"/>
      <c r="N36" s="965"/>
      <c r="O36" s="965"/>
      <c r="P36" s="965"/>
      <c r="Q36" s="965"/>
      <c r="R36" s="965"/>
      <c r="S36" s="965"/>
      <c r="T36" s="965"/>
      <c r="U36" s="965"/>
      <c r="V36" s="966"/>
    </row>
    <row r="37" spans="1:27" s="291" customFormat="1" ht="18" customHeight="1">
      <c r="A37" s="925">
        <v>1</v>
      </c>
      <c r="B37" s="1176" t="s">
        <v>880</v>
      </c>
      <c r="C37" s="1176"/>
      <c r="D37" s="1176"/>
      <c r="E37" s="1176"/>
      <c r="F37" s="1176"/>
      <c r="G37" s="1176"/>
      <c r="H37" s="1176"/>
      <c r="I37" s="1176"/>
      <c r="J37" s="1176"/>
      <c r="K37" s="1176"/>
      <c r="L37" s="1176"/>
      <c r="M37" s="1176"/>
      <c r="N37" s="1176"/>
      <c r="O37" s="1176"/>
      <c r="P37" s="1176"/>
      <c r="Q37" s="1176"/>
      <c r="R37" s="1176"/>
      <c r="S37" s="1176"/>
      <c r="T37" s="1176"/>
      <c r="U37" s="1176"/>
      <c r="V37" s="1177"/>
    </row>
    <row r="38" spans="1:27" s="291" customFormat="1" ht="18" customHeight="1">
      <c r="A38" s="925"/>
      <c r="B38" s="1176"/>
      <c r="C38" s="1176"/>
      <c r="D38" s="1176"/>
      <c r="E38" s="1176"/>
      <c r="F38" s="1176"/>
      <c r="G38" s="1176"/>
      <c r="H38" s="1176"/>
      <c r="I38" s="1176"/>
      <c r="J38" s="1176"/>
      <c r="K38" s="1176"/>
      <c r="L38" s="1176"/>
      <c r="M38" s="1176"/>
      <c r="N38" s="1176"/>
      <c r="O38" s="1176"/>
      <c r="P38" s="1176"/>
      <c r="Q38" s="1176"/>
      <c r="R38" s="1176"/>
      <c r="S38" s="1176"/>
      <c r="T38" s="1176"/>
      <c r="U38" s="1176"/>
      <c r="V38" s="1177"/>
    </row>
    <row r="39" spans="1:27" s="291" customFormat="1" ht="18" customHeight="1">
      <c r="A39" s="96"/>
      <c r="B39" s="120" t="s">
        <v>881</v>
      </c>
      <c r="C39" s="120" t="s">
        <v>430</v>
      </c>
      <c r="D39" s="638" t="s">
        <v>882</v>
      </c>
      <c r="E39" s="985"/>
      <c r="F39" s="28" t="s">
        <v>326</v>
      </c>
      <c r="G39" s="28" t="s">
        <v>352</v>
      </c>
      <c r="H39" s="47" t="s">
        <v>361</v>
      </c>
      <c r="I39" s="166" t="s">
        <v>710</v>
      </c>
      <c r="J39" s="120" t="s">
        <v>430</v>
      </c>
      <c r="K39" s="233">
        <v>1000</v>
      </c>
      <c r="L39" s="28" t="s">
        <v>326</v>
      </c>
      <c r="M39" s="28" t="s">
        <v>522</v>
      </c>
      <c r="N39" s="47" t="s">
        <v>361</v>
      </c>
      <c r="O39" s="28"/>
      <c r="P39" s="28"/>
      <c r="Q39" s="28"/>
      <c r="R39" s="28"/>
      <c r="S39" s="28"/>
      <c r="U39" s="14" t="s">
        <v>883</v>
      </c>
      <c r="V39" s="97"/>
    </row>
    <row r="40" spans="1:27" s="291" customFormat="1" ht="18" customHeight="1">
      <c r="A40" s="311"/>
      <c r="C40" s="14" t="s">
        <v>884</v>
      </c>
      <c r="M40" s="28"/>
      <c r="N40" s="28"/>
      <c r="O40" s="28"/>
      <c r="P40" s="28"/>
      <c r="Q40" s="28"/>
      <c r="R40" s="28"/>
      <c r="S40" s="28"/>
      <c r="T40" s="14"/>
      <c r="U40" s="28"/>
      <c r="V40" s="97"/>
    </row>
    <row r="41" spans="1:27" s="291" customFormat="1" ht="18" customHeight="1">
      <c r="A41" s="311"/>
      <c r="C41" s="14"/>
      <c r="D41" s="28" t="s">
        <v>876</v>
      </c>
      <c r="E41" s="28" t="s">
        <v>540</v>
      </c>
      <c r="F41" s="28">
        <v>40</v>
      </c>
      <c r="G41" s="28" t="s">
        <v>358</v>
      </c>
      <c r="H41" s="233">
        <v>7.0000000000000007E-2</v>
      </c>
      <c r="I41" s="28" t="s">
        <v>683</v>
      </c>
      <c r="J41" s="638" t="s">
        <v>882</v>
      </c>
      <c r="K41" s="985"/>
      <c r="L41" s="28" t="s">
        <v>326</v>
      </c>
      <c r="M41" s="28" t="s">
        <v>352</v>
      </c>
      <c r="N41" s="47" t="s">
        <v>361</v>
      </c>
      <c r="O41" s="28"/>
      <c r="P41" s="28"/>
      <c r="Q41" s="28"/>
      <c r="R41" s="28"/>
      <c r="S41" s="28"/>
      <c r="T41" s="14"/>
      <c r="U41" s="28"/>
      <c r="V41" s="97"/>
    </row>
    <row r="42" spans="1:27" s="291" customFormat="1" ht="18" customHeight="1">
      <c r="A42" s="337"/>
      <c r="B42" s="28"/>
      <c r="C42" s="28" t="s">
        <v>885</v>
      </c>
      <c r="D42" s="28" t="s">
        <v>876</v>
      </c>
      <c r="E42" s="28" t="s">
        <v>540</v>
      </c>
      <c r="F42" s="28">
        <v>65</v>
      </c>
      <c r="G42" s="14"/>
      <c r="H42" s="14"/>
      <c r="I42" s="120"/>
      <c r="J42" s="28"/>
      <c r="K42" s="28"/>
      <c r="L42" s="28"/>
      <c r="M42" s="28"/>
      <c r="N42" s="28"/>
      <c r="O42" s="28"/>
      <c r="P42" s="28"/>
      <c r="Q42" s="28"/>
      <c r="R42" s="28"/>
      <c r="S42" s="28"/>
      <c r="T42" s="14"/>
      <c r="U42" s="28"/>
      <c r="V42" s="97"/>
    </row>
    <row r="43" spans="1:27" s="291" customFormat="1" ht="18" customHeight="1">
      <c r="A43" s="337"/>
      <c r="B43" s="28"/>
      <c r="C43" s="28"/>
      <c r="D43" s="28"/>
      <c r="E43" s="28"/>
      <c r="F43" s="28"/>
      <c r="G43" s="14"/>
      <c r="H43" s="14"/>
      <c r="I43" s="120"/>
      <c r="J43" s="28"/>
      <c r="K43" s="28"/>
      <c r="L43" s="28"/>
      <c r="M43" s="28"/>
      <c r="N43" s="28"/>
      <c r="O43" s="28"/>
      <c r="P43" s="28"/>
      <c r="Q43" s="28"/>
      <c r="R43" s="28"/>
      <c r="S43" s="28"/>
      <c r="T43" s="14"/>
      <c r="U43" s="28"/>
      <c r="V43" s="97"/>
    </row>
    <row r="44" spans="1:27" s="291" customFormat="1" ht="18" customHeight="1">
      <c r="A44" s="337"/>
      <c r="B44" s="28"/>
      <c r="C44" s="28"/>
      <c r="D44" s="28"/>
      <c r="E44" s="28"/>
      <c r="F44" s="28"/>
      <c r="G44" s="14"/>
      <c r="H44" s="14"/>
      <c r="I44" s="120"/>
      <c r="J44" s="28"/>
      <c r="K44" s="28"/>
      <c r="L44" s="28"/>
      <c r="M44" s="28"/>
      <c r="N44" s="28"/>
      <c r="O44" s="28"/>
      <c r="P44" s="28"/>
      <c r="Q44" s="28"/>
      <c r="R44" s="28"/>
      <c r="S44" s="28"/>
      <c r="T44" s="14"/>
      <c r="U44" s="28"/>
      <c r="V44" s="97"/>
    </row>
    <row r="45" spans="1:27" s="291" customFormat="1" ht="18" customHeight="1">
      <c r="A45" s="337"/>
      <c r="B45" s="28"/>
      <c r="C45" s="28"/>
      <c r="D45" s="28"/>
      <c r="E45" s="14"/>
      <c r="F45" s="14"/>
      <c r="G45" s="120"/>
      <c r="H45" s="28"/>
      <c r="I45" s="28"/>
      <c r="J45" s="28"/>
      <c r="K45" s="28"/>
      <c r="L45" s="28"/>
      <c r="M45" s="28"/>
      <c r="N45" s="28"/>
      <c r="O45" s="28"/>
      <c r="P45" s="28"/>
      <c r="Q45" s="28"/>
      <c r="R45" s="28"/>
      <c r="S45" s="28"/>
      <c r="T45" s="14"/>
      <c r="U45" s="28"/>
      <c r="V45" s="97"/>
    </row>
    <row r="46" spans="1:27" s="291"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7" s="291" customFormat="1" ht="18" customHeight="1">
      <c r="A47" s="332"/>
      <c r="B47" s="145"/>
      <c r="C47" s="145"/>
      <c r="D47" s="145"/>
      <c r="E47" s="285"/>
      <c r="F47" s="285"/>
      <c r="G47" s="286"/>
      <c r="H47" s="145"/>
      <c r="I47" s="145"/>
      <c r="J47" s="145"/>
      <c r="K47" s="145"/>
      <c r="L47" s="145"/>
      <c r="M47" s="145"/>
      <c r="N47" s="145"/>
      <c r="O47" s="145"/>
      <c r="P47" s="145"/>
      <c r="Q47" s="145"/>
      <c r="R47" s="145"/>
      <c r="S47" s="145"/>
      <c r="T47" s="285"/>
      <c r="U47" s="145"/>
      <c r="V47" s="554"/>
    </row>
    <row r="48" spans="1:27" s="291" customFormat="1" ht="18" customHeight="1">
      <c r="A48" s="337"/>
      <c r="B48" s="120" t="s">
        <v>881</v>
      </c>
      <c r="C48" s="120" t="s">
        <v>430</v>
      </c>
      <c r="D48" s="233">
        <v>1000</v>
      </c>
      <c r="E48" s="28" t="s">
        <v>326</v>
      </c>
      <c r="F48" s="28" t="s">
        <v>522</v>
      </c>
      <c r="G48" s="47" t="s">
        <v>361</v>
      </c>
      <c r="H48" s="28" t="s">
        <v>886</v>
      </c>
      <c r="I48" s="120" t="s">
        <v>430</v>
      </c>
      <c r="J48" s="638" t="s">
        <v>882</v>
      </c>
      <c r="K48" s="985"/>
      <c r="L48" s="28" t="s">
        <v>326</v>
      </c>
      <c r="M48" s="28" t="s">
        <v>352</v>
      </c>
      <c r="N48" s="47" t="s">
        <v>361</v>
      </c>
      <c r="O48" s="166" t="s">
        <v>710</v>
      </c>
      <c r="P48" s="120" t="s">
        <v>430</v>
      </c>
      <c r="Q48" s="233">
        <v>2600</v>
      </c>
      <c r="R48" s="28" t="s">
        <v>326</v>
      </c>
      <c r="S48" s="28" t="s">
        <v>522</v>
      </c>
      <c r="T48" s="47" t="s">
        <v>361</v>
      </c>
      <c r="U48" s="14" t="s">
        <v>598</v>
      </c>
      <c r="V48" s="97"/>
    </row>
    <row r="49" spans="1:22" s="291" customFormat="1" ht="18" customHeight="1">
      <c r="A49" s="337"/>
      <c r="B49" s="28" t="s">
        <v>876</v>
      </c>
      <c r="C49" s="28" t="s">
        <v>138</v>
      </c>
      <c r="D49" s="28">
        <v>107</v>
      </c>
      <c r="E49" s="14"/>
      <c r="F49" s="14"/>
      <c r="G49" s="120"/>
      <c r="H49" s="28"/>
      <c r="I49" s="28"/>
      <c r="J49" s="28"/>
      <c r="K49" s="28"/>
      <c r="L49" s="28"/>
      <c r="M49" s="28"/>
      <c r="N49" s="28"/>
      <c r="O49" s="28"/>
      <c r="P49" s="28"/>
      <c r="Q49" s="28"/>
      <c r="R49" s="28"/>
      <c r="S49" s="28"/>
      <c r="T49" s="14"/>
      <c r="U49" s="28"/>
      <c r="V49" s="97"/>
    </row>
    <row r="50" spans="1:22" ht="18" customHeight="1">
      <c r="A50" s="196"/>
      <c r="V50" s="197"/>
    </row>
    <row r="51" spans="1:22" ht="18" customHeight="1">
      <c r="A51" s="563">
        <v>2</v>
      </c>
      <c r="B51" s="1176" t="s">
        <v>887</v>
      </c>
      <c r="C51" s="1176"/>
      <c r="D51" s="1176"/>
      <c r="E51" s="1176"/>
      <c r="F51" s="1176"/>
      <c r="G51" s="1176"/>
      <c r="H51" s="1176"/>
      <c r="I51" s="1176"/>
      <c r="J51" s="1176"/>
      <c r="K51" s="1176"/>
      <c r="L51" s="1176"/>
      <c r="M51" s="1176"/>
      <c r="N51" s="1176"/>
      <c r="O51" s="1176"/>
      <c r="P51" s="1176"/>
      <c r="Q51" s="1176"/>
      <c r="R51" s="1176"/>
      <c r="S51" s="1176"/>
      <c r="T51" s="1176"/>
      <c r="U51" s="1176"/>
      <c r="V51" s="1177"/>
    </row>
    <row r="52" spans="1:22" ht="18" customHeight="1">
      <c r="A52" s="284"/>
      <c r="B52" s="120" t="s">
        <v>881</v>
      </c>
      <c r="C52" s="120" t="s">
        <v>430</v>
      </c>
      <c r="D52" s="638" t="s">
        <v>882</v>
      </c>
      <c r="E52" s="985"/>
      <c r="F52" s="28" t="s">
        <v>326</v>
      </c>
      <c r="G52" s="28" t="s">
        <v>352</v>
      </c>
      <c r="H52" s="47" t="s">
        <v>361</v>
      </c>
      <c r="I52" s="166" t="s">
        <v>710</v>
      </c>
      <c r="J52" s="120" t="s">
        <v>430</v>
      </c>
      <c r="K52" s="233">
        <v>600</v>
      </c>
      <c r="L52" s="28" t="s">
        <v>326</v>
      </c>
      <c r="M52" s="28" t="s">
        <v>522</v>
      </c>
      <c r="N52" s="47" t="s">
        <v>361</v>
      </c>
      <c r="O52" s="28"/>
      <c r="P52" s="28"/>
      <c r="Q52" s="28"/>
      <c r="R52" s="28"/>
      <c r="S52" s="28"/>
      <c r="T52" s="291"/>
      <c r="U52" s="14" t="s">
        <v>888</v>
      </c>
      <c r="V52" s="97"/>
    </row>
    <row r="53" spans="1:22" ht="18" customHeight="1">
      <c r="A53" s="284"/>
      <c r="B53" s="291"/>
      <c r="C53" s="14" t="s">
        <v>884</v>
      </c>
      <c r="D53" s="291"/>
      <c r="E53" s="291"/>
      <c r="F53" s="291"/>
      <c r="G53" s="291"/>
      <c r="H53" s="291"/>
      <c r="I53" s="291"/>
      <c r="J53" s="291"/>
      <c r="K53" s="291"/>
      <c r="L53" s="291"/>
      <c r="M53" s="28"/>
      <c r="N53" s="28"/>
      <c r="O53" s="28"/>
      <c r="P53" s="28"/>
      <c r="Q53" s="28"/>
      <c r="R53" s="28"/>
      <c r="S53" s="28"/>
      <c r="T53" s="14"/>
      <c r="U53" s="28"/>
      <c r="V53" s="97"/>
    </row>
    <row r="54" spans="1:22" ht="18" customHeight="1">
      <c r="A54" s="284"/>
      <c r="B54" s="291"/>
      <c r="C54" s="14"/>
      <c r="D54" s="28" t="s">
        <v>876</v>
      </c>
      <c r="E54" s="28" t="s">
        <v>540</v>
      </c>
      <c r="F54" s="28">
        <v>40</v>
      </c>
      <c r="G54" s="28" t="s">
        <v>358</v>
      </c>
      <c r="H54" s="233">
        <v>0.35</v>
      </c>
      <c r="I54" s="28" t="s">
        <v>683</v>
      </c>
      <c r="J54" s="638" t="s">
        <v>882</v>
      </c>
      <c r="K54" s="985"/>
      <c r="L54" s="28" t="s">
        <v>326</v>
      </c>
      <c r="M54" s="28" t="s">
        <v>352</v>
      </c>
      <c r="N54" s="47" t="s">
        <v>361</v>
      </c>
      <c r="O54" s="28"/>
      <c r="P54" s="28"/>
      <c r="Q54" s="28"/>
      <c r="R54" s="28"/>
      <c r="S54" s="28"/>
      <c r="T54" s="14"/>
      <c r="U54" s="28"/>
      <c r="V54" s="97"/>
    </row>
    <row r="55" spans="1:22" ht="18" customHeight="1">
      <c r="A55" s="284"/>
      <c r="B55" s="28"/>
      <c r="C55" s="28" t="s">
        <v>885</v>
      </c>
      <c r="D55" s="28" t="s">
        <v>876</v>
      </c>
      <c r="E55" s="28" t="s">
        <v>540</v>
      </c>
      <c r="F55" s="28">
        <v>65</v>
      </c>
      <c r="G55" s="14"/>
      <c r="H55" s="14"/>
      <c r="I55" s="120"/>
      <c r="J55" s="28"/>
      <c r="K55" s="28"/>
      <c r="L55" s="28"/>
      <c r="M55" s="28"/>
      <c r="N55" s="28"/>
      <c r="O55" s="28"/>
      <c r="P55" s="28"/>
      <c r="Q55" s="28"/>
      <c r="R55" s="28"/>
      <c r="S55" s="28"/>
      <c r="T55" s="14"/>
      <c r="U55" s="28"/>
      <c r="V55" s="97"/>
    </row>
    <row r="56" spans="1:22" ht="18" customHeight="1">
      <c r="A56" s="96"/>
      <c r="B56" s="14"/>
      <c r="C56" s="14"/>
      <c r="D56" s="247"/>
      <c r="E56" s="14"/>
      <c r="F56" s="28"/>
      <c r="G56" s="261"/>
      <c r="H56" s="28"/>
      <c r="I56" s="263"/>
      <c r="J56" s="14"/>
      <c r="K56" s="292"/>
      <c r="M56" s="47"/>
      <c r="N56" s="280"/>
      <c r="P56" s="293"/>
      <c r="R56" s="246"/>
      <c r="S56" s="564"/>
      <c r="T56" s="564"/>
      <c r="V56" s="197"/>
    </row>
    <row r="57" spans="1:22" ht="18" customHeight="1">
      <c r="A57" s="96"/>
      <c r="B57" s="120" t="s">
        <v>881</v>
      </c>
      <c r="C57" s="120" t="s">
        <v>430</v>
      </c>
      <c r="D57" s="233">
        <v>600</v>
      </c>
      <c r="E57" s="28" t="s">
        <v>326</v>
      </c>
      <c r="F57" s="28" t="s">
        <v>522</v>
      </c>
      <c r="G57" s="47" t="s">
        <v>361</v>
      </c>
      <c r="H57" s="28" t="s">
        <v>886</v>
      </c>
      <c r="I57" s="120" t="s">
        <v>430</v>
      </c>
      <c r="J57" s="638" t="s">
        <v>882</v>
      </c>
      <c r="K57" s="985"/>
      <c r="L57" s="28" t="s">
        <v>326</v>
      </c>
      <c r="M57" s="28" t="s">
        <v>352</v>
      </c>
      <c r="N57" s="47" t="s">
        <v>361</v>
      </c>
      <c r="O57" s="166" t="s">
        <v>710</v>
      </c>
      <c r="P57" s="120" t="s">
        <v>430</v>
      </c>
      <c r="Q57" s="233">
        <v>1600</v>
      </c>
      <c r="R57" s="28" t="s">
        <v>326</v>
      </c>
      <c r="S57" s="28" t="s">
        <v>522</v>
      </c>
      <c r="T57" s="47" t="s">
        <v>361</v>
      </c>
      <c r="U57" s="14" t="s">
        <v>889</v>
      </c>
      <c r="V57" s="97"/>
    </row>
    <row r="58" spans="1:22" ht="18" customHeight="1">
      <c r="A58" s="284"/>
      <c r="B58" s="28" t="s">
        <v>876</v>
      </c>
      <c r="C58" s="28" t="s">
        <v>138</v>
      </c>
      <c r="D58" s="28">
        <v>256</v>
      </c>
      <c r="E58" s="14"/>
      <c r="F58" s="14"/>
      <c r="G58" s="120"/>
      <c r="H58" s="28"/>
      <c r="I58" s="28"/>
      <c r="J58" s="28"/>
      <c r="K58" s="28"/>
      <c r="L58" s="28"/>
      <c r="M58" s="28"/>
      <c r="N58" s="28"/>
      <c r="O58" s="28"/>
      <c r="P58" s="28"/>
      <c r="Q58" s="28"/>
      <c r="R58" s="28"/>
      <c r="S58" s="28"/>
      <c r="T58" s="14"/>
      <c r="U58" s="28"/>
      <c r="V58" s="97"/>
    </row>
    <row r="59" spans="1:22" ht="18" customHeight="1">
      <c r="A59" s="284"/>
      <c r="U59" s="14"/>
      <c r="V59" s="97"/>
    </row>
    <row r="60" spans="1:22" ht="18" customHeight="1">
      <c r="A60" s="557"/>
      <c r="B60" s="30" t="s">
        <v>890</v>
      </c>
      <c r="Q60" s="14" t="s">
        <v>628</v>
      </c>
      <c r="S60" s="246" t="s">
        <v>138</v>
      </c>
      <c r="T60" s="639">
        <f>'[6]Fault Calc (3)'!Q31</f>
        <v>55677</v>
      </c>
      <c r="U60" s="639"/>
      <c r="V60" s="197" t="s">
        <v>9</v>
      </c>
    </row>
    <row r="61" spans="1:22" ht="18" customHeight="1">
      <c r="A61" s="557"/>
      <c r="B61" s="47" t="s">
        <v>665</v>
      </c>
      <c r="C61" s="14"/>
      <c r="D61" s="14"/>
      <c r="E61" s="14"/>
      <c r="F61" s="14"/>
      <c r="G61" s="18"/>
      <c r="H61" s="18"/>
      <c r="I61" s="14"/>
      <c r="J61" s="120"/>
      <c r="K61" s="14"/>
      <c r="L61" s="14"/>
      <c r="N61" s="14"/>
      <c r="O61" s="14"/>
      <c r="Q61" s="14" t="s">
        <v>434</v>
      </c>
      <c r="S61" s="246" t="s">
        <v>138</v>
      </c>
      <c r="T61" s="639">
        <f>H10</f>
        <v>4000</v>
      </c>
      <c r="U61" s="639"/>
      <c r="V61" s="197" t="s">
        <v>9</v>
      </c>
    </row>
    <row r="62" spans="1:22" ht="18" customHeight="1">
      <c r="A62" s="96"/>
      <c r="B62" s="47" t="s">
        <v>891</v>
      </c>
      <c r="C62" s="14"/>
      <c r="D62" s="14"/>
      <c r="E62" s="14"/>
      <c r="F62" s="14"/>
      <c r="G62" s="18"/>
      <c r="H62" s="18"/>
      <c r="I62" s="14"/>
      <c r="J62" s="120"/>
      <c r="K62" s="14"/>
      <c r="L62" s="14"/>
      <c r="N62" s="14"/>
      <c r="O62" s="14"/>
      <c r="Q62" s="14" t="s">
        <v>882</v>
      </c>
      <c r="S62" s="246" t="s">
        <v>138</v>
      </c>
      <c r="T62" s="637">
        <f>T60/T61</f>
        <v>13.91925</v>
      </c>
      <c r="U62" s="637"/>
      <c r="V62" s="197" t="s">
        <v>9</v>
      </c>
    </row>
    <row r="63" spans="1:22" ht="18" customHeight="1">
      <c r="A63" s="96"/>
      <c r="B63" s="47" t="s">
        <v>666</v>
      </c>
      <c r="C63" s="14"/>
      <c r="D63" s="14"/>
      <c r="E63" s="14"/>
      <c r="F63" s="14"/>
      <c r="G63" s="18"/>
      <c r="H63" s="18"/>
      <c r="I63" s="14"/>
      <c r="J63" s="120"/>
      <c r="K63" s="14"/>
      <c r="L63" s="14"/>
      <c r="N63" s="14"/>
      <c r="O63" s="14"/>
      <c r="Q63" s="14" t="s">
        <v>431</v>
      </c>
      <c r="S63" s="246" t="s">
        <v>138</v>
      </c>
      <c r="T63" s="639">
        <f>H12</f>
        <v>14</v>
      </c>
      <c r="U63" s="639"/>
      <c r="V63" s="565" t="s">
        <v>344</v>
      </c>
    </row>
    <row r="64" spans="1:22" ht="18" customHeight="1">
      <c r="A64" s="96"/>
      <c r="B64" s="47" t="s">
        <v>687</v>
      </c>
      <c r="C64" s="14"/>
      <c r="D64" s="14"/>
      <c r="E64" s="14"/>
      <c r="F64" s="14"/>
      <c r="G64" s="18"/>
      <c r="H64" s="18"/>
      <c r="I64" s="14"/>
      <c r="J64" s="120"/>
      <c r="K64" s="14"/>
      <c r="L64" s="14"/>
      <c r="N64" s="14"/>
      <c r="O64" s="14"/>
      <c r="Q64" s="14" t="s">
        <v>877</v>
      </c>
      <c r="S64" s="246" t="s">
        <v>138</v>
      </c>
      <c r="T64" s="637">
        <f>S29</f>
        <v>0.58186130000000003</v>
      </c>
      <c r="U64" s="637"/>
      <c r="V64" s="565" t="s">
        <v>344</v>
      </c>
    </row>
    <row r="65" spans="1:22" ht="18" customHeight="1">
      <c r="A65" s="96"/>
      <c r="B65" s="47" t="s">
        <v>702</v>
      </c>
      <c r="C65" s="14"/>
      <c r="D65" s="14"/>
      <c r="E65" s="14"/>
      <c r="F65" s="14"/>
      <c r="G65" s="14"/>
      <c r="H65" s="14"/>
      <c r="I65" s="14"/>
      <c r="J65" s="120"/>
      <c r="K65" s="14"/>
      <c r="L65" s="14"/>
      <c r="N65" s="14"/>
      <c r="O65" s="14"/>
      <c r="Q65" s="14" t="s">
        <v>522</v>
      </c>
      <c r="S65" s="246" t="s">
        <v>138</v>
      </c>
      <c r="T65" s="639">
        <f>O10</f>
        <v>1</v>
      </c>
      <c r="U65" s="639"/>
      <c r="V65" s="197" t="s">
        <v>9</v>
      </c>
    </row>
    <row r="66" spans="1:22" ht="18" customHeight="1">
      <c r="A66" s="96"/>
      <c r="B66" s="14" t="s">
        <v>892</v>
      </c>
      <c r="C66" s="14"/>
      <c r="D66" s="14"/>
      <c r="E66" s="247"/>
      <c r="F66" s="14"/>
      <c r="G66" s="28"/>
      <c r="H66" s="261"/>
      <c r="I66" s="28"/>
      <c r="J66" s="263"/>
      <c r="K66" s="14"/>
      <c r="L66" s="292"/>
      <c r="N66" s="47"/>
      <c r="O66" s="280"/>
      <c r="Q66" s="293" t="s">
        <v>352</v>
      </c>
      <c r="S66" s="246" t="s">
        <v>138</v>
      </c>
      <c r="T66" s="1174">
        <f>'[6]Fault Calc (3)'!Q11</f>
        <v>23.6</v>
      </c>
      <c r="U66" s="1175"/>
      <c r="V66" s="197"/>
    </row>
    <row r="67" spans="1:22" ht="18" customHeight="1">
      <c r="A67" s="337"/>
      <c r="B67" s="14" t="s">
        <v>893</v>
      </c>
      <c r="F67" s="14"/>
      <c r="G67" s="166"/>
      <c r="H67" s="102"/>
      <c r="I67" s="28"/>
      <c r="J67" s="27"/>
      <c r="K67" s="14"/>
      <c r="O67" s="47"/>
      <c r="P67" s="14"/>
      <c r="Q67" s="14"/>
      <c r="R67" s="14"/>
      <c r="S67" s="120"/>
      <c r="T67" s="940">
        <v>100</v>
      </c>
      <c r="U67" s="941"/>
      <c r="V67" s="97" t="s">
        <v>615</v>
      </c>
    </row>
    <row r="68" spans="1:22" ht="18.75" customHeight="1">
      <c r="A68" s="96"/>
      <c r="B68" s="14"/>
      <c r="Q68" s="14"/>
      <c r="R68" s="14"/>
      <c r="S68" s="120"/>
      <c r="T68" s="18"/>
      <c r="U68" s="18"/>
      <c r="V68" s="97"/>
    </row>
    <row r="69" spans="1:22" ht="18" customHeight="1">
      <c r="A69" s="196"/>
      <c r="B69" s="566" t="s">
        <v>894</v>
      </c>
      <c r="C69" s="566"/>
      <c r="D69" s="259"/>
      <c r="E69" s="259"/>
      <c r="F69" s="472" t="str">
        <f>IF(T67=150,"1 &amp; 2","3 &amp; 4")</f>
        <v>3 &amp; 4</v>
      </c>
      <c r="G69" s="567"/>
      <c r="V69" s="197"/>
    </row>
    <row r="70" spans="1:22" ht="18" customHeight="1">
      <c r="A70" s="557" t="s">
        <v>430</v>
      </c>
      <c r="B70" s="638" t="s">
        <v>882</v>
      </c>
      <c r="C70" s="638"/>
      <c r="D70" s="28" t="s">
        <v>326</v>
      </c>
      <c r="E70" s="28" t="s">
        <v>352</v>
      </c>
      <c r="F70" s="47" t="s">
        <v>361</v>
      </c>
      <c r="G70" s="166" t="s">
        <v>710</v>
      </c>
      <c r="H70" s="120" t="s">
        <v>430</v>
      </c>
      <c r="I70" s="233" t="str">
        <f>IF(T67=150,"1000","600")</f>
        <v>600</v>
      </c>
      <c r="J70" s="28" t="s">
        <v>326</v>
      </c>
      <c r="K70" s="28" t="s">
        <v>522</v>
      </c>
      <c r="L70" s="47" t="s">
        <v>361</v>
      </c>
      <c r="M70" s="14"/>
      <c r="N70" s="14"/>
      <c r="U70" s="14" t="str">
        <f>IF(T67=150,"...cond.1","…cond.3")</f>
        <v>…cond.3</v>
      </c>
      <c r="V70" s="197"/>
    </row>
    <row r="71" spans="1:22" ht="18" customHeight="1">
      <c r="A71" s="557" t="s">
        <v>430</v>
      </c>
      <c r="B71" s="641">
        <f>T62</f>
        <v>13.91925</v>
      </c>
      <c r="C71" s="641"/>
      <c r="D71" s="28" t="s">
        <v>326</v>
      </c>
      <c r="E71" s="28">
        <f>T66</f>
        <v>23.6</v>
      </c>
      <c r="F71" s="47" t="s">
        <v>361</v>
      </c>
      <c r="G71" s="166" t="s">
        <v>710</v>
      </c>
      <c r="H71" s="120" t="s">
        <v>430</v>
      </c>
      <c r="I71" s="233" t="str">
        <f>I70</f>
        <v>600</v>
      </c>
      <c r="J71" s="28" t="s">
        <v>326</v>
      </c>
      <c r="K71" s="28">
        <f>T65</f>
        <v>1</v>
      </c>
      <c r="L71" s="47" t="s">
        <v>361</v>
      </c>
      <c r="M71" s="14"/>
      <c r="N71" s="14"/>
      <c r="U71" s="14"/>
      <c r="V71" s="97"/>
    </row>
    <row r="72" spans="1:22" ht="18" customHeight="1">
      <c r="A72" s="96"/>
      <c r="B72" s="14"/>
      <c r="C72" s="14"/>
      <c r="D72" s="959">
        <f>B71*E71</f>
        <v>328.49430000000001</v>
      </c>
      <c r="E72" s="1162"/>
      <c r="F72" s="14"/>
      <c r="G72" s="166" t="s">
        <v>710</v>
      </c>
      <c r="H72" s="102"/>
      <c r="I72" s="638">
        <f>I71*K71</f>
        <v>600</v>
      </c>
      <c r="J72" s="639"/>
      <c r="K72" s="14"/>
      <c r="O72" s="47"/>
      <c r="P72" s="14"/>
      <c r="Q72" s="14"/>
      <c r="R72" s="14"/>
      <c r="S72" s="120" t="s">
        <v>895</v>
      </c>
      <c r="T72" s="1173" t="b">
        <f>IF(D72&lt;=I72,TRUE,FALSE)</f>
        <v>1</v>
      </c>
      <c r="U72" s="1173"/>
      <c r="V72" s="97"/>
    </row>
    <row r="73" spans="1:22" ht="18" customHeight="1">
      <c r="A73" s="196"/>
      <c r="B73" s="28" t="s">
        <v>628</v>
      </c>
      <c r="C73" s="30" t="str">
        <f>IF(T67=150,"…cond.1","…cond.3")</f>
        <v>…cond.3</v>
      </c>
      <c r="E73" s="14" t="s">
        <v>896</v>
      </c>
      <c r="V73" s="197"/>
    </row>
    <row r="74" spans="1:22" ht="18" customHeight="1">
      <c r="A74" s="196"/>
      <c r="V74" s="97"/>
    </row>
    <row r="75" spans="1:22" ht="18" customHeight="1">
      <c r="A75" s="196"/>
      <c r="B75" s="14"/>
      <c r="C75" s="28" t="s">
        <v>876</v>
      </c>
      <c r="D75" s="28" t="s">
        <v>540</v>
      </c>
      <c r="E75" s="28">
        <v>40</v>
      </c>
      <c r="F75" s="28" t="s">
        <v>358</v>
      </c>
      <c r="G75" s="233" t="str">
        <f>IF(T67=150,"0.07","0.35")</f>
        <v>0.35</v>
      </c>
      <c r="H75" s="28" t="s">
        <v>683</v>
      </c>
      <c r="I75" s="638" t="s">
        <v>882</v>
      </c>
      <c r="J75" s="985"/>
      <c r="K75" s="28" t="s">
        <v>326</v>
      </c>
      <c r="L75" s="28" t="s">
        <v>352</v>
      </c>
      <c r="M75" s="47" t="s">
        <v>361</v>
      </c>
      <c r="N75" s="196"/>
      <c r="O75" s="47" t="s">
        <v>897</v>
      </c>
      <c r="P75" s="27"/>
      <c r="Q75" s="28" t="s">
        <v>138</v>
      </c>
      <c r="R75" s="637">
        <f>MAX(E77,E78)</f>
        <v>154.973005</v>
      </c>
      <c r="S75" s="639"/>
      <c r="V75" s="197"/>
    </row>
    <row r="76" spans="1:22" ht="18" customHeight="1">
      <c r="A76" s="196"/>
      <c r="B76" s="14"/>
      <c r="C76" s="28"/>
      <c r="D76" s="28" t="s">
        <v>540</v>
      </c>
      <c r="E76" s="28">
        <v>40</v>
      </c>
      <c r="F76" s="28" t="s">
        <v>358</v>
      </c>
      <c r="G76" s="233" t="str">
        <f>IF(T67=150,"0.07","0.35")</f>
        <v>0.35</v>
      </c>
      <c r="H76" s="28" t="s">
        <v>683</v>
      </c>
      <c r="I76" s="641">
        <f>T62</f>
        <v>13.91925</v>
      </c>
      <c r="J76" s="985"/>
      <c r="K76" s="28" t="s">
        <v>326</v>
      </c>
      <c r="L76" s="28">
        <f>T66</f>
        <v>23.6</v>
      </c>
      <c r="M76" s="47" t="s">
        <v>361</v>
      </c>
      <c r="N76" s="196"/>
      <c r="V76" s="197"/>
    </row>
    <row r="77" spans="1:22" ht="18" customHeight="1">
      <c r="A77" s="196"/>
      <c r="B77" s="14"/>
      <c r="C77" s="28"/>
      <c r="D77" s="28" t="s">
        <v>540</v>
      </c>
      <c r="E77" s="641">
        <f>E76+(G76*(I76*L76))</f>
        <v>154.973005</v>
      </c>
      <c r="F77" s="641"/>
      <c r="G77" s="233"/>
      <c r="H77" s="28"/>
      <c r="I77" s="230"/>
      <c r="K77" s="28"/>
      <c r="L77" s="28"/>
      <c r="M77" s="47"/>
      <c r="N77" s="196"/>
      <c r="V77" s="197"/>
    </row>
    <row r="78" spans="1:22" ht="18" customHeight="1">
      <c r="A78" s="96"/>
      <c r="B78" s="28" t="s">
        <v>885</v>
      </c>
      <c r="C78" s="28" t="s">
        <v>876</v>
      </c>
      <c r="D78" s="28" t="s">
        <v>138</v>
      </c>
      <c r="E78" s="28">
        <v>65</v>
      </c>
      <c r="G78" s="14"/>
      <c r="H78" s="166"/>
      <c r="I78" s="102"/>
      <c r="J78" s="28"/>
      <c r="K78" s="27"/>
      <c r="L78" s="14"/>
      <c r="N78" s="96"/>
      <c r="O78" s="14"/>
      <c r="Q78" s="14"/>
      <c r="R78" s="14"/>
      <c r="S78" s="14"/>
      <c r="T78" s="14"/>
      <c r="U78" s="14"/>
      <c r="V78" s="97"/>
    </row>
    <row r="79" spans="1:22" ht="18" customHeight="1">
      <c r="A79" s="96"/>
      <c r="B79" s="14"/>
      <c r="F79" s="28"/>
      <c r="I79" s="120"/>
      <c r="J79" s="233"/>
      <c r="K79" s="28"/>
      <c r="L79" s="28"/>
      <c r="M79" s="47"/>
      <c r="N79" s="14"/>
      <c r="O79" s="14"/>
      <c r="Q79" s="14"/>
      <c r="R79" s="14"/>
      <c r="S79" s="14"/>
      <c r="T79" s="14"/>
      <c r="U79" s="14"/>
      <c r="V79" s="97"/>
    </row>
    <row r="80" spans="1:22" ht="18" customHeight="1">
      <c r="A80" s="557" t="s">
        <v>430</v>
      </c>
      <c r="B80" s="233" t="str">
        <f>IF(T67=150,"1000","600")</f>
        <v>600</v>
      </c>
      <c r="C80" s="28" t="s">
        <v>326</v>
      </c>
      <c r="D80" s="28" t="s">
        <v>522</v>
      </c>
      <c r="E80" s="47" t="s">
        <v>361</v>
      </c>
      <c r="F80" s="28" t="s">
        <v>886</v>
      </c>
      <c r="G80" s="120" t="s">
        <v>430</v>
      </c>
      <c r="H80" s="638" t="s">
        <v>882</v>
      </c>
      <c r="I80" s="985"/>
      <c r="J80" s="28" t="s">
        <v>326</v>
      </c>
      <c r="K80" s="28" t="s">
        <v>352</v>
      </c>
      <c r="L80" s="47" t="s">
        <v>361</v>
      </c>
      <c r="M80" s="166" t="s">
        <v>710</v>
      </c>
      <c r="N80" s="120" t="s">
        <v>430</v>
      </c>
      <c r="O80" s="233" t="str">
        <f>IF(T67=150,"2600","1600")</f>
        <v>1600</v>
      </c>
      <c r="P80" s="28" t="s">
        <v>326</v>
      </c>
      <c r="Q80" s="28" t="s">
        <v>522</v>
      </c>
      <c r="R80" s="47" t="s">
        <v>361</v>
      </c>
      <c r="S80" s="14"/>
      <c r="T80" s="14"/>
      <c r="U80" s="14" t="str">
        <f>IF(T67=150,"...cond.2","…cond.4")</f>
        <v>…cond.4</v>
      </c>
      <c r="V80" s="97"/>
    </row>
    <row r="81" spans="1:22" ht="18" customHeight="1">
      <c r="A81" s="557" t="s">
        <v>430</v>
      </c>
      <c r="B81" s="233" t="str">
        <f>B80</f>
        <v>600</v>
      </c>
      <c r="C81" s="28" t="s">
        <v>326</v>
      </c>
      <c r="D81" s="28">
        <f>T65</f>
        <v>1</v>
      </c>
      <c r="E81" s="47" t="s">
        <v>361</v>
      </c>
      <c r="F81" s="28" t="s">
        <v>886</v>
      </c>
      <c r="G81" s="120" t="s">
        <v>430</v>
      </c>
      <c r="H81" s="641">
        <f>T62</f>
        <v>13.91925</v>
      </c>
      <c r="I81" s="985"/>
      <c r="J81" s="28" t="s">
        <v>326</v>
      </c>
      <c r="K81" s="28">
        <f>T66</f>
        <v>23.6</v>
      </c>
      <c r="L81" s="47" t="s">
        <v>361</v>
      </c>
      <c r="M81" s="166" t="s">
        <v>710</v>
      </c>
      <c r="N81" s="120" t="s">
        <v>430</v>
      </c>
      <c r="O81" s="233" t="str">
        <f>O80</f>
        <v>1600</v>
      </c>
      <c r="P81" s="28" t="s">
        <v>326</v>
      </c>
      <c r="Q81" s="28">
        <f>T65</f>
        <v>1</v>
      </c>
      <c r="R81" s="47" t="s">
        <v>361</v>
      </c>
      <c r="S81" s="14"/>
      <c r="T81" s="14"/>
      <c r="U81" s="14"/>
      <c r="V81" s="97"/>
    </row>
    <row r="82" spans="1:22" ht="18" customHeight="1">
      <c r="A82" s="557"/>
      <c r="B82" s="261"/>
      <c r="C82" s="1172">
        <f>B81*D81</f>
        <v>600</v>
      </c>
      <c r="D82" s="1172"/>
      <c r="E82" s="261"/>
      <c r="F82" s="28" t="s">
        <v>886</v>
      </c>
      <c r="G82" s="14"/>
      <c r="H82" s="14"/>
      <c r="I82" s="959">
        <f>H81*K81</f>
        <v>328.49430000000001</v>
      </c>
      <c r="J82" s="959"/>
      <c r="K82" s="14"/>
      <c r="L82" s="14"/>
      <c r="M82" s="166" t="s">
        <v>710</v>
      </c>
      <c r="N82" s="102"/>
      <c r="O82" s="987">
        <f>O81*Q81</f>
        <v>1600</v>
      </c>
      <c r="P82" s="985"/>
      <c r="Q82" s="14"/>
      <c r="R82" s="14"/>
      <c r="S82" s="120" t="s">
        <v>895</v>
      </c>
      <c r="T82" s="1173" t="b">
        <f>IF(AND(C82&lt;I82,I82&lt;=O82)=TRUE,TRUE,FALSE)</f>
        <v>0</v>
      </c>
      <c r="U82" s="1173"/>
      <c r="V82" s="97"/>
    </row>
    <row r="83" spans="1:22" ht="18" customHeight="1">
      <c r="A83" s="205"/>
      <c r="B83" s="14"/>
      <c r="C83" s="27"/>
      <c r="D83" s="230"/>
      <c r="E83" s="216"/>
      <c r="F83" s="14"/>
      <c r="G83" s="14"/>
      <c r="H83" s="14"/>
      <c r="I83" s="14"/>
      <c r="J83" s="120"/>
      <c r="K83" s="120"/>
      <c r="L83" s="14"/>
      <c r="M83" s="14"/>
      <c r="N83" s="28"/>
      <c r="O83" s="269"/>
      <c r="P83" s="14"/>
      <c r="Q83" s="14"/>
      <c r="R83" s="120"/>
      <c r="S83" s="28"/>
      <c r="T83" s="47"/>
      <c r="U83" s="14"/>
      <c r="V83" s="97"/>
    </row>
    <row r="84" spans="1:22" s="291" customFormat="1" ht="18" customHeight="1">
      <c r="A84" s="311"/>
      <c r="B84" s="28" t="s">
        <v>628</v>
      </c>
      <c r="C84" s="30" t="str">
        <f>IF(T67=150,"…cond.2","…cond.4")</f>
        <v>…cond.4</v>
      </c>
      <c r="D84" s="30"/>
      <c r="E84" s="14" t="s">
        <v>898</v>
      </c>
      <c r="F84" s="30"/>
      <c r="G84" s="30"/>
      <c r="H84" s="30"/>
      <c r="I84" s="30"/>
      <c r="J84" s="28" t="s">
        <v>138</v>
      </c>
      <c r="K84" s="30" t="str">
        <f>IF(T67=150,"107","256")</f>
        <v>256</v>
      </c>
      <c r="L84" s="30"/>
      <c r="M84" s="30"/>
      <c r="N84" s="1" t="s">
        <v>899</v>
      </c>
      <c r="O84" s="208"/>
      <c r="P84" s="208"/>
      <c r="Q84" s="208"/>
      <c r="R84" s="208"/>
      <c r="S84" s="194" t="s">
        <v>138</v>
      </c>
      <c r="T84" s="258">
        <f>IF(T72=TRUE,R75,IF(T82=TRUE,K84,))</f>
        <v>154.973005</v>
      </c>
      <c r="U84" s="14"/>
      <c r="V84" s="97"/>
    </row>
    <row r="85" spans="1:22" ht="18" customHeight="1">
      <c r="A85" s="205"/>
      <c r="B85" s="14"/>
      <c r="C85" s="27"/>
      <c r="D85" s="230"/>
      <c r="E85" s="216"/>
      <c r="F85" s="14"/>
      <c r="G85" s="14"/>
      <c r="H85" s="14"/>
      <c r="I85" s="14"/>
      <c r="J85" s="120"/>
      <c r="K85" s="120"/>
      <c r="L85" s="14"/>
      <c r="M85" s="14"/>
      <c r="N85" s="28"/>
      <c r="O85" s="269"/>
      <c r="P85" s="14"/>
      <c r="Q85" s="14"/>
      <c r="R85" s="120"/>
      <c r="S85" s="28"/>
      <c r="T85" s="47"/>
      <c r="U85" s="14"/>
      <c r="V85" s="97"/>
    </row>
    <row r="86" spans="1:22" ht="18" customHeight="1">
      <c r="A86" s="206"/>
      <c r="B86" s="207"/>
      <c r="C86" s="207"/>
      <c r="D86" s="207"/>
      <c r="E86" s="207"/>
      <c r="F86" s="207"/>
      <c r="G86" s="207"/>
      <c r="H86" s="207"/>
      <c r="I86" s="207"/>
      <c r="J86" s="207"/>
      <c r="K86" s="207"/>
      <c r="L86" s="207"/>
      <c r="M86" s="207"/>
      <c r="N86" s="207"/>
      <c r="O86" s="207"/>
      <c r="P86" s="207"/>
      <c r="Q86" s="236"/>
      <c r="R86" s="194"/>
      <c r="S86" s="237"/>
      <c r="T86" s="207"/>
      <c r="U86" s="207"/>
      <c r="V86" s="140"/>
    </row>
    <row r="87" spans="1:22" ht="18" customHeight="1">
      <c r="A87" s="205"/>
      <c r="B87" s="14"/>
      <c r="C87" s="27"/>
      <c r="D87" s="230"/>
      <c r="E87" s="216"/>
      <c r="F87" s="14"/>
      <c r="G87" s="14"/>
      <c r="H87" s="14"/>
      <c r="I87" s="14"/>
      <c r="J87" s="120"/>
      <c r="K87" s="120"/>
      <c r="L87" s="14"/>
      <c r="M87" s="14"/>
      <c r="N87" s="28"/>
      <c r="O87" s="269"/>
      <c r="P87" s="14"/>
      <c r="Q87" s="14"/>
      <c r="R87" s="120"/>
      <c r="S87" s="28"/>
      <c r="T87" s="47"/>
      <c r="U87" s="14"/>
      <c r="V87" s="97"/>
    </row>
    <row r="88" spans="1:22" s="291" customFormat="1" ht="18" customHeight="1">
      <c r="A88" s="205" t="s">
        <v>900</v>
      </c>
      <c r="B88" s="28"/>
      <c r="C88" s="28"/>
      <c r="D88" s="28"/>
      <c r="E88" s="14"/>
      <c r="F88" s="14"/>
      <c r="G88" s="120"/>
      <c r="H88" s="28"/>
      <c r="I88" s="28"/>
      <c r="J88" s="28"/>
      <c r="K88" s="28"/>
      <c r="L88" s="28"/>
      <c r="M88" s="28"/>
      <c r="N88" s="28"/>
      <c r="O88" s="28"/>
      <c r="P88" s="28"/>
      <c r="Q88" s="28"/>
      <c r="R88" s="28"/>
      <c r="S88" s="28"/>
      <c r="T88" s="14"/>
      <c r="U88" s="28"/>
      <c r="V88" s="97"/>
    </row>
    <row r="89" spans="1:22" ht="18" customHeight="1">
      <c r="A89" s="196"/>
      <c r="D89" s="30" t="s">
        <v>484</v>
      </c>
      <c r="E89" s="27" t="s">
        <v>540</v>
      </c>
      <c r="F89" s="27" t="s">
        <v>876</v>
      </c>
      <c r="G89" s="27" t="s">
        <v>326</v>
      </c>
      <c r="H89" s="27" t="s">
        <v>522</v>
      </c>
      <c r="I89" s="27" t="s">
        <v>383</v>
      </c>
      <c r="J89" s="27" t="s">
        <v>431</v>
      </c>
      <c r="K89" s="27" t="s">
        <v>358</v>
      </c>
      <c r="L89" s="27" t="s">
        <v>877</v>
      </c>
      <c r="M89" s="30" t="s">
        <v>361</v>
      </c>
      <c r="V89" s="197"/>
    </row>
    <row r="90" spans="1:22" ht="18" customHeight="1">
      <c r="A90" s="196"/>
      <c r="B90" s="14"/>
      <c r="D90" s="14"/>
      <c r="E90" s="27" t="s">
        <v>540</v>
      </c>
      <c r="F90" s="27">
        <f>T84</f>
        <v>154.973005</v>
      </c>
      <c r="G90" s="27" t="s">
        <v>326</v>
      </c>
      <c r="H90" s="27">
        <f>T65</f>
        <v>1</v>
      </c>
      <c r="I90" s="27" t="s">
        <v>383</v>
      </c>
      <c r="J90" s="27">
        <f>T63</f>
        <v>14</v>
      </c>
      <c r="K90" s="27" t="s">
        <v>358</v>
      </c>
      <c r="L90" s="223">
        <f>T64</f>
        <v>0.58186130000000003</v>
      </c>
      <c r="M90" s="30" t="s">
        <v>361</v>
      </c>
      <c r="V90" s="197"/>
    </row>
    <row r="91" spans="1:22" ht="18" customHeight="1">
      <c r="A91" s="196"/>
      <c r="B91" s="14"/>
      <c r="D91" s="14"/>
      <c r="E91" s="27" t="s">
        <v>540</v>
      </c>
      <c r="F91" s="912">
        <f>F90*H90*(J90+L90)</f>
        <v>2259.7948641542066</v>
      </c>
      <c r="G91" s="913"/>
      <c r="H91" s="14" t="s">
        <v>316</v>
      </c>
      <c r="I91" s="14"/>
      <c r="J91" s="14"/>
      <c r="K91" s="14"/>
      <c r="L91" s="120"/>
      <c r="M91" s="120"/>
      <c r="V91" s="197"/>
    </row>
    <row r="92" spans="1:22" s="291" customFormat="1" ht="18" customHeight="1">
      <c r="A92" s="337"/>
      <c r="B92" s="28"/>
      <c r="C92" s="28"/>
      <c r="D92" s="28"/>
      <c r="E92" s="14"/>
      <c r="F92" s="14"/>
      <c r="G92" s="120"/>
      <c r="H92" s="28"/>
      <c r="I92" s="28"/>
      <c r="J92" s="28"/>
      <c r="K92" s="28"/>
      <c r="L92" s="28"/>
      <c r="M92" s="28"/>
      <c r="N92" s="28"/>
      <c r="O92" s="28"/>
      <c r="P92" s="28"/>
      <c r="Q92" s="28"/>
      <c r="R92" s="28"/>
      <c r="S92" s="28"/>
      <c r="T92" s="14"/>
      <c r="U92" s="28"/>
      <c r="V92" s="97"/>
    </row>
    <row r="93" spans="1:22" ht="18" customHeight="1">
      <c r="A93" s="116" t="s">
        <v>457</v>
      </c>
      <c r="B93" s="14"/>
      <c r="C93" s="27"/>
      <c r="D93" s="230"/>
      <c r="E93" s="216"/>
      <c r="F93" s="14"/>
      <c r="G93" s="14"/>
      <c r="H93" s="14"/>
      <c r="I93" s="14"/>
      <c r="J93" s="120"/>
      <c r="K93" s="120"/>
      <c r="L93" s="14"/>
      <c r="M93" s="14"/>
      <c r="N93" s="28"/>
      <c r="O93" s="269"/>
      <c r="P93" s="14"/>
      <c r="Q93" s="14"/>
      <c r="R93" s="120"/>
      <c r="S93" s="28"/>
      <c r="T93" s="47"/>
      <c r="U93" s="14"/>
      <c r="V93" s="197"/>
    </row>
    <row r="94" spans="1:22" ht="18" customHeight="1">
      <c r="A94" s="205" t="s">
        <v>427</v>
      </c>
      <c r="B94" s="14"/>
      <c r="C94" s="27"/>
      <c r="D94" s="230"/>
      <c r="E94" s="216"/>
      <c r="F94" s="14"/>
      <c r="G94" s="14"/>
      <c r="H94" s="14"/>
      <c r="I94" s="14"/>
      <c r="J94" s="120"/>
      <c r="K94" s="120"/>
      <c r="L94" s="14"/>
      <c r="M94" s="14"/>
      <c r="N94" s="28"/>
      <c r="O94" s="269"/>
      <c r="P94" s="14"/>
      <c r="Q94" s="14"/>
      <c r="R94" s="120"/>
      <c r="S94" s="28"/>
      <c r="T94" s="47"/>
      <c r="U94" s="14"/>
      <c r="V94" s="197"/>
    </row>
    <row r="95" spans="1:22" ht="32.700000000000003" customHeight="1">
      <c r="A95" s="964" t="s">
        <v>901</v>
      </c>
      <c r="B95" s="1118"/>
      <c r="C95" s="1118"/>
      <c r="D95" s="1118"/>
      <c r="E95" s="1118"/>
      <c r="F95" s="1118"/>
      <c r="G95" s="1118"/>
      <c r="H95" s="1118"/>
      <c r="I95" s="1118"/>
      <c r="J95" s="1118"/>
      <c r="K95" s="1118"/>
      <c r="L95" s="1118"/>
      <c r="M95" s="1118"/>
      <c r="N95" s="1118"/>
      <c r="O95" s="1118"/>
      <c r="P95" s="1118"/>
      <c r="Q95" s="1118"/>
      <c r="R95" s="1118"/>
      <c r="S95" s="1118"/>
      <c r="T95" s="1118"/>
      <c r="U95" s="1118"/>
      <c r="V95" s="1119"/>
    </row>
    <row r="96" spans="1:22" ht="18" customHeight="1">
      <c r="A96" s="205"/>
      <c r="B96" s="14"/>
      <c r="F96" s="14" t="s">
        <v>902</v>
      </c>
      <c r="G96" s="14" t="s">
        <v>138</v>
      </c>
      <c r="H96" s="1166">
        <f>'[6]Fault Calc (3)'!E53</f>
        <v>44.649765884250023</v>
      </c>
      <c r="I96" s="1166"/>
      <c r="J96" s="120"/>
      <c r="K96" s="14" t="str">
        <f>IF(H96&gt;2,"Since SIR is &gt;2, the below calculation is not applicable","")</f>
        <v>Since SIR is &gt;2, the below calculation is not applicable</v>
      </c>
      <c r="N96" s="28"/>
      <c r="O96" s="269"/>
      <c r="P96" s="14"/>
      <c r="Q96" s="14"/>
      <c r="R96" s="120"/>
      <c r="S96" s="28"/>
      <c r="T96" s="47"/>
      <c r="U96" s="14"/>
      <c r="V96" s="197"/>
    </row>
    <row r="97" spans="1:22" ht="18" customHeight="1">
      <c r="A97" s="205"/>
      <c r="B97" s="14"/>
      <c r="C97" s="27"/>
      <c r="D97" s="230"/>
      <c r="E97" s="216"/>
      <c r="J97" s="120"/>
      <c r="K97" s="120"/>
      <c r="L97" s="14"/>
      <c r="M97" s="14"/>
      <c r="N97" s="28"/>
      <c r="O97" s="269"/>
      <c r="P97" s="14"/>
      <c r="Q97" s="14"/>
      <c r="R97" s="120"/>
      <c r="S97" s="28"/>
      <c r="T97" s="47"/>
      <c r="U97" s="14"/>
      <c r="V97" s="197"/>
    </row>
    <row r="98" spans="1:22" ht="18" customHeight="1">
      <c r="A98" s="196"/>
      <c r="B98" s="14"/>
      <c r="C98" s="27"/>
      <c r="D98" s="230"/>
      <c r="E98" s="216"/>
      <c r="F98" s="30" t="s">
        <v>484</v>
      </c>
      <c r="G98" s="27" t="s">
        <v>540</v>
      </c>
      <c r="H98" s="969" t="s">
        <v>903</v>
      </c>
      <c r="I98" s="969"/>
      <c r="J98" s="27" t="s">
        <v>326</v>
      </c>
      <c r="K98" s="969" t="s">
        <v>855</v>
      </c>
      <c r="L98" s="969"/>
      <c r="M98" s="27" t="s">
        <v>326</v>
      </c>
      <c r="N98" s="256" t="s">
        <v>430</v>
      </c>
      <c r="O98" s="27" t="s">
        <v>431</v>
      </c>
      <c r="P98" s="27" t="s">
        <v>358</v>
      </c>
      <c r="Q98" s="27" t="s">
        <v>419</v>
      </c>
      <c r="R98" s="30" t="s">
        <v>361</v>
      </c>
      <c r="S98" s="28"/>
      <c r="T98" s="47"/>
      <c r="U98" s="14"/>
      <c r="V98" s="197"/>
    </row>
    <row r="99" spans="1:22" ht="18" customHeight="1">
      <c r="A99" s="205"/>
      <c r="F99" s="14" t="s">
        <v>904</v>
      </c>
      <c r="H99" s="27"/>
      <c r="I99" s="230"/>
      <c r="J99" s="216"/>
      <c r="K99" s="14"/>
      <c r="L99" s="14"/>
      <c r="M99" s="14"/>
      <c r="N99" s="14"/>
      <c r="O99" s="120"/>
      <c r="P99" s="120"/>
      <c r="Q99" s="14"/>
      <c r="R99" s="14"/>
      <c r="U99" s="14"/>
      <c r="V99" s="197"/>
    </row>
    <row r="100" spans="1:22" ht="18" customHeight="1">
      <c r="A100" s="205"/>
      <c r="G100" s="969" t="s">
        <v>903</v>
      </c>
      <c r="H100" s="969"/>
      <c r="I100" s="230" t="s">
        <v>138</v>
      </c>
      <c r="J100" s="216" t="s">
        <v>905</v>
      </c>
      <c r="K100" s="14"/>
      <c r="L100" s="14"/>
      <c r="M100" s="14"/>
      <c r="N100" s="14"/>
      <c r="O100" s="120"/>
      <c r="P100" s="120"/>
      <c r="Q100" s="14"/>
      <c r="R100" s="14"/>
      <c r="S100" s="28" t="s">
        <v>138</v>
      </c>
      <c r="T100" s="47">
        <v>1.4</v>
      </c>
      <c r="U100" s="14"/>
      <c r="V100" s="97"/>
    </row>
    <row r="101" spans="1:22" ht="18" customHeight="1">
      <c r="A101" s="205"/>
      <c r="G101" s="969" t="s">
        <v>855</v>
      </c>
      <c r="H101" s="969"/>
      <c r="I101" s="230" t="s">
        <v>138</v>
      </c>
      <c r="J101" s="216" t="s">
        <v>906</v>
      </c>
      <c r="K101" s="14"/>
      <c r="L101" s="14"/>
      <c r="M101" s="14"/>
      <c r="N101" s="14"/>
      <c r="O101" s="120"/>
      <c r="P101" s="120"/>
      <c r="Q101" s="14"/>
      <c r="R101" s="14"/>
      <c r="S101" s="28" t="s">
        <v>138</v>
      </c>
      <c r="T101" s="989">
        <f>T62</f>
        <v>13.91925</v>
      </c>
      <c r="U101" s="987"/>
      <c r="V101" s="97" t="s">
        <v>9</v>
      </c>
    </row>
    <row r="102" spans="1:22" ht="18" customHeight="1">
      <c r="A102" s="205"/>
      <c r="U102" s="14"/>
      <c r="V102" s="97"/>
    </row>
    <row r="103" spans="1:22" ht="18" customHeight="1">
      <c r="A103" s="205"/>
      <c r="F103" s="30" t="s">
        <v>484</v>
      </c>
      <c r="G103" s="27" t="s">
        <v>540</v>
      </c>
      <c r="H103" s="969" t="s">
        <v>903</v>
      </c>
      <c r="I103" s="969"/>
      <c r="J103" s="27" t="s">
        <v>326</v>
      </c>
      <c r="K103" s="969" t="s">
        <v>855</v>
      </c>
      <c r="L103" s="969"/>
      <c r="M103" s="27" t="s">
        <v>326</v>
      </c>
      <c r="N103" s="256" t="s">
        <v>430</v>
      </c>
      <c r="O103" s="27" t="s">
        <v>431</v>
      </c>
      <c r="P103" s="27" t="s">
        <v>358</v>
      </c>
      <c r="Q103" s="27" t="s">
        <v>419</v>
      </c>
      <c r="R103" s="30" t="s">
        <v>361</v>
      </c>
      <c r="T103" s="47"/>
      <c r="U103" s="14"/>
      <c r="V103" s="97"/>
    </row>
    <row r="104" spans="1:22" ht="18" customHeight="1">
      <c r="A104" s="205"/>
      <c r="F104" s="30" t="s">
        <v>484</v>
      </c>
      <c r="G104" s="27" t="s">
        <v>540</v>
      </c>
      <c r="H104" s="969">
        <f>T100</f>
        <v>1.4</v>
      </c>
      <c r="I104" s="969"/>
      <c r="J104" s="27" t="s">
        <v>326</v>
      </c>
      <c r="K104" s="640">
        <f>T101</f>
        <v>13.91925</v>
      </c>
      <c r="L104" s="969"/>
      <c r="M104" s="27" t="s">
        <v>326</v>
      </c>
      <c r="N104" s="256" t="s">
        <v>430</v>
      </c>
      <c r="O104" s="27">
        <f>T63</f>
        <v>14</v>
      </c>
      <c r="P104" s="27" t="s">
        <v>358</v>
      </c>
      <c r="Q104" s="223">
        <f>T64</f>
        <v>0.58186130000000003</v>
      </c>
      <c r="R104" s="30" t="s">
        <v>361</v>
      </c>
      <c r="V104" s="97"/>
    </row>
    <row r="105" spans="1:22" ht="18" customHeight="1">
      <c r="A105" s="196"/>
      <c r="F105" s="30" t="s">
        <v>484</v>
      </c>
      <c r="G105" s="27" t="s">
        <v>540</v>
      </c>
      <c r="H105" s="1170">
        <f>H104*K104*(O104+Q104)</f>
        <v>284.15600206003501</v>
      </c>
      <c r="I105" s="1171"/>
      <c r="J105" s="14" t="s">
        <v>907</v>
      </c>
      <c r="V105" s="97"/>
    </row>
    <row r="106" spans="1:22" ht="18" customHeight="1">
      <c r="A106" s="96"/>
      <c r="U106" s="18"/>
      <c r="V106" s="97"/>
    </row>
    <row r="107" spans="1:22" ht="18" customHeight="1">
      <c r="A107" s="205" t="s">
        <v>908</v>
      </c>
      <c r="O107" s="47"/>
      <c r="P107" s="14"/>
      <c r="Q107" s="14"/>
      <c r="R107" s="14"/>
      <c r="S107" s="120"/>
      <c r="T107" s="18"/>
      <c r="U107" s="18"/>
      <c r="V107" s="97"/>
    </row>
    <row r="108" spans="1:22" ht="18" customHeight="1">
      <c r="A108" s="196"/>
      <c r="V108" s="97"/>
    </row>
    <row r="109" spans="1:22" ht="18" customHeight="1">
      <c r="A109" s="196"/>
      <c r="C109" s="30" t="s">
        <v>484</v>
      </c>
      <c r="D109" s="27" t="s">
        <v>540</v>
      </c>
      <c r="E109" s="861" t="s">
        <v>909</v>
      </c>
      <c r="F109" s="861"/>
      <c r="G109" s="27" t="s">
        <v>326</v>
      </c>
      <c r="H109" s="861" t="s">
        <v>910</v>
      </c>
      <c r="I109" s="861"/>
      <c r="J109" s="28" t="s">
        <v>683</v>
      </c>
      <c r="K109" s="27">
        <v>1</v>
      </c>
      <c r="L109" s="14" t="s">
        <v>358</v>
      </c>
      <c r="M109" s="14" t="s">
        <v>352</v>
      </c>
      <c r="N109" s="14" t="s">
        <v>911</v>
      </c>
      <c r="O109" s="27" t="s">
        <v>431</v>
      </c>
      <c r="P109" s="27" t="s">
        <v>358</v>
      </c>
      <c r="Q109" s="27" t="s">
        <v>419</v>
      </c>
      <c r="R109" s="30" t="s">
        <v>361</v>
      </c>
      <c r="V109" s="197"/>
    </row>
    <row r="110" spans="1:22" ht="18" customHeight="1">
      <c r="A110" s="196"/>
      <c r="C110" s="14" t="s">
        <v>904</v>
      </c>
      <c r="E110" s="27"/>
      <c r="F110" s="230"/>
      <c r="G110" s="216"/>
      <c r="H110" s="14"/>
      <c r="I110" s="14"/>
      <c r="J110" s="14"/>
      <c r="K110" s="14"/>
      <c r="L110" s="120"/>
      <c r="M110" s="120"/>
      <c r="N110" s="14"/>
      <c r="O110" s="14"/>
      <c r="U110" s="14"/>
      <c r="V110" s="197"/>
    </row>
    <row r="111" spans="1:22" ht="18" customHeight="1">
      <c r="A111" s="96"/>
      <c r="B111" s="14"/>
      <c r="D111" s="861" t="s">
        <v>909</v>
      </c>
      <c r="E111" s="969"/>
      <c r="F111" s="230" t="s">
        <v>138</v>
      </c>
      <c r="G111" s="269" t="s">
        <v>912</v>
      </c>
      <c r="H111" s="14"/>
      <c r="I111" s="14"/>
      <c r="J111" s="14"/>
      <c r="K111" s="14"/>
      <c r="L111" s="120"/>
      <c r="M111" s="120"/>
      <c r="N111" s="14"/>
      <c r="O111" s="14"/>
      <c r="S111" s="28" t="s">
        <v>138</v>
      </c>
      <c r="T111" s="47">
        <v>0.6</v>
      </c>
      <c r="U111" s="14"/>
      <c r="V111" s="97"/>
    </row>
    <row r="112" spans="1:22" ht="18" customHeight="1">
      <c r="A112" s="284"/>
      <c r="B112" s="47"/>
      <c r="D112" s="861" t="s">
        <v>910</v>
      </c>
      <c r="E112" s="969"/>
      <c r="F112" s="230" t="s">
        <v>138</v>
      </c>
      <c r="G112" s="269" t="s">
        <v>913</v>
      </c>
      <c r="H112" s="14"/>
      <c r="I112" s="14"/>
      <c r="J112" s="14"/>
      <c r="K112" s="14"/>
      <c r="L112" s="120"/>
      <c r="M112" s="120"/>
      <c r="N112" s="14"/>
      <c r="O112" s="14"/>
      <c r="S112" s="28" t="s">
        <v>138</v>
      </c>
      <c r="T112" s="989">
        <f>'[6]Fault Calc (3)'!M107/T61</f>
        <v>13.614666949096682</v>
      </c>
      <c r="U112" s="987"/>
      <c r="V112" s="97" t="s">
        <v>9</v>
      </c>
    </row>
    <row r="113" spans="1:22" ht="18" customHeight="1">
      <c r="A113" s="96"/>
      <c r="B113" s="47"/>
      <c r="C113" s="120"/>
      <c r="S113" s="14"/>
      <c r="T113" s="14"/>
      <c r="U113" s="14"/>
      <c r="V113" s="97"/>
    </row>
    <row r="114" spans="1:22" ht="18" customHeight="1">
      <c r="A114" s="196"/>
      <c r="C114" s="30" t="s">
        <v>484</v>
      </c>
      <c r="D114" s="27" t="s">
        <v>540</v>
      </c>
      <c r="E114" s="861" t="s">
        <v>909</v>
      </c>
      <c r="F114" s="861"/>
      <c r="G114" s="27" t="s">
        <v>326</v>
      </c>
      <c r="H114" s="861" t="s">
        <v>910</v>
      </c>
      <c r="I114" s="861"/>
      <c r="J114" s="28" t="s">
        <v>683</v>
      </c>
      <c r="K114" s="27">
        <v>1</v>
      </c>
      <c r="L114" s="14" t="s">
        <v>358</v>
      </c>
      <c r="M114" s="14" t="s">
        <v>352</v>
      </c>
      <c r="N114" s="14" t="s">
        <v>911</v>
      </c>
      <c r="O114" s="27" t="s">
        <v>431</v>
      </c>
      <c r="P114" s="27" t="s">
        <v>358</v>
      </c>
      <c r="Q114" s="27" t="s">
        <v>419</v>
      </c>
      <c r="R114" s="30" t="s">
        <v>361</v>
      </c>
      <c r="V114" s="97"/>
    </row>
    <row r="115" spans="1:22" ht="18" customHeight="1">
      <c r="A115" s="196"/>
      <c r="C115" s="30" t="s">
        <v>484</v>
      </c>
      <c r="D115" s="27" t="s">
        <v>540</v>
      </c>
      <c r="E115" s="861">
        <f>T111</f>
        <v>0.6</v>
      </c>
      <c r="F115" s="861"/>
      <c r="G115" s="27" t="s">
        <v>326</v>
      </c>
      <c r="H115" s="1113">
        <f>T112</f>
        <v>13.614666949096682</v>
      </c>
      <c r="I115" s="861"/>
      <c r="J115" s="28" t="s">
        <v>683</v>
      </c>
      <c r="K115" s="27">
        <v>1</v>
      </c>
      <c r="L115" s="14" t="s">
        <v>358</v>
      </c>
      <c r="M115" s="28">
        <f>T66</f>
        <v>23.6</v>
      </c>
      <c r="N115" s="14" t="s">
        <v>911</v>
      </c>
      <c r="O115" s="27">
        <f>T63</f>
        <v>14</v>
      </c>
      <c r="P115" s="27" t="s">
        <v>358</v>
      </c>
      <c r="Q115" s="223">
        <f>T64</f>
        <v>0.58186130000000003</v>
      </c>
      <c r="R115" s="30" t="s">
        <v>361</v>
      </c>
      <c r="V115" s="97"/>
    </row>
    <row r="116" spans="1:22" ht="18" customHeight="1">
      <c r="A116" s="196"/>
      <c r="C116" s="30" t="s">
        <v>484</v>
      </c>
      <c r="D116" s="27" t="s">
        <v>540</v>
      </c>
      <c r="E116" s="1168">
        <f>E115*H115*((K115+M115)*(O115+Q115))</f>
        <v>2930.2612520379485</v>
      </c>
      <c r="F116" s="1169"/>
      <c r="G116" s="14" t="s">
        <v>907</v>
      </c>
      <c r="V116" s="97"/>
    </row>
    <row r="117" spans="1:22" ht="18" customHeight="1">
      <c r="A117" s="557"/>
      <c r="B117" s="261"/>
      <c r="C117" s="261"/>
      <c r="D117" s="261"/>
      <c r="E117" s="261"/>
      <c r="F117" s="261"/>
      <c r="G117" s="14"/>
      <c r="H117" s="14"/>
      <c r="I117" s="14"/>
      <c r="J117" s="14"/>
      <c r="K117" s="14"/>
      <c r="L117" s="14"/>
      <c r="M117" s="120"/>
      <c r="N117" s="102"/>
      <c r="O117" s="47"/>
      <c r="P117" s="14"/>
      <c r="Q117" s="14"/>
      <c r="R117" s="14"/>
      <c r="S117" s="14"/>
      <c r="T117" s="14"/>
      <c r="U117" s="14"/>
      <c r="V117" s="97"/>
    </row>
    <row r="118" spans="1:22" ht="18" customHeight="1">
      <c r="A118" s="96"/>
      <c r="B118" s="472" t="s">
        <v>914</v>
      </c>
      <c r="C118" s="28"/>
      <c r="D118" s="28"/>
      <c r="E118" s="14"/>
      <c r="F118" s="14"/>
      <c r="G118" s="120"/>
      <c r="H118" s="120"/>
      <c r="I118" s="47"/>
      <c r="J118" s="568"/>
      <c r="K118" s="14"/>
      <c r="L118" s="14"/>
      <c r="M118" s="912">
        <f>MAX(F91,H105,E116)</f>
        <v>2930.2612520379485</v>
      </c>
      <c r="N118" s="913"/>
      <c r="O118" s="14" t="s">
        <v>907</v>
      </c>
      <c r="P118" s="14"/>
      <c r="Q118" s="14"/>
      <c r="R118" s="14"/>
      <c r="S118" s="14"/>
      <c r="T118" s="14"/>
      <c r="U118" s="14"/>
      <c r="V118" s="97"/>
    </row>
    <row r="119" spans="1:22" ht="18" customHeight="1">
      <c r="A119" s="205"/>
      <c r="I119" s="14"/>
      <c r="J119" s="14"/>
      <c r="K119" s="14"/>
      <c r="L119" s="47"/>
      <c r="M119" s="47"/>
      <c r="N119" s="47"/>
      <c r="O119" s="47"/>
      <c r="P119" s="28"/>
      <c r="Q119" s="569"/>
      <c r="R119" s="47"/>
      <c r="S119" s="14"/>
      <c r="T119" s="14"/>
      <c r="U119" s="14"/>
      <c r="V119" s="97"/>
    </row>
    <row r="120" spans="1:22" ht="18" customHeight="1">
      <c r="A120" s="196"/>
      <c r="C120" s="30" t="s">
        <v>486</v>
      </c>
      <c r="F120" s="27" t="str">
        <f>IF(D121&gt;G121,"&gt;","&lt;")</f>
        <v>&gt;</v>
      </c>
      <c r="G120" s="30" t="s">
        <v>488</v>
      </c>
      <c r="L120" s="14"/>
      <c r="M120" s="14"/>
      <c r="N120" s="14"/>
      <c r="O120" s="14"/>
      <c r="P120" s="14"/>
      <c r="Q120" s="14"/>
      <c r="R120" s="14"/>
      <c r="S120" s="14"/>
      <c r="T120" s="14"/>
      <c r="U120" s="14"/>
      <c r="V120" s="97"/>
    </row>
    <row r="121" spans="1:22" ht="18" customHeight="1">
      <c r="A121" s="196"/>
      <c r="D121" s="639">
        <f>H13</f>
        <v>4000</v>
      </c>
      <c r="E121" s="639"/>
      <c r="F121" s="27" t="str">
        <f>F120</f>
        <v>&gt;</v>
      </c>
      <c r="G121" s="873">
        <f>M118</f>
        <v>2930.2612520379485</v>
      </c>
      <c r="H121" s="873"/>
      <c r="L121" s="14"/>
      <c r="M121" s="14"/>
      <c r="N121" s="28"/>
      <c r="O121" s="28"/>
      <c r="P121" s="28"/>
      <c r="Q121" s="120"/>
      <c r="R121" s="262"/>
      <c r="S121" s="198"/>
      <c r="T121" s="14"/>
      <c r="U121" s="14"/>
      <c r="V121" s="97"/>
    </row>
    <row r="122" spans="1:22" ht="18" customHeight="1">
      <c r="A122" s="196"/>
      <c r="E122" s="256" t="s">
        <v>489</v>
      </c>
      <c r="G122" s="18" t="str">
        <f>IF(F120="&gt;","Suitably Dimensioned","Under Dimensioned")</f>
        <v>Suitably Dimensioned</v>
      </c>
      <c r="L122" s="14"/>
      <c r="M122" s="14"/>
      <c r="N122" s="28"/>
      <c r="O122" s="269"/>
      <c r="P122" s="14"/>
      <c r="Q122" s="14"/>
      <c r="R122" s="120"/>
      <c r="S122" s="28"/>
      <c r="T122" s="47"/>
      <c r="U122" s="14"/>
      <c r="V122" s="97"/>
    </row>
    <row r="123" spans="1:22" ht="18" customHeight="1">
      <c r="A123" s="205"/>
      <c r="B123" s="14"/>
      <c r="C123" s="27"/>
      <c r="D123" s="230"/>
      <c r="E123" s="216"/>
      <c r="F123" s="14"/>
      <c r="G123" s="14"/>
      <c r="H123" s="14"/>
      <c r="I123" s="14"/>
      <c r="J123" s="120"/>
      <c r="K123" s="120"/>
      <c r="L123" s="14"/>
      <c r="M123" s="14"/>
      <c r="N123" s="28"/>
      <c r="O123" s="269"/>
      <c r="P123" s="14"/>
      <c r="Q123" s="14"/>
      <c r="R123" s="120"/>
      <c r="S123" s="28"/>
      <c r="T123" s="47"/>
      <c r="U123" s="14"/>
      <c r="V123" s="97"/>
    </row>
    <row r="124" spans="1:22" ht="18" customHeight="1">
      <c r="A124" s="205"/>
      <c r="B124" s="14"/>
      <c r="C124" s="27"/>
      <c r="D124" s="230"/>
      <c r="E124" s="216"/>
      <c r="F124" s="14"/>
      <c r="G124" s="14"/>
      <c r="H124" s="14"/>
      <c r="I124" s="14"/>
      <c r="J124" s="120"/>
      <c r="K124" s="120"/>
      <c r="L124" s="14"/>
      <c r="M124" s="14"/>
      <c r="N124" s="28"/>
      <c r="O124" s="269"/>
      <c r="P124" s="14"/>
      <c r="Q124" s="14"/>
      <c r="R124" s="120"/>
      <c r="S124" s="28"/>
      <c r="T124" s="47"/>
      <c r="U124" s="14"/>
      <c r="V124" s="97"/>
    </row>
    <row r="125" spans="1:22" ht="18" customHeight="1">
      <c r="A125" s="205"/>
      <c r="B125" s="14"/>
      <c r="C125" s="27"/>
      <c r="D125" s="230"/>
      <c r="E125" s="216"/>
      <c r="F125" s="14"/>
      <c r="G125" s="14"/>
      <c r="H125" s="14"/>
      <c r="I125" s="14"/>
      <c r="J125" s="120"/>
      <c r="K125" s="120"/>
      <c r="L125" s="14"/>
      <c r="M125" s="14"/>
      <c r="N125" s="28"/>
      <c r="O125" s="269"/>
      <c r="P125" s="14"/>
      <c r="Q125" s="14"/>
      <c r="R125" s="120"/>
      <c r="S125" s="28"/>
      <c r="T125" s="47"/>
      <c r="U125" s="14"/>
      <c r="V125" s="97"/>
    </row>
    <row r="126" spans="1:22" ht="18" customHeight="1">
      <c r="A126" s="206"/>
      <c r="B126" s="207"/>
      <c r="C126" s="207"/>
      <c r="D126" s="207"/>
      <c r="E126" s="207"/>
      <c r="F126" s="207"/>
      <c r="G126" s="207"/>
      <c r="H126" s="207"/>
      <c r="I126" s="207"/>
      <c r="J126" s="207"/>
      <c r="K126" s="207"/>
      <c r="L126" s="207"/>
      <c r="M126" s="207"/>
      <c r="N126" s="207"/>
      <c r="O126" s="207"/>
      <c r="P126" s="207"/>
      <c r="Q126" s="236"/>
      <c r="R126" s="194"/>
      <c r="S126" s="237"/>
      <c r="T126" s="207"/>
      <c r="U126" s="207"/>
      <c r="V126" s="140"/>
    </row>
    <row r="127" spans="1:22" ht="18" hidden="1" customHeight="1">
      <c r="A127" s="238"/>
      <c r="B127" s="239"/>
      <c r="C127" s="239"/>
      <c r="D127" s="239"/>
      <c r="E127" s="239"/>
      <c r="F127" s="239"/>
      <c r="G127" s="239"/>
      <c r="H127" s="239"/>
      <c r="I127" s="239"/>
      <c r="J127" s="239"/>
      <c r="K127" s="239"/>
      <c r="L127" s="239"/>
      <c r="M127" s="239"/>
      <c r="N127" s="239"/>
      <c r="O127" s="239"/>
      <c r="P127" s="239"/>
      <c r="Q127" s="239"/>
      <c r="R127" s="239"/>
      <c r="S127" s="239"/>
      <c r="T127" s="239"/>
      <c r="U127" s="239"/>
      <c r="V127" s="240"/>
    </row>
    <row r="128" spans="1:22" ht="18" hidden="1" customHeight="1">
      <c r="A128" s="196"/>
      <c r="B128" s="650" t="str">
        <f>B7</f>
        <v>CT7001</v>
      </c>
      <c r="C128" s="651"/>
      <c r="D128" s="1184" t="str">
        <f>D7</f>
        <v>Core2</v>
      </c>
      <c r="E128" s="1185"/>
      <c r="F128" s="1182" t="str">
        <f>F7</f>
        <v>Main-2</v>
      </c>
      <c r="G128" s="1182"/>
      <c r="H128" s="638" t="str">
        <f>H7</f>
        <v>(Differential + Distance)</v>
      </c>
      <c r="I128" s="638"/>
      <c r="J128" s="638"/>
      <c r="K128" s="638"/>
      <c r="L128" s="638"/>
      <c r="M128" s="638"/>
      <c r="P128" s="198"/>
      <c r="S128" s="199" t="s">
        <v>398</v>
      </c>
      <c r="T128" s="650" t="str">
        <f>T7</f>
        <v>P545</v>
      </c>
      <c r="U128" s="651"/>
      <c r="V128" s="197"/>
    </row>
    <row r="129" spans="1:29" ht="18" hidden="1" customHeight="1">
      <c r="A129" s="196"/>
      <c r="B129" s="660" t="str">
        <f>B8</f>
        <v>CT7004</v>
      </c>
      <c r="C129" s="660"/>
      <c r="D129" s="1184" t="str">
        <f>D8</f>
        <v>Core5</v>
      </c>
      <c r="E129" s="1185"/>
      <c r="F129" s="468"/>
      <c r="T129" s="650">
        <f>T8</f>
        <v>0</v>
      </c>
      <c r="U129" s="651"/>
      <c r="V129" s="197"/>
    </row>
    <row r="130" spans="1:29" ht="18" hidden="1" customHeight="1">
      <c r="A130" s="196"/>
      <c r="H130" s="661" t="s">
        <v>401</v>
      </c>
      <c r="I130" s="661"/>
      <c r="J130" s="662" t="s">
        <v>402</v>
      </c>
      <c r="K130" s="662"/>
      <c r="L130" s="701" t="s">
        <v>403</v>
      </c>
      <c r="M130" s="701"/>
      <c r="T130" s="650">
        <f>T9</f>
        <v>0</v>
      </c>
      <c r="U130" s="651"/>
      <c r="V130" s="197"/>
    </row>
    <row r="131" spans="1:29" ht="18" hidden="1" customHeight="1">
      <c r="A131" s="196"/>
      <c r="B131" s="47" t="s">
        <v>404</v>
      </c>
      <c r="H131" s="650">
        <f>H10</f>
        <v>4000</v>
      </c>
      <c r="I131" s="651"/>
      <c r="J131" s="652">
        <f>J10</f>
        <v>3000</v>
      </c>
      <c r="K131" s="653"/>
      <c r="L131" s="650" t="str">
        <f>L10</f>
        <v>-</v>
      </c>
      <c r="M131" s="651"/>
      <c r="N131" s="203" t="s">
        <v>353</v>
      </c>
      <c r="O131" s="268">
        <f>O10</f>
        <v>1</v>
      </c>
      <c r="P131" s="27" t="s">
        <v>9</v>
      </c>
      <c r="V131" s="197"/>
    </row>
    <row r="132" spans="1:29" ht="18" hidden="1" customHeight="1">
      <c r="A132" s="196"/>
      <c r="B132" s="47" t="s">
        <v>405</v>
      </c>
      <c r="J132" s="650" t="str">
        <f>H11</f>
        <v>PX</v>
      </c>
      <c r="K132" s="651"/>
      <c r="V132" s="197"/>
    </row>
    <row r="133" spans="1:29" ht="18" hidden="1" customHeight="1">
      <c r="A133" s="196"/>
      <c r="B133" s="47" t="s">
        <v>407</v>
      </c>
      <c r="I133" s="120" t="s">
        <v>508</v>
      </c>
      <c r="J133" s="940">
        <v>10</v>
      </c>
      <c r="K133" s="941"/>
      <c r="L133" s="204" t="s">
        <v>344</v>
      </c>
      <c r="V133" s="197"/>
    </row>
    <row r="134" spans="1:29" ht="18" hidden="1" customHeight="1">
      <c r="A134" s="196"/>
      <c r="B134" s="47" t="s">
        <v>409</v>
      </c>
      <c r="I134" s="120" t="s">
        <v>509</v>
      </c>
      <c r="J134" s="940">
        <v>3000</v>
      </c>
      <c r="K134" s="941"/>
      <c r="L134" s="14" t="s">
        <v>316</v>
      </c>
      <c r="V134" s="197"/>
      <c r="W134" s="30" t="s">
        <v>411</v>
      </c>
      <c r="AB134" s="996">
        <f>M238</f>
        <v>2835.268420484374</v>
      </c>
      <c r="AC134" s="997"/>
    </row>
    <row r="135" spans="1:29" ht="18" hidden="1" customHeight="1">
      <c r="A135" s="196"/>
      <c r="B135" s="14" t="s">
        <v>412</v>
      </c>
      <c r="I135" s="120" t="s">
        <v>413</v>
      </c>
      <c r="J135" s="940">
        <v>30</v>
      </c>
      <c r="K135" s="941"/>
      <c r="L135" s="14" t="s">
        <v>414</v>
      </c>
      <c r="V135" s="197"/>
    </row>
    <row r="136" spans="1:29" ht="18" hidden="1" customHeight="1">
      <c r="A136" s="196"/>
      <c r="V136" s="197"/>
    </row>
    <row r="137" spans="1:29" ht="18" hidden="1" customHeight="1">
      <c r="A137" s="205" t="s">
        <v>415</v>
      </c>
      <c r="V137" s="197"/>
    </row>
    <row r="138" spans="1:29" ht="18" hidden="1" customHeight="1">
      <c r="A138" s="196"/>
      <c r="V138" s="197"/>
    </row>
    <row r="139" spans="1:29" ht="18" hidden="1" customHeight="1">
      <c r="A139" s="196"/>
      <c r="B139" s="206" t="s">
        <v>416</v>
      </c>
      <c r="C139" s="207"/>
      <c r="D139" s="207" t="str">
        <f>T128</f>
        <v>P545</v>
      </c>
      <c r="E139" s="208"/>
      <c r="F139" s="208"/>
      <c r="G139" s="208"/>
      <c r="H139" s="194" t="s">
        <v>417</v>
      </c>
      <c r="I139" s="195" t="s">
        <v>138</v>
      </c>
      <c r="J139" s="897">
        <f>J18</f>
        <v>0.02</v>
      </c>
      <c r="K139" s="649"/>
      <c r="L139" s="214" t="s">
        <v>168</v>
      </c>
      <c r="V139" s="197"/>
    </row>
    <row r="140" spans="1:29" ht="18" hidden="1" customHeight="1">
      <c r="A140" s="196"/>
      <c r="B140" s="196" t="s">
        <v>416</v>
      </c>
      <c r="D140" s="308">
        <f>T129</f>
        <v>0</v>
      </c>
      <c r="I140" s="28" t="s">
        <v>138</v>
      </c>
      <c r="J140" s="897">
        <f>J19</f>
        <v>0</v>
      </c>
      <c r="K140" s="797"/>
      <c r="L140" s="309" t="s">
        <v>168</v>
      </c>
      <c r="V140" s="197"/>
    </row>
    <row r="141" spans="1:29" ht="18" hidden="1" customHeight="1">
      <c r="A141" s="196"/>
      <c r="B141" s="196" t="s">
        <v>416</v>
      </c>
      <c r="D141" s="308">
        <f>T130</f>
        <v>0</v>
      </c>
      <c r="E141" s="14"/>
      <c r="G141" s="211"/>
      <c r="H141" s="27"/>
      <c r="I141" s="101" t="s">
        <v>138</v>
      </c>
      <c r="J141" s="644">
        <f>J20</f>
        <v>0</v>
      </c>
      <c r="K141" s="800"/>
      <c r="L141" s="439" t="s">
        <v>168</v>
      </c>
      <c r="V141" s="197"/>
    </row>
    <row r="142" spans="1:29" ht="18" hidden="1" customHeight="1">
      <c r="A142" s="196"/>
      <c r="B142" s="196" t="s">
        <v>423</v>
      </c>
      <c r="H142" s="27"/>
      <c r="I142" s="189" t="s">
        <v>138</v>
      </c>
      <c r="J142" s="1042">
        <f>J21</f>
        <v>0.56186130000000001</v>
      </c>
      <c r="K142" s="1186"/>
      <c r="L142" s="439" t="s">
        <v>168</v>
      </c>
      <c r="V142" s="197"/>
    </row>
    <row r="143" spans="1:29" ht="18" hidden="1" customHeight="1">
      <c r="A143" s="196"/>
      <c r="B143" s="217" t="s">
        <v>424</v>
      </c>
      <c r="C143" s="218"/>
      <c r="D143" s="218"/>
      <c r="E143" s="218"/>
      <c r="F143" s="219"/>
      <c r="G143" s="219"/>
      <c r="H143" s="202" t="s">
        <v>420</v>
      </c>
      <c r="I143" s="220" t="s">
        <v>138</v>
      </c>
      <c r="J143" s="897">
        <f>SUM(J140:K142)</f>
        <v>0.56186130000000001</v>
      </c>
      <c r="K143" s="797"/>
      <c r="L143" s="441" t="s">
        <v>168</v>
      </c>
      <c r="V143" s="197"/>
    </row>
    <row r="144" spans="1:29" ht="18" hidden="1" customHeight="1">
      <c r="A144" s="196"/>
      <c r="B144" s="47"/>
      <c r="C144" s="47"/>
      <c r="D144" s="47"/>
      <c r="E144" s="47"/>
      <c r="H144" s="27"/>
      <c r="I144" s="28"/>
      <c r="J144" s="211"/>
      <c r="L144" s="47"/>
      <c r="O144" s="27"/>
      <c r="P144" s="223"/>
      <c r="Q144" s="223"/>
      <c r="R144" s="204"/>
      <c r="V144" s="197"/>
    </row>
    <row r="145" spans="1:22" ht="18" hidden="1" customHeight="1">
      <c r="A145" s="196"/>
      <c r="B145" s="209" t="s">
        <v>659</v>
      </c>
      <c r="L145" s="47"/>
      <c r="M145" s="209" t="s">
        <v>418</v>
      </c>
      <c r="V145" s="197"/>
    </row>
    <row r="146" spans="1:22" ht="18" hidden="1" customHeight="1">
      <c r="A146" s="196"/>
      <c r="B146" s="257" t="s">
        <v>660</v>
      </c>
      <c r="C146" s="257" t="s">
        <v>138</v>
      </c>
      <c r="D146" s="254" t="s">
        <v>417</v>
      </c>
      <c r="E146" s="559" t="s">
        <v>421</v>
      </c>
      <c r="F146" s="257" t="s">
        <v>157</v>
      </c>
      <c r="G146" s="233" t="s">
        <v>326</v>
      </c>
      <c r="H146" s="234" t="s">
        <v>157</v>
      </c>
      <c r="I146" s="254" t="s">
        <v>361</v>
      </c>
      <c r="J146" s="516"/>
      <c r="K146" s="254"/>
      <c r="L146" s="560"/>
      <c r="M146" s="254" t="s">
        <v>419</v>
      </c>
      <c r="N146" s="257" t="s">
        <v>138</v>
      </c>
      <c r="O146" s="254" t="s">
        <v>420</v>
      </c>
      <c r="P146" s="561" t="s">
        <v>421</v>
      </c>
      <c r="Q146" s="556" t="s">
        <v>422</v>
      </c>
      <c r="R146" s="257" t="s">
        <v>326</v>
      </c>
      <c r="S146" s="254" t="s">
        <v>422</v>
      </c>
      <c r="T146" s="254" t="s">
        <v>361</v>
      </c>
      <c r="V146" s="197"/>
    </row>
    <row r="147" spans="1:22" ht="18" hidden="1" customHeight="1">
      <c r="A147" s="196"/>
      <c r="B147" s="560"/>
      <c r="C147" s="257" t="s">
        <v>138</v>
      </c>
      <c r="D147" s="313">
        <f>J139</f>
        <v>0.02</v>
      </c>
      <c r="E147" s="561" t="s">
        <v>421</v>
      </c>
      <c r="F147" s="257">
        <f>F26</f>
        <v>1</v>
      </c>
      <c r="G147" s="257" t="s">
        <v>326</v>
      </c>
      <c r="H147" s="257">
        <f>H26</f>
        <v>1</v>
      </c>
      <c r="I147" s="254" t="s">
        <v>361</v>
      </c>
      <c r="J147" s="516"/>
      <c r="K147" s="254"/>
      <c r="L147" s="560"/>
      <c r="M147" s="254"/>
      <c r="N147" s="257" t="s">
        <v>138</v>
      </c>
      <c r="O147" s="313">
        <f>J143</f>
        <v>0.56186130000000001</v>
      </c>
      <c r="P147" s="561" t="s">
        <v>421</v>
      </c>
      <c r="Q147" s="257">
        <f>O131</f>
        <v>1</v>
      </c>
      <c r="R147" s="257" t="s">
        <v>326</v>
      </c>
      <c r="S147" s="257">
        <f>O131</f>
        <v>1</v>
      </c>
      <c r="T147" s="254" t="s">
        <v>361</v>
      </c>
      <c r="V147" s="197"/>
    </row>
    <row r="148" spans="1:22" ht="18" hidden="1" customHeight="1">
      <c r="A148" s="196"/>
      <c r="B148" s="560"/>
      <c r="C148" s="257" t="s">
        <v>138</v>
      </c>
      <c r="D148" s="640">
        <f>D147/(F147*H147)</f>
        <v>0.02</v>
      </c>
      <c r="E148" s="640"/>
      <c r="F148" s="562" t="s">
        <v>344</v>
      </c>
      <c r="G148" s="254"/>
      <c r="H148" s="254"/>
      <c r="I148" s="254"/>
      <c r="J148" s="516"/>
      <c r="K148" s="254"/>
      <c r="L148" s="560"/>
      <c r="M148" s="254"/>
      <c r="N148" s="257" t="s">
        <v>138</v>
      </c>
      <c r="O148" s="640">
        <f>O147/(Q147*S147)</f>
        <v>0.56186130000000001</v>
      </c>
      <c r="P148" s="640"/>
      <c r="Q148" s="562" t="s">
        <v>344</v>
      </c>
      <c r="R148" s="254"/>
      <c r="S148" s="254"/>
      <c r="T148" s="254"/>
      <c r="V148" s="197"/>
    </row>
    <row r="149" spans="1:22" ht="18" hidden="1" customHeight="1">
      <c r="A149" s="196"/>
      <c r="B149" s="47" t="s">
        <v>874</v>
      </c>
      <c r="C149" s="47"/>
      <c r="D149" s="47"/>
      <c r="E149" s="47"/>
      <c r="H149" s="27"/>
      <c r="I149" s="28"/>
      <c r="J149" s="211"/>
      <c r="L149" s="28" t="s">
        <v>138</v>
      </c>
      <c r="M149" s="640">
        <f>D148</f>
        <v>0.02</v>
      </c>
      <c r="N149" s="640"/>
      <c r="O149" s="257" t="s">
        <v>358</v>
      </c>
      <c r="P149" s="640">
        <f>O148</f>
        <v>0.56186130000000001</v>
      </c>
      <c r="Q149" s="640"/>
      <c r="R149" s="555" t="s">
        <v>138</v>
      </c>
      <c r="S149" s="640">
        <f>M149+P149</f>
        <v>0.58186130000000003</v>
      </c>
      <c r="T149" s="640"/>
      <c r="U149" s="204" t="s">
        <v>344</v>
      </c>
      <c r="V149" s="197"/>
    </row>
    <row r="150" spans="1:22" ht="18" hidden="1" customHeight="1">
      <c r="A150" s="284"/>
      <c r="V150" s="197"/>
    </row>
    <row r="151" spans="1:22" ht="18" hidden="1" customHeight="1">
      <c r="A151" s="116" t="s">
        <v>425</v>
      </c>
      <c r="B151" s="47"/>
      <c r="D151" s="47"/>
      <c r="E151" s="47"/>
      <c r="H151" s="27"/>
      <c r="I151" s="28"/>
      <c r="J151" s="211"/>
      <c r="L151" s="47"/>
      <c r="M151" s="313"/>
      <c r="N151" s="257"/>
      <c r="O151" s="555"/>
      <c r="P151" s="555"/>
      <c r="Q151" s="555"/>
      <c r="R151" s="204"/>
      <c r="V151" s="197"/>
    </row>
    <row r="152" spans="1:22" ht="18" hidden="1" customHeight="1">
      <c r="A152" s="284" t="s">
        <v>875</v>
      </c>
      <c r="V152" s="197"/>
    </row>
    <row r="153" spans="1:22" s="291" customFormat="1" ht="18" hidden="1" customHeight="1">
      <c r="A153" s="196"/>
      <c r="B153" s="30" t="s">
        <v>484</v>
      </c>
      <c r="C153" s="27" t="s">
        <v>540</v>
      </c>
      <c r="D153" s="27" t="s">
        <v>876</v>
      </c>
      <c r="E153" s="27" t="s">
        <v>326</v>
      </c>
      <c r="F153" s="27" t="s">
        <v>522</v>
      </c>
      <c r="G153" s="27" t="s">
        <v>383</v>
      </c>
      <c r="H153" s="27" t="s">
        <v>431</v>
      </c>
      <c r="I153" s="27" t="s">
        <v>358</v>
      </c>
      <c r="J153" s="27" t="s">
        <v>877</v>
      </c>
      <c r="K153" s="30" t="s">
        <v>361</v>
      </c>
      <c r="L153" s="30"/>
      <c r="M153" s="30"/>
      <c r="N153" s="30"/>
      <c r="O153" s="30"/>
      <c r="P153" s="30"/>
      <c r="Q153" s="30"/>
      <c r="R153" s="30"/>
      <c r="S153" s="30"/>
      <c r="T153" s="30"/>
      <c r="U153" s="30" t="s">
        <v>878</v>
      </c>
      <c r="V153" s="197"/>
    </row>
    <row r="154" spans="1:22" s="291" customFormat="1" ht="18" hidden="1" customHeight="1">
      <c r="A154" s="196"/>
      <c r="B154" s="30"/>
      <c r="C154" s="30"/>
      <c r="D154" s="30"/>
      <c r="E154" s="30"/>
      <c r="F154" s="30"/>
      <c r="G154" s="30"/>
      <c r="H154" s="30"/>
      <c r="I154" s="30"/>
      <c r="J154" s="30"/>
      <c r="K154" s="30"/>
      <c r="L154" s="30"/>
      <c r="M154" s="30"/>
      <c r="N154" s="30"/>
      <c r="O154" s="30"/>
      <c r="P154" s="30"/>
      <c r="Q154" s="30"/>
      <c r="R154" s="30"/>
      <c r="S154" s="30"/>
      <c r="T154" s="30"/>
      <c r="U154" s="30"/>
      <c r="V154" s="197"/>
    </row>
    <row r="155" spans="1:22" s="291" customFormat="1" ht="18" hidden="1" customHeight="1">
      <c r="A155" s="1002" t="s">
        <v>879</v>
      </c>
      <c r="B155" s="965"/>
      <c r="C155" s="965"/>
      <c r="D155" s="965"/>
      <c r="E155" s="965"/>
      <c r="F155" s="965"/>
      <c r="G155" s="965"/>
      <c r="H155" s="965"/>
      <c r="I155" s="965"/>
      <c r="J155" s="965"/>
      <c r="K155" s="965"/>
      <c r="L155" s="965"/>
      <c r="M155" s="965"/>
      <c r="N155" s="965"/>
      <c r="O155" s="965"/>
      <c r="P155" s="965"/>
      <c r="Q155" s="965"/>
      <c r="R155" s="965"/>
      <c r="S155" s="965"/>
      <c r="T155" s="965"/>
      <c r="U155" s="965"/>
      <c r="V155" s="966"/>
    </row>
    <row r="156" spans="1:22" s="291" customFormat="1" ht="18" hidden="1" customHeight="1">
      <c r="A156" s="967"/>
      <c r="B156" s="965"/>
      <c r="C156" s="965"/>
      <c r="D156" s="965"/>
      <c r="E156" s="965"/>
      <c r="F156" s="965"/>
      <c r="G156" s="965"/>
      <c r="H156" s="965"/>
      <c r="I156" s="965"/>
      <c r="J156" s="965"/>
      <c r="K156" s="965"/>
      <c r="L156" s="965"/>
      <c r="M156" s="965"/>
      <c r="N156" s="965"/>
      <c r="O156" s="965"/>
      <c r="P156" s="965"/>
      <c r="Q156" s="965"/>
      <c r="R156" s="965"/>
      <c r="S156" s="965"/>
      <c r="T156" s="965"/>
      <c r="U156" s="965"/>
      <c r="V156" s="966"/>
    </row>
    <row r="157" spans="1:22" s="291" customFormat="1" ht="18" hidden="1" customHeight="1">
      <c r="A157" s="925">
        <v>1</v>
      </c>
      <c r="B157" s="1176" t="s">
        <v>880</v>
      </c>
      <c r="C157" s="1176"/>
      <c r="D157" s="1176"/>
      <c r="E157" s="1176"/>
      <c r="F157" s="1176"/>
      <c r="G157" s="1176"/>
      <c r="H157" s="1176"/>
      <c r="I157" s="1176"/>
      <c r="J157" s="1176"/>
      <c r="K157" s="1176"/>
      <c r="L157" s="1176"/>
      <c r="M157" s="1176"/>
      <c r="N157" s="1176"/>
      <c r="O157" s="1176"/>
      <c r="P157" s="1176"/>
      <c r="Q157" s="1176"/>
      <c r="R157" s="1176"/>
      <c r="S157" s="1176"/>
      <c r="T157" s="1176"/>
      <c r="U157" s="1176"/>
      <c r="V157" s="1177"/>
    </row>
    <row r="158" spans="1:22" s="291" customFormat="1" ht="18" hidden="1" customHeight="1">
      <c r="A158" s="925"/>
      <c r="B158" s="1176"/>
      <c r="C158" s="1176"/>
      <c r="D158" s="1176"/>
      <c r="E158" s="1176"/>
      <c r="F158" s="1176"/>
      <c r="G158" s="1176"/>
      <c r="H158" s="1176"/>
      <c r="I158" s="1176"/>
      <c r="J158" s="1176"/>
      <c r="K158" s="1176"/>
      <c r="L158" s="1176"/>
      <c r="M158" s="1176"/>
      <c r="N158" s="1176"/>
      <c r="O158" s="1176"/>
      <c r="P158" s="1176"/>
      <c r="Q158" s="1176"/>
      <c r="R158" s="1176"/>
      <c r="S158" s="1176"/>
      <c r="T158" s="1176"/>
      <c r="U158" s="1176"/>
      <c r="V158" s="1177"/>
    </row>
    <row r="159" spans="1:22" s="291" customFormat="1" ht="18" hidden="1" customHeight="1">
      <c r="A159" s="96"/>
      <c r="B159" s="120" t="s">
        <v>881</v>
      </c>
      <c r="C159" s="120" t="s">
        <v>430</v>
      </c>
      <c r="D159" s="638" t="s">
        <v>882</v>
      </c>
      <c r="E159" s="985"/>
      <c r="F159" s="28" t="s">
        <v>326</v>
      </c>
      <c r="G159" s="28" t="s">
        <v>352</v>
      </c>
      <c r="H159" s="47" t="s">
        <v>361</v>
      </c>
      <c r="I159" s="166" t="s">
        <v>710</v>
      </c>
      <c r="J159" s="120" t="s">
        <v>430</v>
      </c>
      <c r="K159" s="233">
        <v>1000</v>
      </c>
      <c r="L159" s="28" t="s">
        <v>326</v>
      </c>
      <c r="M159" s="28" t="s">
        <v>522</v>
      </c>
      <c r="N159" s="47" t="s">
        <v>361</v>
      </c>
      <c r="O159" s="28"/>
      <c r="P159" s="28"/>
      <c r="Q159" s="28"/>
      <c r="R159" s="28"/>
      <c r="S159" s="28"/>
      <c r="U159" s="14" t="s">
        <v>883</v>
      </c>
      <c r="V159" s="97"/>
    </row>
    <row r="160" spans="1:22" s="291" customFormat="1" ht="18" hidden="1" customHeight="1">
      <c r="A160" s="311"/>
      <c r="C160" s="14" t="s">
        <v>884</v>
      </c>
      <c r="M160" s="28"/>
      <c r="N160" s="28"/>
      <c r="O160" s="28"/>
      <c r="P160" s="28"/>
      <c r="Q160" s="28"/>
      <c r="R160" s="28"/>
      <c r="S160" s="28"/>
      <c r="T160" s="14"/>
      <c r="U160" s="28"/>
      <c r="V160" s="97"/>
    </row>
    <row r="161" spans="1:22" s="291" customFormat="1" ht="18" hidden="1" customHeight="1">
      <c r="A161" s="311"/>
      <c r="C161" s="14"/>
      <c r="D161" s="28" t="s">
        <v>876</v>
      </c>
      <c r="E161" s="28" t="s">
        <v>540</v>
      </c>
      <c r="F161" s="28">
        <v>40</v>
      </c>
      <c r="G161" s="28" t="s">
        <v>358</v>
      </c>
      <c r="H161" s="233">
        <v>7.0000000000000007E-2</v>
      </c>
      <c r="I161" s="28" t="s">
        <v>683</v>
      </c>
      <c r="J161" s="638" t="s">
        <v>882</v>
      </c>
      <c r="K161" s="985"/>
      <c r="L161" s="28" t="s">
        <v>326</v>
      </c>
      <c r="M161" s="28" t="s">
        <v>352</v>
      </c>
      <c r="N161" s="47" t="s">
        <v>361</v>
      </c>
      <c r="O161" s="28"/>
      <c r="P161" s="28"/>
      <c r="Q161" s="28"/>
      <c r="R161" s="28"/>
      <c r="S161" s="28"/>
      <c r="T161" s="14"/>
      <c r="U161" s="28"/>
      <c r="V161" s="97"/>
    </row>
    <row r="162" spans="1:22" s="291" customFormat="1" ht="18" hidden="1" customHeight="1">
      <c r="A162" s="337"/>
      <c r="B162" s="28"/>
      <c r="C162" s="28" t="s">
        <v>885</v>
      </c>
      <c r="D162" s="28" t="s">
        <v>876</v>
      </c>
      <c r="E162" s="28" t="s">
        <v>540</v>
      </c>
      <c r="F162" s="28">
        <v>65</v>
      </c>
      <c r="G162" s="14"/>
      <c r="H162" s="14"/>
      <c r="I162" s="120"/>
      <c r="J162" s="28"/>
      <c r="K162" s="28"/>
      <c r="L162" s="28"/>
      <c r="M162" s="28"/>
      <c r="N162" s="28"/>
      <c r="O162" s="28"/>
      <c r="P162" s="28"/>
      <c r="Q162" s="28"/>
      <c r="R162" s="28"/>
      <c r="S162" s="28"/>
      <c r="T162" s="14"/>
      <c r="U162" s="28"/>
      <c r="V162" s="97"/>
    </row>
    <row r="163" spans="1:22" s="291" customFormat="1" ht="18" hidden="1" customHeight="1">
      <c r="A163" s="96"/>
      <c r="B163" s="28"/>
      <c r="C163" s="28"/>
      <c r="D163" s="14"/>
      <c r="E163" s="14"/>
      <c r="F163" s="14"/>
      <c r="G163" s="120"/>
      <c r="H163" s="28"/>
      <c r="I163" s="28"/>
      <c r="J163" s="28"/>
      <c r="K163" s="28"/>
      <c r="L163" s="28"/>
      <c r="M163" s="28"/>
      <c r="N163" s="28"/>
      <c r="O163" s="28"/>
      <c r="P163" s="28"/>
      <c r="Q163" s="28"/>
      <c r="R163" s="28"/>
      <c r="S163" s="28"/>
      <c r="T163" s="14"/>
      <c r="U163" s="28"/>
      <c r="V163" s="97"/>
    </row>
    <row r="164" spans="1:22" ht="18" hidden="1" customHeight="1">
      <c r="A164" s="337"/>
      <c r="B164" s="120" t="s">
        <v>881</v>
      </c>
      <c r="C164" s="120" t="s">
        <v>430</v>
      </c>
      <c r="D164" s="233">
        <v>1000</v>
      </c>
      <c r="E164" s="28" t="s">
        <v>326</v>
      </c>
      <c r="F164" s="28" t="s">
        <v>522</v>
      </c>
      <c r="G164" s="47" t="s">
        <v>361</v>
      </c>
      <c r="H164" s="28" t="s">
        <v>886</v>
      </c>
      <c r="I164" s="120" t="s">
        <v>430</v>
      </c>
      <c r="J164" s="638" t="s">
        <v>882</v>
      </c>
      <c r="K164" s="985"/>
      <c r="L164" s="28" t="s">
        <v>326</v>
      </c>
      <c r="M164" s="28" t="s">
        <v>352</v>
      </c>
      <c r="N164" s="47" t="s">
        <v>361</v>
      </c>
      <c r="O164" s="166" t="s">
        <v>710</v>
      </c>
      <c r="P164" s="120" t="s">
        <v>430</v>
      </c>
      <c r="Q164" s="233">
        <v>2600</v>
      </c>
      <c r="R164" s="28" t="s">
        <v>326</v>
      </c>
      <c r="S164" s="28" t="s">
        <v>522</v>
      </c>
      <c r="T164" s="47" t="s">
        <v>361</v>
      </c>
      <c r="U164" s="14" t="s">
        <v>598</v>
      </c>
      <c r="V164" s="97"/>
    </row>
    <row r="165" spans="1:22" ht="18" hidden="1" customHeight="1">
      <c r="A165" s="337"/>
      <c r="B165" s="28" t="s">
        <v>876</v>
      </c>
      <c r="C165" s="28" t="s">
        <v>138</v>
      </c>
      <c r="D165" s="28">
        <v>107</v>
      </c>
      <c r="E165" s="14"/>
      <c r="F165" s="14"/>
      <c r="G165" s="120"/>
      <c r="H165" s="28"/>
      <c r="I165" s="28"/>
      <c r="J165" s="28"/>
      <c r="K165" s="28"/>
      <c r="L165" s="28"/>
      <c r="M165" s="28"/>
      <c r="N165" s="28"/>
      <c r="O165" s="28"/>
      <c r="P165" s="28"/>
      <c r="Q165" s="28"/>
      <c r="R165" s="28"/>
      <c r="S165" s="28"/>
      <c r="T165" s="14"/>
      <c r="U165" s="28"/>
      <c r="V165" s="97"/>
    </row>
    <row r="166" spans="1:22" s="291" customFormat="1" ht="18" hidden="1" customHeight="1">
      <c r="A166" s="96"/>
      <c r="B166" s="28"/>
      <c r="C166" s="28"/>
      <c r="D166" s="14"/>
      <c r="E166" s="14"/>
      <c r="F166" s="14"/>
      <c r="G166" s="120"/>
      <c r="H166" s="28"/>
      <c r="I166" s="28"/>
      <c r="J166" s="28"/>
      <c r="K166" s="28"/>
      <c r="L166" s="28"/>
      <c r="M166" s="28"/>
      <c r="N166" s="28"/>
      <c r="O166" s="28"/>
      <c r="P166" s="28"/>
      <c r="Q166" s="28"/>
      <c r="R166" s="28"/>
      <c r="S166" s="28"/>
      <c r="T166" s="14"/>
      <c r="U166" s="28"/>
      <c r="V166" s="97"/>
    </row>
    <row r="167" spans="1:22" s="14" customFormat="1" ht="18" hidden="1" customHeight="1">
      <c r="A167" s="206"/>
      <c r="B167" s="207"/>
      <c r="C167" s="207"/>
      <c r="D167" s="207"/>
      <c r="E167" s="207"/>
      <c r="F167" s="207"/>
      <c r="G167" s="207"/>
      <c r="H167" s="207"/>
      <c r="I167" s="207"/>
      <c r="J167" s="207"/>
      <c r="K167" s="207"/>
      <c r="L167" s="207"/>
      <c r="M167" s="207"/>
      <c r="N167" s="207"/>
      <c r="O167" s="207"/>
      <c r="P167" s="207"/>
      <c r="Q167" s="236"/>
      <c r="R167" s="194"/>
      <c r="S167" s="237"/>
      <c r="T167" s="207"/>
      <c r="U167" s="207"/>
      <c r="V167" s="140"/>
    </row>
    <row r="168" spans="1:22" ht="18" hidden="1" customHeight="1">
      <c r="A168" s="238"/>
      <c r="B168" s="239"/>
      <c r="C168" s="239"/>
      <c r="D168" s="239"/>
      <c r="E168" s="239"/>
      <c r="F168" s="239"/>
      <c r="G168" s="239"/>
      <c r="H168" s="239"/>
      <c r="I168" s="239"/>
      <c r="J168" s="239"/>
      <c r="K168" s="239"/>
      <c r="L168" s="239"/>
      <c r="M168" s="239"/>
      <c r="N168" s="239"/>
      <c r="O168" s="239"/>
      <c r="P168" s="239"/>
      <c r="Q168" s="239"/>
      <c r="R168" s="239"/>
      <c r="S168" s="239"/>
      <c r="T168" s="239"/>
      <c r="U168" s="239"/>
      <c r="V168" s="240"/>
    </row>
    <row r="169" spans="1:22" ht="18" hidden="1" customHeight="1">
      <c r="A169" s="925">
        <v>2</v>
      </c>
      <c r="B169" s="1176" t="s">
        <v>887</v>
      </c>
      <c r="C169" s="1176"/>
      <c r="D169" s="1176"/>
      <c r="E169" s="1176"/>
      <c r="F169" s="1176"/>
      <c r="G169" s="1176"/>
      <c r="H169" s="1176"/>
      <c r="I169" s="1176"/>
      <c r="J169" s="1176"/>
      <c r="K169" s="1176"/>
      <c r="L169" s="1176"/>
      <c r="M169" s="1176"/>
      <c r="N169" s="1176"/>
      <c r="O169" s="1176"/>
      <c r="P169" s="1176"/>
      <c r="Q169" s="1176"/>
      <c r="R169" s="1176"/>
      <c r="S169" s="1176"/>
      <c r="T169" s="1176"/>
      <c r="U169" s="1176"/>
      <c r="V169" s="1177"/>
    </row>
    <row r="170" spans="1:22" ht="18" hidden="1" customHeight="1">
      <c r="A170" s="925"/>
      <c r="B170" s="1176"/>
      <c r="C170" s="1176"/>
      <c r="D170" s="1176"/>
      <c r="E170" s="1176"/>
      <c r="F170" s="1176"/>
      <c r="G170" s="1176"/>
      <c r="H170" s="1176"/>
      <c r="I170" s="1176"/>
      <c r="J170" s="1176"/>
      <c r="K170" s="1176"/>
      <c r="L170" s="1176"/>
      <c r="M170" s="1176"/>
      <c r="N170" s="1176"/>
      <c r="O170" s="1176"/>
      <c r="P170" s="1176"/>
      <c r="Q170" s="1176"/>
      <c r="R170" s="1176"/>
      <c r="S170" s="1176"/>
      <c r="T170" s="1176"/>
      <c r="U170" s="1176"/>
      <c r="V170" s="1177"/>
    </row>
    <row r="171" spans="1:22" ht="18" hidden="1" customHeight="1">
      <c r="A171" s="284"/>
      <c r="B171" s="120" t="s">
        <v>881</v>
      </c>
      <c r="C171" s="120" t="s">
        <v>430</v>
      </c>
      <c r="D171" s="638" t="s">
        <v>882</v>
      </c>
      <c r="E171" s="985"/>
      <c r="F171" s="28" t="s">
        <v>326</v>
      </c>
      <c r="G171" s="28" t="s">
        <v>352</v>
      </c>
      <c r="H171" s="47" t="s">
        <v>361</v>
      </c>
      <c r="I171" s="166" t="s">
        <v>710</v>
      </c>
      <c r="J171" s="120" t="s">
        <v>430</v>
      </c>
      <c r="K171" s="233">
        <v>600</v>
      </c>
      <c r="L171" s="28" t="s">
        <v>326</v>
      </c>
      <c r="M171" s="28" t="s">
        <v>522</v>
      </c>
      <c r="N171" s="47" t="s">
        <v>361</v>
      </c>
      <c r="O171" s="28"/>
      <c r="P171" s="28"/>
      <c r="Q171" s="28"/>
      <c r="R171" s="28"/>
      <c r="S171" s="28"/>
      <c r="T171" s="291"/>
      <c r="U171" s="14" t="s">
        <v>888</v>
      </c>
      <c r="V171" s="97"/>
    </row>
    <row r="172" spans="1:22" ht="18" hidden="1" customHeight="1">
      <c r="A172" s="284"/>
      <c r="B172" s="291"/>
      <c r="C172" s="14" t="s">
        <v>884</v>
      </c>
      <c r="D172" s="291"/>
      <c r="E172" s="291"/>
      <c r="F172" s="291"/>
      <c r="G172" s="291"/>
      <c r="H172" s="291"/>
      <c r="I172" s="291"/>
      <c r="J172" s="291"/>
      <c r="K172" s="291"/>
      <c r="L172" s="291"/>
      <c r="M172" s="28"/>
      <c r="N172" s="28"/>
      <c r="O172" s="28"/>
      <c r="P172" s="28"/>
      <c r="Q172" s="28"/>
      <c r="R172" s="28"/>
      <c r="S172" s="28"/>
      <c r="T172" s="14"/>
      <c r="U172" s="28"/>
      <c r="V172" s="97"/>
    </row>
    <row r="173" spans="1:22" ht="18" hidden="1" customHeight="1">
      <c r="A173" s="284"/>
      <c r="B173" s="291"/>
      <c r="C173" s="14"/>
      <c r="D173" s="28" t="s">
        <v>876</v>
      </c>
      <c r="E173" s="28" t="s">
        <v>540</v>
      </c>
      <c r="F173" s="28">
        <v>40</v>
      </c>
      <c r="G173" s="28" t="s">
        <v>358</v>
      </c>
      <c r="H173" s="233">
        <v>0.35</v>
      </c>
      <c r="I173" s="28" t="s">
        <v>683</v>
      </c>
      <c r="J173" s="638" t="s">
        <v>882</v>
      </c>
      <c r="K173" s="985"/>
      <c r="L173" s="28" t="s">
        <v>326</v>
      </c>
      <c r="M173" s="28" t="s">
        <v>352</v>
      </c>
      <c r="N173" s="47" t="s">
        <v>361</v>
      </c>
      <c r="O173" s="28"/>
      <c r="P173" s="28"/>
      <c r="Q173" s="28"/>
      <c r="R173" s="28"/>
      <c r="S173" s="28"/>
      <c r="T173" s="14"/>
      <c r="U173" s="28"/>
      <c r="V173" s="97"/>
    </row>
    <row r="174" spans="1:22" ht="18" hidden="1" customHeight="1">
      <c r="A174" s="284"/>
      <c r="B174" s="28"/>
      <c r="C174" s="28" t="s">
        <v>885</v>
      </c>
      <c r="D174" s="28" t="s">
        <v>876</v>
      </c>
      <c r="E174" s="28" t="s">
        <v>540</v>
      </c>
      <c r="F174" s="28">
        <v>65</v>
      </c>
      <c r="G174" s="14"/>
      <c r="H174" s="14"/>
      <c r="I174" s="120"/>
      <c r="J174" s="28"/>
      <c r="K174" s="28"/>
      <c r="L174" s="28"/>
      <c r="M174" s="28"/>
      <c r="N174" s="28"/>
      <c r="O174" s="28"/>
      <c r="P174" s="28"/>
      <c r="Q174" s="28"/>
      <c r="R174" s="28"/>
      <c r="S174" s="28"/>
      <c r="T174" s="14"/>
      <c r="U174" s="28"/>
      <c r="V174" s="97"/>
    </row>
    <row r="175" spans="1:22" ht="18" hidden="1" customHeight="1">
      <c r="A175" s="96"/>
      <c r="B175" s="14"/>
      <c r="C175" s="14"/>
      <c r="D175" s="247"/>
      <c r="E175" s="14"/>
      <c r="F175" s="28"/>
      <c r="G175" s="261"/>
      <c r="H175" s="28"/>
      <c r="I175" s="263"/>
      <c r="J175" s="14"/>
      <c r="K175" s="292"/>
      <c r="M175" s="47"/>
      <c r="N175" s="280"/>
      <c r="P175" s="293"/>
      <c r="R175" s="246"/>
      <c r="S175" s="564"/>
      <c r="T175" s="564"/>
      <c r="V175" s="197"/>
    </row>
    <row r="176" spans="1:22" ht="18" hidden="1" customHeight="1">
      <c r="A176" s="96"/>
      <c r="B176" s="120" t="s">
        <v>881</v>
      </c>
      <c r="C176" s="120" t="s">
        <v>430</v>
      </c>
      <c r="D176" s="233">
        <v>600</v>
      </c>
      <c r="E176" s="28" t="s">
        <v>326</v>
      </c>
      <c r="F176" s="28" t="s">
        <v>522</v>
      </c>
      <c r="G176" s="47" t="s">
        <v>361</v>
      </c>
      <c r="H176" s="28" t="s">
        <v>886</v>
      </c>
      <c r="I176" s="120" t="s">
        <v>430</v>
      </c>
      <c r="J176" s="638" t="s">
        <v>882</v>
      </c>
      <c r="K176" s="985"/>
      <c r="L176" s="28" t="s">
        <v>326</v>
      </c>
      <c r="M176" s="28" t="s">
        <v>352</v>
      </c>
      <c r="N176" s="47" t="s">
        <v>361</v>
      </c>
      <c r="O176" s="166" t="s">
        <v>710</v>
      </c>
      <c r="P176" s="120" t="s">
        <v>430</v>
      </c>
      <c r="Q176" s="233">
        <v>1600</v>
      </c>
      <c r="R176" s="28" t="s">
        <v>326</v>
      </c>
      <c r="S176" s="28" t="s">
        <v>522</v>
      </c>
      <c r="T176" s="47" t="s">
        <v>361</v>
      </c>
      <c r="U176" s="14" t="s">
        <v>889</v>
      </c>
      <c r="V176" s="97"/>
    </row>
    <row r="177" spans="1:22" ht="18" hidden="1" customHeight="1">
      <c r="A177" s="284"/>
      <c r="B177" s="28" t="s">
        <v>876</v>
      </c>
      <c r="C177" s="28" t="s">
        <v>138</v>
      </c>
      <c r="D177" s="28">
        <v>256</v>
      </c>
      <c r="E177" s="14"/>
      <c r="F177" s="14"/>
      <c r="G177" s="120"/>
      <c r="H177" s="28"/>
      <c r="I177" s="28"/>
      <c r="J177" s="28"/>
      <c r="K177" s="28"/>
      <c r="L177" s="28"/>
      <c r="M177" s="28"/>
      <c r="N177" s="28"/>
      <c r="O177" s="28"/>
      <c r="P177" s="28"/>
      <c r="Q177" s="28"/>
      <c r="R177" s="28"/>
      <c r="S177" s="28"/>
      <c r="T177" s="14"/>
      <c r="U177" s="28"/>
      <c r="V177" s="97"/>
    </row>
    <row r="178" spans="1:22" ht="18" hidden="1" customHeight="1">
      <c r="A178" s="284"/>
      <c r="U178" s="14"/>
      <c r="V178" s="97"/>
    </row>
    <row r="179" spans="1:22" ht="18" hidden="1" customHeight="1">
      <c r="A179" s="557"/>
      <c r="B179" s="30" t="s">
        <v>890</v>
      </c>
      <c r="Q179" s="14" t="s">
        <v>628</v>
      </c>
      <c r="S179" s="246" t="s">
        <v>138</v>
      </c>
      <c r="T179" s="639">
        <f>T60</f>
        <v>55677</v>
      </c>
      <c r="U179" s="639"/>
      <c r="V179" s="197" t="s">
        <v>9</v>
      </c>
    </row>
    <row r="180" spans="1:22" ht="18" hidden="1" customHeight="1">
      <c r="A180" s="557"/>
      <c r="B180" s="47" t="s">
        <v>665</v>
      </c>
      <c r="C180" s="14"/>
      <c r="D180" s="14"/>
      <c r="E180" s="14"/>
      <c r="F180" s="14"/>
      <c r="G180" s="18"/>
      <c r="H180" s="18"/>
      <c r="I180" s="14"/>
      <c r="J180" s="120"/>
      <c r="K180" s="14"/>
      <c r="L180" s="14"/>
      <c r="N180" s="14"/>
      <c r="O180" s="14"/>
      <c r="Q180" s="14" t="s">
        <v>434</v>
      </c>
      <c r="S180" s="246" t="s">
        <v>138</v>
      </c>
      <c r="T180" s="639">
        <f>J131</f>
        <v>3000</v>
      </c>
      <c r="U180" s="639"/>
      <c r="V180" s="197" t="s">
        <v>9</v>
      </c>
    </row>
    <row r="181" spans="1:22" ht="18" hidden="1" customHeight="1">
      <c r="A181" s="96"/>
      <c r="B181" s="47" t="s">
        <v>891</v>
      </c>
      <c r="C181" s="14"/>
      <c r="D181" s="14"/>
      <c r="E181" s="14"/>
      <c r="F181" s="14"/>
      <c r="G181" s="18"/>
      <c r="H181" s="18"/>
      <c r="I181" s="14"/>
      <c r="J181" s="120"/>
      <c r="K181" s="14"/>
      <c r="L181" s="14"/>
      <c r="N181" s="14"/>
      <c r="O181" s="14"/>
      <c r="Q181" s="14" t="s">
        <v>882</v>
      </c>
      <c r="S181" s="246" t="s">
        <v>138</v>
      </c>
      <c r="T181" s="637">
        <f>T179/T180</f>
        <v>18.559000000000001</v>
      </c>
      <c r="U181" s="637"/>
      <c r="V181" s="197" t="s">
        <v>9</v>
      </c>
    </row>
    <row r="182" spans="1:22" ht="18" hidden="1" customHeight="1">
      <c r="A182" s="96"/>
      <c r="B182" s="47" t="s">
        <v>666</v>
      </c>
      <c r="C182" s="14"/>
      <c r="D182" s="14"/>
      <c r="E182" s="14"/>
      <c r="F182" s="14"/>
      <c r="G182" s="18"/>
      <c r="H182" s="18"/>
      <c r="I182" s="14"/>
      <c r="J182" s="120"/>
      <c r="K182" s="14"/>
      <c r="L182" s="14"/>
      <c r="N182" s="14"/>
      <c r="O182" s="14"/>
      <c r="Q182" s="14" t="s">
        <v>431</v>
      </c>
      <c r="S182" s="246" t="s">
        <v>138</v>
      </c>
      <c r="T182" s="639">
        <f>J133</f>
        <v>10</v>
      </c>
      <c r="U182" s="639"/>
      <c r="V182" s="565" t="s">
        <v>344</v>
      </c>
    </row>
    <row r="183" spans="1:22" ht="18" hidden="1" customHeight="1">
      <c r="A183" s="96"/>
      <c r="B183" s="47" t="s">
        <v>687</v>
      </c>
      <c r="C183" s="14"/>
      <c r="D183" s="14"/>
      <c r="E183" s="14"/>
      <c r="F183" s="14"/>
      <c r="G183" s="18"/>
      <c r="H183" s="18"/>
      <c r="I183" s="14"/>
      <c r="J183" s="120"/>
      <c r="K183" s="14"/>
      <c r="L183" s="14"/>
      <c r="N183" s="14"/>
      <c r="O183" s="14"/>
      <c r="Q183" s="14" t="s">
        <v>877</v>
      </c>
      <c r="S183" s="246" t="s">
        <v>138</v>
      </c>
      <c r="T183" s="637">
        <f>S149</f>
        <v>0.58186130000000003</v>
      </c>
      <c r="U183" s="637"/>
      <c r="V183" s="565" t="s">
        <v>344</v>
      </c>
    </row>
    <row r="184" spans="1:22" ht="18" hidden="1" customHeight="1">
      <c r="A184" s="96"/>
      <c r="B184" s="47" t="s">
        <v>702</v>
      </c>
      <c r="C184" s="14"/>
      <c r="D184" s="14"/>
      <c r="E184" s="14"/>
      <c r="F184" s="14"/>
      <c r="G184" s="14"/>
      <c r="H184" s="14"/>
      <c r="I184" s="14"/>
      <c r="J184" s="120"/>
      <c r="K184" s="14"/>
      <c r="L184" s="14"/>
      <c r="N184" s="14"/>
      <c r="O184" s="14"/>
      <c r="Q184" s="14" t="s">
        <v>522</v>
      </c>
      <c r="S184" s="246" t="s">
        <v>138</v>
      </c>
      <c r="T184" s="639">
        <f>O131</f>
        <v>1</v>
      </c>
      <c r="U184" s="639"/>
      <c r="V184" s="197" t="s">
        <v>9</v>
      </c>
    </row>
    <row r="185" spans="1:22" ht="18" hidden="1" customHeight="1">
      <c r="A185" s="96"/>
      <c r="B185" s="14" t="s">
        <v>892</v>
      </c>
      <c r="C185" s="14"/>
      <c r="D185" s="14"/>
      <c r="E185" s="247"/>
      <c r="F185" s="14"/>
      <c r="G185" s="28"/>
      <c r="H185" s="261"/>
      <c r="I185" s="28"/>
      <c r="J185" s="263"/>
      <c r="K185" s="14"/>
      <c r="L185" s="292"/>
      <c r="N185" s="47"/>
      <c r="O185" s="280"/>
      <c r="Q185" s="293" t="s">
        <v>352</v>
      </c>
      <c r="S185" s="246" t="s">
        <v>138</v>
      </c>
      <c r="T185" s="644">
        <f>T66</f>
        <v>23.6</v>
      </c>
      <c r="U185" s="648"/>
      <c r="V185" s="197"/>
    </row>
    <row r="186" spans="1:22" ht="18" hidden="1" customHeight="1">
      <c r="A186" s="337"/>
      <c r="B186" s="14" t="s">
        <v>893</v>
      </c>
      <c r="F186" s="14"/>
      <c r="G186" s="166"/>
      <c r="H186" s="102"/>
      <c r="I186" s="28"/>
      <c r="J186" s="27"/>
      <c r="K186" s="14"/>
      <c r="O186" s="47"/>
      <c r="P186" s="14"/>
      <c r="Q186" s="14"/>
      <c r="R186" s="14"/>
      <c r="S186" s="120"/>
      <c r="T186" s="705">
        <f>T67</f>
        <v>100</v>
      </c>
      <c r="U186" s="707"/>
      <c r="V186" s="97" t="s">
        <v>615</v>
      </c>
    </row>
    <row r="187" spans="1:22" ht="18" hidden="1" customHeight="1">
      <c r="A187" s="96"/>
      <c r="B187" s="14"/>
      <c r="Q187" s="14"/>
      <c r="R187" s="14"/>
      <c r="S187" s="120"/>
      <c r="T187" s="18"/>
      <c r="U187" s="18"/>
      <c r="V187" s="97"/>
    </row>
    <row r="188" spans="1:22" ht="18" hidden="1" customHeight="1">
      <c r="A188" s="196"/>
      <c r="B188" s="566" t="s">
        <v>894</v>
      </c>
      <c r="C188" s="566"/>
      <c r="D188" s="259"/>
      <c r="E188" s="259"/>
      <c r="F188" s="472" t="str">
        <f>IF(T186=150,"1 &amp; 2","3 &amp; 4")</f>
        <v>3 &amp; 4</v>
      </c>
      <c r="G188" s="567"/>
      <c r="V188" s="197"/>
    </row>
    <row r="189" spans="1:22" ht="18" hidden="1" customHeight="1">
      <c r="A189" s="557" t="s">
        <v>430</v>
      </c>
      <c r="B189" s="638" t="s">
        <v>882</v>
      </c>
      <c r="C189" s="638"/>
      <c r="D189" s="28" t="s">
        <v>326</v>
      </c>
      <c r="E189" s="28" t="s">
        <v>352</v>
      </c>
      <c r="F189" s="47" t="s">
        <v>361</v>
      </c>
      <c r="G189" s="166" t="s">
        <v>710</v>
      </c>
      <c r="H189" s="120" t="s">
        <v>430</v>
      </c>
      <c r="I189" s="233" t="str">
        <f>IF(T186=150,"1000","600")</f>
        <v>600</v>
      </c>
      <c r="J189" s="28" t="s">
        <v>326</v>
      </c>
      <c r="K189" s="28" t="s">
        <v>522</v>
      </c>
      <c r="L189" s="47" t="s">
        <v>361</v>
      </c>
      <c r="M189" s="14"/>
      <c r="N189" s="14"/>
      <c r="U189" s="14" t="str">
        <f>IF(T186=150,"...cond.1","…cond.3")</f>
        <v>…cond.3</v>
      </c>
      <c r="V189" s="197"/>
    </row>
    <row r="190" spans="1:22" ht="18" hidden="1" customHeight="1">
      <c r="A190" s="557" t="s">
        <v>430</v>
      </c>
      <c r="B190" s="641">
        <f>T181</f>
        <v>18.559000000000001</v>
      </c>
      <c r="C190" s="641"/>
      <c r="D190" s="28" t="s">
        <v>326</v>
      </c>
      <c r="E190" s="28">
        <f>T185</f>
        <v>23.6</v>
      </c>
      <c r="F190" s="47" t="s">
        <v>361</v>
      </c>
      <c r="G190" s="166" t="s">
        <v>710</v>
      </c>
      <c r="H190" s="120" t="s">
        <v>430</v>
      </c>
      <c r="I190" s="233" t="str">
        <f>I189</f>
        <v>600</v>
      </c>
      <c r="J190" s="28" t="s">
        <v>326</v>
      </c>
      <c r="K190" s="28">
        <f>T184</f>
        <v>1</v>
      </c>
      <c r="L190" s="47" t="s">
        <v>361</v>
      </c>
      <c r="M190" s="14"/>
      <c r="N190" s="14"/>
      <c r="U190" s="14"/>
      <c r="V190" s="97"/>
    </row>
    <row r="191" spans="1:22" ht="18" hidden="1" customHeight="1">
      <c r="A191" s="96"/>
      <c r="B191" s="14"/>
      <c r="C191" s="14"/>
      <c r="D191" s="959">
        <f>B190*E190</f>
        <v>437.99240000000003</v>
      </c>
      <c r="E191" s="1162"/>
      <c r="F191" s="14"/>
      <c r="G191" s="166" t="s">
        <v>710</v>
      </c>
      <c r="H191" s="102"/>
      <c r="I191" s="638">
        <f>I190*K190</f>
        <v>600</v>
      </c>
      <c r="J191" s="639"/>
      <c r="K191" s="14"/>
      <c r="O191" s="47"/>
      <c r="P191" s="14"/>
      <c r="Q191" s="14"/>
      <c r="R191" s="14"/>
      <c r="S191" s="120" t="s">
        <v>895</v>
      </c>
      <c r="T191" s="1173" t="b">
        <f>IF(D191&lt;=I191,TRUE,FALSE)</f>
        <v>1</v>
      </c>
      <c r="U191" s="1173"/>
      <c r="V191" s="97"/>
    </row>
    <row r="192" spans="1:22" ht="18" hidden="1" customHeight="1">
      <c r="A192" s="196"/>
      <c r="B192" s="28" t="s">
        <v>628</v>
      </c>
      <c r="C192" s="30" t="str">
        <f>IF(T186=150,"…cond.1","…cond.3")</f>
        <v>…cond.3</v>
      </c>
      <c r="E192" s="14" t="s">
        <v>896</v>
      </c>
      <c r="V192" s="197"/>
    </row>
    <row r="193" spans="1:22" ht="18" hidden="1" customHeight="1">
      <c r="A193" s="196"/>
      <c r="V193" s="97"/>
    </row>
    <row r="194" spans="1:22" ht="18" hidden="1" customHeight="1">
      <c r="A194" s="196"/>
      <c r="B194" s="14"/>
      <c r="C194" s="28" t="s">
        <v>876</v>
      </c>
      <c r="D194" s="28" t="s">
        <v>540</v>
      </c>
      <c r="E194" s="28">
        <v>40</v>
      </c>
      <c r="F194" s="28" t="s">
        <v>358</v>
      </c>
      <c r="G194" s="233" t="str">
        <f>IF(T186=150,"0.07","0.35")</f>
        <v>0.35</v>
      </c>
      <c r="H194" s="28" t="s">
        <v>683</v>
      </c>
      <c r="I194" s="638" t="s">
        <v>882</v>
      </c>
      <c r="J194" s="985"/>
      <c r="K194" s="28" t="s">
        <v>326</v>
      </c>
      <c r="L194" s="28" t="s">
        <v>352</v>
      </c>
      <c r="M194" s="47" t="s">
        <v>361</v>
      </c>
      <c r="N194" s="196"/>
      <c r="O194" s="47" t="s">
        <v>897</v>
      </c>
      <c r="P194" s="27"/>
      <c r="Q194" s="28" t="s">
        <v>138</v>
      </c>
      <c r="R194" s="637">
        <f>MAX(E196,E197)</f>
        <v>193.29733999999999</v>
      </c>
      <c r="S194" s="639"/>
      <c r="V194" s="197"/>
    </row>
    <row r="195" spans="1:22" ht="18" hidden="1" customHeight="1">
      <c r="A195" s="196"/>
      <c r="B195" s="14"/>
      <c r="C195" s="28"/>
      <c r="D195" s="28" t="s">
        <v>540</v>
      </c>
      <c r="E195" s="28">
        <v>40</v>
      </c>
      <c r="F195" s="28" t="s">
        <v>358</v>
      </c>
      <c r="G195" s="233" t="str">
        <f>IF(T186=150,"0.07","0.35")</f>
        <v>0.35</v>
      </c>
      <c r="H195" s="28" t="s">
        <v>683</v>
      </c>
      <c r="I195" s="641">
        <f>T181</f>
        <v>18.559000000000001</v>
      </c>
      <c r="J195" s="985"/>
      <c r="K195" s="28" t="s">
        <v>326</v>
      </c>
      <c r="L195" s="28">
        <f>T185</f>
        <v>23.6</v>
      </c>
      <c r="M195" s="47" t="s">
        <v>361</v>
      </c>
      <c r="N195" s="196"/>
      <c r="V195" s="197"/>
    </row>
    <row r="196" spans="1:22" ht="18" hidden="1" customHeight="1">
      <c r="A196" s="196"/>
      <c r="B196" s="14"/>
      <c r="C196" s="28"/>
      <c r="D196" s="28" t="s">
        <v>540</v>
      </c>
      <c r="E196" s="1187">
        <f>E195+(G195*(I195*L195))</f>
        <v>193.29733999999999</v>
      </c>
      <c r="F196" s="1187"/>
      <c r="G196" s="233"/>
      <c r="H196" s="28"/>
      <c r="I196" s="230"/>
      <c r="K196" s="28"/>
      <c r="L196" s="28"/>
      <c r="M196" s="47"/>
      <c r="N196" s="196"/>
      <c r="V196" s="197"/>
    </row>
    <row r="197" spans="1:22" ht="18" hidden="1" customHeight="1">
      <c r="A197" s="96"/>
      <c r="B197" s="28" t="s">
        <v>885</v>
      </c>
      <c r="C197" s="28" t="s">
        <v>876</v>
      </c>
      <c r="D197" s="28" t="s">
        <v>138</v>
      </c>
      <c r="E197" s="28">
        <v>65</v>
      </c>
      <c r="G197" s="14"/>
      <c r="H197" s="166"/>
      <c r="I197" s="102"/>
      <c r="J197" s="28"/>
      <c r="K197" s="27"/>
      <c r="L197" s="14"/>
      <c r="N197" s="96"/>
      <c r="O197" s="14"/>
      <c r="Q197" s="14"/>
      <c r="R197" s="14"/>
      <c r="S197" s="14"/>
      <c r="T197" s="14"/>
      <c r="U197" s="14"/>
      <c r="V197" s="97"/>
    </row>
    <row r="198" spans="1:22" ht="18" hidden="1" customHeight="1">
      <c r="A198" s="96"/>
      <c r="B198" s="14"/>
      <c r="F198" s="28"/>
      <c r="I198" s="120"/>
      <c r="J198" s="233"/>
      <c r="K198" s="28"/>
      <c r="L198" s="28"/>
      <c r="M198" s="47"/>
      <c r="N198" s="14"/>
      <c r="O198" s="14"/>
      <c r="Q198" s="14"/>
      <c r="R198" s="14"/>
      <c r="S198" s="14"/>
      <c r="T198" s="14"/>
      <c r="U198" s="14"/>
      <c r="V198" s="97"/>
    </row>
    <row r="199" spans="1:22" ht="18" hidden="1" customHeight="1">
      <c r="A199" s="557" t="s">
        <v>430</v>
      </c>
      <c r="B199" s="233" t="str">
        <f>IF(T186=150,"1000","600")</f>
        <v>600</v>
      </c>
      <c r="C199" s="28" t="s">
        <v>326</v>
      </c>
      <c r="D199" s="28" t="s">
        <v>522</v>
      </c>
      <c r="E199" s="47" t="s">
        <v>361</v>
      </c>
      <c r="F199" s="28" t="s">
        <v>886</v>
      </c>
      <c r="G199" s="120" t="s">
        <v>430</v>
      </c>
      <c r="H199" s="638" t="s">
        <v>882</v>
      </c>
      <c r="I199" s="985"/>
      <c r="J199" s="28" t="s">
        <v>326</v>
      </c>
      <c r="K199" s="28" t="s">
        <v>352</v>
      </c>
      <c r="L199" s="47" t="s">
        <v>361</v>
      </c>
      <c r="M199" s="166" t="s">
        <v>710</v>
      </c>
      <c r="N199" s="120" t="s">
        <v>430</v>
      </c>
      <c r="O199" s="233" t="str">
        <f>IF(T186=150,"2600","1600")</f>
        <v>1600</v>
      </c>
      <c r="P199" s="28" t="s">
        <v>326</v>
      </c>
      <c r="Q199" s="28" t="s">
        <v>522</v>
      </c>
      <c r="R199" s="47" t="s">
        <v>361</v>
      </c>
      <c r="S199" s="14"/>
      <c r="T199" s="14"/>
      <c r="U199" s="14" t="str">
        <f>IF(T186=150,"...cond.2","…cond.4")</f>
        <v>…cond.4</v>
      </c>
      <c r="V199" s="97"/>
    </row>
    <row r="200" spans="1:22" ht="18" hidden="1" customHeight="1">
      <c r="A200" s="557" t="s">
        <v>430</v>
      </c>
      <c r="B200" s="233" t="str">
        <f>B199</f>
        <v>600</v>
      </c>
      <c r="C200" s="28" t="s">
        <v>326</v>
      </c>
      <c r="D200" s="28">
        <f>T184</f>
        <v>1</v>
      </c>
      <c r="E200" s="47" t="s">
        <v>361</v>
      </c>
      <c r="F200" s="28" t="s">
        <v>886</v>
      </c>
      <c r="G200" s="120" t="s">
        <v>430</v>
      </c>
      <c r="H200" s="641">
        <f>T181</f>
        <v>18.559000000000001</v>
      </c>
      <c r="I200" s="985"/>
      <c r="J200" s="28" t="s">
        <v>326</v>
      </c>
      <c r="K200" s="28">
        <f>T185</f>
        <v>23.6</v>
      </c>
      <c r="L200" s="47" t="s">
        <v>361</v>
      </c>
      <c r="M200" s="166" t="s">
        <v>710</v>
      </c>
      <c r="N200" s="120" t="s">
        <v>430</v>
      </c>
      <c r="O200" s="233" t="str">
        <f>O199</f>
        <v>1600</v>
      </c>
      <c r="P200" s="28" t="s">
        <v>326</v>
      </c>
      <c r="Q200" s="28">
        <f>T184</f>
        <v>1</v>
      </c>
      <c r="R200" s="47" t="s">
        <v>361</v>
      </c>
      <c r="S200" s="14"/>
      <c r="T200" s="14"/>
      <c r="U200" s="14"/>
      <c r="V200" s="97"/>
    </row>
    <row r="201" spans="1:22" ht="18" hidden="1" customHeight="1">
      <c r="A201" s="557"/>
      <c r="B201" s="261"/>
      <c r="C201" s="1172">
        <f>B200*D200</f>
        <v>600</v>
      </c>
      <c r="D201" s="1172"/>
      <c r="E201" s="261"/>
      <c r="F201" s="28" t="s">
        <v>886</v>
      </c>
      <c r="G201" s="14"/>
      <c r="H201" s="14"/>
      <c r="I201" s="959">
        <f>H200*K200</f>
        <v>437.99240000000003</v>
      </c>
      <c r="J201" s="959"/>
      <c r="K201" s="14"/>
      <c r="L201" s="14"/>
      <c r="M201" s="166" t="s">
        <v>710</v>
      </c>
      <c r="N201" s="102"/>
      <c r="O201" s="987">
        <f>O200*Q200</f>
        <v>1600</v>
      </c>
      <c r="P201" s="985"/>
      <c r="Q201" s="14"/>
      <c r="R201" s="14"/>
      <c r="S201" s="120" t="s">
        <v>895</v>
      </c>
      <c r="T201" s="1173" t="b">
        <f>IF(AND(C201&lt;I201,I201&lt;=O201)=TRUE,TRUE,FALSE)</f>
        <v>0</v>
      </c>
      <c r="U201" s="1173"/>
      <c r="V201" s="97"/>
    </row>
    <row r="202" spans="1:22" ht="18" hidden="1" customHeight="1">
      <c r="A202" s="96"/>
      <c r="B202" s="14"/>
      <c r="E202" s="256"/>
      <c r="G202" s="18"/>
      <c r="L202" s="14"/>
      <c r="M202" s="14"/>
      <c r="N202" s="14"/>
      <c r="O202" s="14"/>
      <c r="P202" s="14"/>
      <c r="Q202" s="14"/>
      <c r="R202" s="14"/>
      <c r="S202" s="14"/>
      <c r="T202" s="14"/>
      <c r="U202" s="14"/>
      <c r="V202" s="97"/>
    </row>
    <row r="203" spans="1:22" ht="18" hidden="1" customHeight="1">
      <c r="A203" s="96"/>
      <c r="B203" s="14"/>
      <c r="E203" s="256"/>
      <c r="G203" s="18"/>
      <c r="L203" s="14"/>
      <c r="M203" s="14"/>
      <c r="N203" s="14"/>
      <c r="O203" s="14"/>
      <c r="P203" s="14"/>
      <c r="Q203" s="14"/>
      <c r="R203" s="14"/>
      <c r="S203" s="14"/>
      <c r="T203" s="14"/>
      <c r="U203" s="14"/>
      <c r="V203" s="97"/>
    </row>
    <row r="204" spans="1:22" ht="18" hidden="1" customHeight="1">
      <c r="A204" s="96"/>
      <c r="B204" s="14"/>
      <c r="E204" s="256"/>
      <c r="G204" s="18"/>
      <c r="L204" s="14"/>
      <c r="M204" s="14"/>
      <c r="N204" s="14"/>
      <c r="O204" s="14"/>
      <c r="P204" s="14"/>
      <c r="Q204" s="14"/>
      <c r="R204" s="14"/>
      <c r="S204" s="14"/>
      <c r="T204" s="14"/>
      <c r="U204" s="14"/>
      <c r="V204" s="97"/>
    </row>
    <row r="205" spans="1:22" ht="18" hidden="1" customHeight="1">
      <c r="A205" s="96"/>
      <c r="B205" s="14"/>
      <c r="E205" s="256"/>
      <c r="G205" s="18"/>
      <c r="L205" s="14"/>
      <c r="M205" s="14"/>
      <c r="N205" s="14"/>
      <c r="O205" s="14"/>
      <c r="P205" s="14"/>
      <c r="Q205" s="14"/>
      <c r="R205" s="14"/>
      <c r="S205" s="14"/>
      <c r="T205" s="14"/>
      <c r="U205" s="14"/>
      <c r="V205" s="97"/>
    </row>
    <row r="206" spans="1:22" ht="18" hidden="1" customHeight="1">
      <c r="A206" s="96"/>
      <c r="B206" s="14"/>
      <c r="E206" s="256"/>
      <c r="G206" s="18"/>
      <c r="L206" s="14"/>
      <c r="M206" s="14"/>
      <c r="N206" s="14"/>
      <c r="O206" s="14"/>
      <c r="P206" s="14"/>
      <c r="Q206" s="14"/>
      <c r="R206" s="14"/>
      <c r="S206" s="14"/>
      <c r="T206" s="14"/>
      <c r="U206" s="14"/>
      <c r="V206" s="97"/>
    </row>
    <row r="207" spans="1:22" ht="18" hidden="1" customHeight="1">
      <c r="A207" s="96"/>
      <c r="B207" s="14"/>
      <c r="E207" s="256"/>
      <c r="G207" s="18"/>
      <c r="L207" s="14"/>
      <c r="M207" s="14"/>
      <c r="N207" s="14"/>
      <c r="O207" s="14"/>
      <c r="P207" s="14"/>
      <c r="Q207" s="14"/>
      <c r="R207" s="14"/>
      <c r="S207" s="14"/>
      <c r="T207" s="14"/>
      <c r="U207" s="14"/>
      <c r="V207" s="97"/>
    </row>
    <row r="208" spans="1:22" s="14" customFormat="1" ht="18" hidden="1" customHeight="1">
      <c r="A208" s="206"/>
      <c r="B208" s="207"/>
      <c r="C208" s="207"/>
      <c r="D208" s="207"/>
      <c r="E208" s="207"/>
      <c r="F208" s="207"/>
      <c r="G208" s="207"/>
      <c r="H208" s="207"/>
      <c r="I208" s="207"/>
      <c r="J208" s="207"/>
      <c r="K208" s="207"/>
      <c r="L208" s="207"/>
      <c r="M208" s="207"/>
      <c r="N208" s="207"/>
      <c r="O208" s="207"/>
      <c r="P208" s="207"/>
      <c r="Q208" s="236"/>
      <c r="R208" s="194"/>
      <c r="S208" s="237"/>
      <c r="T208" s="207"/>
      <c r="U208" s="207"/>
      <c r="V208" s="140"/>
    </row>
    <row r="209" spans="1:22" ht="18" hidden="1" customHeight="1">
      <c r="A209" s="332"/>
      <c r="B209" s="145"/>
      <c r="C209" s="145"/>
      <c r="D209" s="145"/>
      <c r="E209" s="285"/>
      <c r="F209" s="285"/>
      <c r="G209" s="286"/>
      <c r="H209" s="145"/>
      <c r="I209" s="145"/>
      <c r="J209" s="145"/>
      <c r="K209" s="145"/>
      <c r="L209" s="145"/>
      <c r="M209" s="145"/>
      <c r="N209" s="145"/>
      <c r="O209" s="145"/>
      <c r="P209" s="145"/>
      <c r="Q209" s="145"/>
      <c r="R209" s="145"/>
      <c r="S209" s="145"/>
      <c r="T209" s="285"/>
      <c r="U209" s="145"/>
      <c r="V209" s="554"/>
    </row>
    <row r="210" spans="1:22" ht="18" hidden="1" customHeight="1">
      <c r="A210" s="311"/>
      <c r="B210" s="28" t="s">
        <v>628</v>
      </c>
      <c r="C210" s="30" t="str">
        <f>IF(T186=150,"…cond.2","…cond.4")</f>
        <v>…cond.4</v>
      </c>
      <c r="E210" s="14" t="s">
        <v>898</v>
      </c>
      <c r="J210" s="28" t="s">
        <v>138</v>
      </c>
      <c r="K210" s="30" t="str">
        <f>IF(T186=150,"107","256")</f>
        <v>256</v>
      </c>
      <c r="N210" s="1" t="s">
        <v>899</v>
      </c>
      <c r="O210" s="208"/>
      <c r="P210" s="208"/>
      <c r="Q210" s="208"/>
      <c r="R210" s="208"/>
      <c r="S210" s="194" t="s">
        <v>138</v>
      </c>
      <c r="T210" s="258">
        <f>IF(T191=TRUE,R194,IF(T201=TRUE,K210,))</f>
        <v>193.29733999999999</v>
      </c>
      <c r="U210" s="14"/>
      <c r="V210" s="97"/>
    </row>
    <row r="211" spans="1:22" ht="18" hidden="1" customHeight="1">
      <c r="A211" s="205" t="s">
        <v>900</v>
      </c>
      <c r="B211" s="28"/>
      <c r="C211" s="28"/>
      <c r="D211" s="28"/>
      <c r="E211" s="14"/>
      <c r="F211" s="14"/>
      <c r="G211" s="120"/>
      <c r="H211" s="28"/>
      <c r="I211" s="28"/>
      <c r="J211" s="28"/>
      <c r="K211" s="28"/>
      <c r="L211" s="28"/>
      <c r="M211" s="28"/>
      <c r="N211" s="28"/>
      <c r="O211" s="28"/>
      <c r="P211" s="28"/>
      <c r="Q211" s="28"/>
      <c r="R211" s="28"/>
      <c r="S211" s="28"/>
      <c r="T211" s="14"/>
      <c r="U211" s="28"/>
      <c r="V211" s="97"/>
    </row>
    <row r="212" spans="1:22" ht="18" hidden="1" customHeight="1">
      <c r="A212" s="196"/>
      <c r="D212" s="30" t="s">
        <v>484</v>
      </c>
      <c r="E212" s="27" t="s">
        <v>540</v>
      </c>
      <c r="F212" s="27" t="s">
        <v>876</v>
      </c>
      <c r="G212" s="27" t="s">
        <v>326</v>
      </c>
      <c r="H212" s="27" t="s">
        <v>522</v>
      </c>
      <c r="I212" s="27" t="s">
        <v>383</v>
      </c>
      <c r="J212" s="27" t="s">
        <v>431</v>
      </c>
      <c r="K212" s="27" t="s">
        <v>358</v>
      </c>
      <c r="L212" s="27" t="s">
        <v>877</v>
      </c>
      <c r="M212" s="30" t="s">
        <v>361</v>
      </c>
      <c r="V212" s="197"/>
    </row>
    <row r="213" spans="1:22" ht="18" hidden="1" customHeight="1">
      <c r="A213" s="196"/>
      <c r="B213" s="14"/>
      <c r="D213" s="14"/>
      <c r="E213" s="27" t="s">
        <v>540</v>
      </c>
      <c r="F213" s="27">
        <f>T210</f>
        <v>193.29733999999999</v>
      </c>
      <c r="G213" s="27" t="s">
        <v>326</v>
      </c>
      <c r="H213" s="27">
        <f>T184</f>
        <v>1</v>
      </c>
      <c r="I213" s="27" t="s">
        <v>383</v>
      </c>
      <c r="J213" s="27">
        <f>T182</f>
        <v>10</v>
      </c>
      <c r="K213" s="27" t="s">
        <v>358</v>
      </c>
      <c r="L213" s="223">
        <f>T183</f>
        <v>0.58186130000000003</v>
      </c>
      <c r="M213" s="30" t="s">
        <v>361</v>
      </c>
      <c r="V213" s="197"/>
    </row>
    <row r="214" spans="1:22" ht="18" hidden="1" customHeight="1">
      <c r="A214" s="196"/>
      <c r="B214" s="14"/>
      <c r="D214" s="14"/>
      <c r="E214" s="27" t="s">
        <v>540</v>
      </c>
      <c r="F214" s="912">
        <f>F213*H213*(J213+L213)</f>
        <v>2045.4456415389418</v>
      </c>
      <c r="G214" s="913"/>
      <c r="H214" s="14" t="s">
        <v>316</v>
      </c>
      <c r="I214" s="14"/>
      <c r="J214" s="14"/>
      <c r="K214" s="14"/>
      <c r="L214" s="120"/>
      <c r="M214" s="120"/>
      <c r="V214" s="197"/>
    </row>
    <row r="215" spans="1:22" ht="18" hidden="1" customHeight="1">
      <c r="A215" s="196"/>
      <c r="V215" s="197"/>
    </row>
    <row r="216" spans="1:22" ht="18" hidden="1" customHeight="1">
      <c r="A216" s="116" t="s">
        <v>457</v>
      </c>
      <c r="B216" s="14"/>
      <c r="C216" s="27"/>
      <c r="D216" s="230"/>
      <c r="E216" s="216"/>
      <c r="F216" s="14"/>
      <c r="G216" s="14"/>
      <c r="H216" s="14"/>
      <c r="I216" s="14"/>
      <c r="J216" s="120"/>
      <c r="K216" s="120"/>
      <c r="L216" s="14"/>
      <c r="M216" s="14"/>
      <c r="N216" s="28"/>
      <c r="O216" s="269"/>
      <c r="P216" s="14"/>
      <c r="Q216" s="14"/>
      <c r="R216" s="120"/>
      <c r="S216" s="28"/>
      <c r="T216" s="47"/>
      <c r="U216" s="14"/>
      <c r="V216" s="197"/>
    </row>
    <row r="217" spans="1:22" ht="18" hidden="1" customHeight="1">
      <c r="A217" s="205" t="s">
        <v>427</v>
      </c>
      <c r="B217" s="14"/>
      <c r="C217" s="27"/>
      <c r="D217" s="230"/>
      <c r="E217" s="216"/>
      <c r="F217" s="14"/>
      <c r="G217" s="14"/>
      <c r="H217" s="14"/>
      <c r="I217" s="14"/>
      <c r="J217" s="120"/>
      <c r="K217" s="120"/>
      <c r="L217" s="14"/>
      <c r="M217" s="14"/>
      <c r="N217" s="28"/>
      <c r="O217" s="269"/>
      <c r="P217" s="14"/>
      <c r="Q217" s="14"/>
      <c r="R217" s="120"/>
      <c r="S217" s="28"/>
      <c r="T217" s="47"/>
      <c r="U217" s="14"/>
      <c r="V217" s="197"/>
    </row>
    <row r="218" spans="1:22" ht="18" hidden="1" customHeight="1">
      <c r="A218" s="196"/>
      <c r="B218" s="14"/>
      <c r="C218" s="27"/>
      <c r="D218" s="230"/>
      <c r="E218" s="216"/>
      <c r="F218" s="30" t="s">
        <v>484</v>
      </c>
      <c r="G218" s="27" t="s">
        <v>540</v>
      </c>
      <c r="H218" s="969" t="s">
        <v>903</v>
      </c>
      <c r="I218" s="969"/>
      <c r="J218" s="27" t="s">
        <v>326</v>
      </c>
      <c r="K218" s="969" t="s">
        <v>855</v>
      </c>
      <c r="L218" s="969"/>
      <c r="M218" s="27" t="s">
        <v>326</v>
      </c>
      <c r="N218" s="256" t="s">
        <v>430</v>
      </c>
      <c r="O218" s="27" t="s">
        <v>431</v>
      </c>
      <c r="P218" s="27" t="s">
        <v>358</v>
      </c>
      <c r="Q218" s="27" t="s">
        <v>419</v>
      </c>
      <c r="R218" s="30" t="s">
        <v>361</v>
      </c>
      <c r="S218" s="28"/>
      <c r="T218" s="47"/>
      <c r="U218" s="14"/>
      <c r="V218" s="197"/>
    </row>
    <row r="219" spans="1:22" ht="18" hidden="1" customHeight="1">
      <c r="A219" s="205"/>
      <c r="F219" s="14" t="s">
        <v>904</v>
      </c>
      <c r="H219" s="27"/>
      <c r="I219" s="230"/>
      <c r="J219" s="216"/>
      <c r="K219" s="14"/>
      <c r="L219" s="14"/>
      <c r="M219" s="14"/>
      <c r="N219" s="14"/>
      <c r="O219" s="120"/>
      <c r="P219" s="120"/>
      <c r="Q219" s="14"/>
      <c r="R219" s="14"/>
      <c r="U219" s="14"/>
      <c r="V219" s="197"/>
    </row>
    <row r="220" spans="1:22" ht="18" hidden="1" customHeight="1">
      <c r="A220" s="205"/>
      <c r="G220" s="969" t="s">
        <v>903</v>
      </c>
      <c r="H220" s="969"/>
      <c r="I220" s="230" t="s">
        <v>138</v>
      </c>
      <c r="J220" s="216" t="s">
        <v>905</v>
      </c>
      <c r="K220" s="14"/>
      <c r="L220" s="14"/>
      <c r="M220" s="14"/>
      <c r="N220" s="14"/>
      <c r="O220" s="120"/>
      <c r="P220" s="120"/>
      <c r="Q220" s="14"/>
      <c r="R220" s="14"/>
      <c r="S220" s="28" t="s">
        <v>138</v>
      </c>
      <c r="T220" s="28">
        <v>1.4</v>
      </c>
      <c r="U220" s="14"/>
      <c r="V220" s="97"/>
    </row>
    <row r="221" spans="1:22" ht="18" hidden="1" customHeight="1">
      <c r="A221" s="205"/>
      <c r="G221" s="969" t="s">
        <v>855</v>
      </c>
      <c r="H221" s="969"/>
      <c r="I221" s="230" t="s">
        <v>138</v>
      </c>
      <c r="J221" s="216" t="s">
        <v>906</v>
      </c>
      <c r="K221" s="14"/>
      <c r="L221" s="14"/>
      <c r="M221" s="14"/>
      <c r="N221" s="14"/>
      <c r="O221" s="120"/>
      <c r="P221" s="120"/>
      <c r="Q221" s="14"/>
      <c r="R221" s="14"/>
      <c r="S221" s="28" t="s">
        <v>138</v>
      </c>
      <c r="T221" s="641">
        <f>T181</f>
        <v>18.559000000000001</v>
      </c>
      <c r="U221" s="638"/>
      <c r="V221" s="97" t="s">
        <v>9</v>
      </c>
    </row>
    <row r="222" spans="1:22" ht="18" hidden="1" customHeight="1">
      <c r="A222" s="205"/>
      <c r="U222" s="14"/>
      <c r="V222" s="97"/>
    </row>
    <row r="223" spans="1:22" ht="18" hidden="1" customHeight="1">
      <c r="A223" s="205"/>
      <c r="F223" s="30" t="s">
        <v>484</v>
      </c>
      <c r="G223" s="27" t="s">
        <v>540</v>
      </c>
      <c r="H223" s="969" t="s">
        <v>903</v>
      </c>
      <c r="I223" s="969"/>
      <c r="J223" s="27" t="s">
        <v>326</v>
      </c>
      <c r="K223" s="969" t="s">
        <v>855</v>
      </c>
      <c r="L223" s="969"/>
      <c r="M223" s="27" t="s">
        <v>326</v>
      </c>
      <c r="N223" s="256" t="s">
        <v>430</v>
      </c>
      <c r="O223" s="27" t="s">
        <v>431</v>
      </c>
      <c r="P223" s="27" t="s">
        <v>358</v>
      </c>
      <c r="Q223" s="27" t="s">
        <v>419</v>
      </c>
      <c r="R223" s="30" t="s">
        <v>361</v>
      </c>
      <c r="T223" s="47"/>
      <c r="U223" s="14"/>
      <c r="V223" s="97"/>
    </row>
    <row r="224" spans="1:22" ht="18" hidden="1" customHeight="1">
      <c r="A224" s="205"/>
      <c r="F224" s="30" t="s">
        <v>484</v>
      </c>
      <c r="G224" s="27" t="s">
        <v>540</v>
      </c>
      <c r="H224" s="969">
        <f>T220</f>
        <v>1.4</v>
      </c>
      <c r="I224" s="969"/>
      <c r="J224" s="27" t="s">
        <v>326</v>
      </c>
      <c r="K224" s="640">
        <f>T221</f>
        <v>18.559000000000001</v>
      </c>
      <c r="L224" s="969"/>
      <c r="M224" s="27" t="s">
        <v>326</v>
      </c>
      <c r="N224" s="256" t="s">
        <v>430</v>
      </c>
      <c r="O224" s="27">
        <f>T182</f>
        <v>10</v>
      </c>
      <c r="P224" s="27" t="s">
        <v>358</v>
      </c>
      <c r="Q224" s="223">
        <f>T183</f>
        <v>0.58186130000000003</v>
      </c>
      <c r="R224" s="30" t="s">
        <v>361</v>
      </c>
      <c r="V224" s="97"/>
    </row>
    <row r="225" spans="1:22" ht="18" hidden="1" customHeight="1">
      <c r="A225" s="196"/>
      <c r="F225" s="30" t="s">
        <v>484</v>
      </c>
      <c r="G225" s="27" t="s">
        <v>540</v>
      </c>
      <c r="H225" s="1170">
        <f>H224*K224*(O224+Q224)</f>
        <v>274.94426941338003</v>
      </c>
      <c r="I225" s="1171"/>
      <c r="J225" s="14" t="s">
        <v>907</v>
      </c>
      <c r="V225" s="97"/>
    </row>
    <row r="226" spans="1:22" ht="18" hidden="1" customHeight="1">
      <c r="A226" s="96"/>
      <c r="U226" s="18"/>
      <c r="V226" s="97"/>
    </row>
    <row r="227" spans="1:22" ht="18" hidden="1" customHeight="1">
      <c r="A227" s="205" t="s">
        <v>908</v>
      </c>
      <c r="O227" s="47"/>
      <c r="P227" s="14"/>
      <c r="Q227" s="14"/>
      <c r="R227" s="14"/>
      <c r="S227" s="120"/>
      <c r="T227" s="18"/>
      <c r="U227" s="18"/>
      <c r="V227" s="97"/>
    </row>
    <row r="228" spans="1:22" ht="18" hidden="1" customHeight="1">
      <c r="A228" s="196"/>
      <c r="V228" s="97"/>
    </row>
    <row r="229" spans="1:22" ht="18" hidden="1" customHeight="1">
      <c r="A229" s="196"/>
      <c r="C229" s="30" t="s">
        <v>484</v>
      </c>
      <c r="D229" s="27" t="s">
        <v>540</v>
      </c>
      <c r="E229" s="861" t="s">
        <v>909</v>
      </c>
      <c r="F229" s="861"/>
      <c r="G229" s="27" t="s">
        <v>326</v>
      </c>
      <c r="H229" s="861" t="s">
        <v>910</v>
      </c>
      <c r="I229" s="861"/>
      <c r="J229" s="28" t="s">
        <v>683</v>
      </c>
      <c r="K229" s="27">
        <v>1</v>
      </c>
      <c r="L229" s="14" t="s">
        <v>358</v>
      </c>
      <c r="M229" s="14" t="s">
        <v>352</v>
      </c>
      <c r="N229" s="14" t="s">
        <v>911</v>
      </c>
      <c r="O229" s="27" t="s">
        <v>431</v>
      </c>
      <c r="P229" s="27" t="s">
        <v>358</v>
      </c>
      <c r="Q229" s="27" t="s">
        <v>419</v>
      </c>
      <c r="R229" s="30" t="s">
        <v>361</v>
      </c>
      <c r="V229" s="197"/>
    </row>
    <row r="230" spans="1:22" ht="18" hidden="1" customHeight="1">
      <c r="A230" s="196"/>
      <c r="C230" s="14" t="s">
        <v>904</v>
      </c>
      <c r="E230" s="27"/>
      <c r="F230" s="230"/>
      <c r="G230" s="216"/>
      <c r="H230" s="14"/>
      <c r="I230" s="14"/>
      <c r="J230" s="14"/>
      <c r="K230" s="14"/>
      <c r="L230" s="120"/>
      <c r="M230" s="120"/>
      <c r="N230" s="14"/>
      <c r="O230" s="14"/>
      <c r="U230" s="14"/>
      <c r="V230" s="197"/>
    </row>
    <row r="231" spans="1:22" ht="18" hidden="1" customHeight="1">
      <c r="A231" s="96"/>
      <c r="B231" s="14"/>
      <c r="D231" s="861" t="s">
        <v>909</v>
      </c>
      <c r="E231" s="969"/>
      <c r="F231" s="230" t="s">
        <v>138</v>
      </c>
      <c r="G231" s="269" t="s">
        <v>912</v>
      </c>
      <c r="H231" s="14"/>
      <c r="I231" s="14"/>
      <c r="J231" s="14"/>
      <c r="K231" s="14"/>
      <c r="L231" s="120"/>
      <c r="M231" s="120"/>
      <c r="N231" s="14"/>
      <c r="O231" s="14"/>
      <c r="S231" s="28" t="s">
        <v>138</v>
      </c>
      <c r="T231" s="28">
        <v>0.6</v>
      </c>
      <c r="U231" s="14"/>
      <c r="V231" s="97"/>
    </row>
    <row r="232" spans="1:22" ht="18" hidden="1" customHeight="1">
      <c r="A232" s="284"/>
      <c r="B232" s="47"/>
      <c r="D232" s="861" t="s">
        <v>910</v>
      </c>
      <c r="E232" s="969"/>
      <c r="F232" s="230" t="s">
        <v>138</v>
      </c>
      <c r="G232" s="269" t="s">
        <v>913</v>
      </c>
      <c r="H232" s="14"/>
      <c r="I232" s="14"/>
      <c r="J232" s="14"/>
      <c r="K232" s="14"/>
      <c r="L232" s="120"/>
      <c r="M232" s="120"/>
      <c r="N232" s="14"/>
      <c r="O232" s="14"/>
      <c r="S232" s="28" t="s">
        <v>138</v>
      </c>
      <c r="T232" s="641">
        <f>'[6]Fault Calc (3)'!M107/T180</f>
        <v>18.152889265462242</v>
      </c>
      <c r="U232" s="638"/>
      <c r="V232" s="97" t="s">
        <v>9</v>
      </c>
    </row>
    <row r="233" spans="1:22" ht="18" hidden="1" customHeight="1">
      <c r="A233" s="96"/>
      <c r="B233" s="47"/>
      <c r="C233" s="120"/>
      <c r="S233" s="14"/>
      <c r="T233" s="14"/>
      <c r="U233" s="14"/>
      <c r="V233" s="97"/>
    </row>
    <row r="234" spans="1:22" ht="18" hidden="1" customHeight="1">
      <c r="A234" s="196"/>
      <c r="C234" s="27" t="s">
        <v>484</v>
      </c>
      <c r="D234" s="27" t="s">
        <v>540</v>
      </c>
      <c r="E234" s="861" t="s">
        <v>909</v>
      </c>
      <c r="F234" s="861"/>
      <c r="G234" s="27" t="s">
        <v>326</v>
      </c>
      <c r="H234" s="861" t="s">
        <v>910</v>
      </c>
      <c r="I234" s="861"/>
      <c r="J234" s="28" t="s">
        <v>683</v>
      </c>
      <c r="K234" s="27">
        <v>1</v>
      </c>
      <c r="L234" s="14" t="s">
        <v>358</v>
      </c>
      <c r="M234" s="14" t="s">
        <v>352</v>
      </c>
      <c r="N234" s="14" t="s">
        <v>911</v>
      </c>
      <c r="O234" s="27" t="s">
        <v>431</v>
      </c>
      <c r="P234" s="27" t="s">
        <v>358</v>
      </c>
      <c r="Q234" s="27" t="s">
        <v>419</v>
      </c>
      <c r="R234" s="30" t="s">
        <v>361</v>
      </c>
      <c r="V234" s="97"/>
    </row>
    <row r="235" spans="1:22" ht="18" hidden="1" customHeight="1">
      <c r="A235" s="196"/>
      <c r="C235" s="27" t="s">
        <v>484</v>
      </c>
      <c r="D235" s="27" t="s">
        <v>540</v>
      </c>
      <c r="E235" s="861">
        <f>T231</f>
        <v>0.6</v>
      </c>
      <c r="F235" s="861"/>
      <c r="G235" s="27" t="s">
        <v>326</v>
      </c>
      <c r="H235" s="1113">
        <f>T232</f>
        <v>18.152889265462242</v>
      </c>
      <c r="I235" s="861"/>
      <c r="J235" s="28" t="s">
        <v>683</v>
      </c>
      <c r="K235" s="27">
        <v>1</v>
      </c>
      <c r="L235" s="14" t="s">
        <v>358</v>
      </c>
      <c r="M235" s="28">
        <f>T185</f>
        <v>23.6</v>
      </c>
      <c r="N235" s="14" t="s">
        <v>911</v>
      </c>
      <c r="O235" s="27">
        <f>T182</f>
        <v>10</v>
      </c>
      <c r="P235" s="27" t="s">
        <v>358</v>
      </c>
      <c r="Q235" s="230">
        <f xml:space="preserve"> T183</f>
        <v>0.58186130000000003</v>
      </c>
      <c r="R235" s="30" t="s">
        <v>361</v>
      </c>
      <c r="V235" s="97"/>
    </row>
    <row r="236" spans="1:22" s="291" customFormat="1" ht="18" hidden="1" customHeight="1">
      <c r="A236" s="196"/>
      <c r="B236" s="30"/>
      <c r="C236" s="27" t="s">
        <v>484</v>
      </c>
      <c r="D236" s="27" t="s">
        <v>540</v>
      </c>
      <c r="E236" s="1168">
        <f>E235*H235*((K235+M235)*(O235+Q235))</f>
        <v>2835.268420484374</v>
      </c>
      <c r="F236" s="1169"/>
      <c r="G236" s="14" t="s">
        <v>907</v>
      </c>
      <c r="H236" s="30"/>
      <c r="I236" s="30"/>
      <c r="J236" s="30"/>
      <c r="K236" s="30"/>
      <c r="L236" s="30"/>
      <c r="M236" s="30"/>
      <c r="N236" s="30"/>
      <c r="O236" s="30"/>
      <c r="P236" s="30"/>
      <c r="Q236" s="30"/>
      <c r="R236" s="30"/>
      <c r="S236" s="30"/>
      <c r="T236" s="30"/>
      <c r="U236" s="30"/>
      <c r="V236" s="97"/>
    </row>
    <row r="237" spans="1:22" s="291" customFormat="1" ht="18" hidden="1" customHeight="1">
      <c r="A237" s="557"/>
      <c r="B237" s="261"/>
      <c r="C237" s="261"/>
      <c r="D237" s="261"/>
      <c r="E237" s="261"/>
      <c r="F237" s="261"/>
      <c r="G237" s="14"/>
      <c r="H237" s="14"/>
      <c r="I237" s="14"/>
      <c r="J237" s="14"/>
      <c r="K237" s="14"/>
      <c r="L237" s="14"/>
      <c r="M237" s="120"/>
      <c r="N237" s="102"/>
      <c r="O237" s="47"/>
      <c r="P237" s="14"/>
      <c r="Q237" s="14"/>
      <c r="R237" s="14"/>
      <c r="S237" s="14"/>
      <c r="T237" s="14"/>
      <c r="U237" s="14"/>
      <c r="V237" s="97"/>
    </row>
    <row r="238" spans="1:22" s="291" customFormat="1" ht="18" hidden="1" customHeight="1">
      <c r="A238" s="96"/>
      <c r="B238" s="472" t="s">
        <v>914</v>
      </c>
      <c r="C238" s="28"/>
      <c r="D238" s="28"/>
      <c r="E238" s="14"/>
      <c r="F238" s="14"/>
      <c r="G238" s="120"/>
      <c r="H238" s="120"/>
      <c r="I238" s="47"/>
      <c r="J238" s="568"/>
      <c r="K238" s="14"/>
      <c r="L238" s="14"/>
      <c r="M238" s="912">
        <f>MAX(F214,H225,E236)</f>
        <v>2835.268420484374</v>
      </c>
      <c r="N238" s="913"/>
      <c r="O238" s="14" t="s">
        <v>907</v>
      </c>
      <c r="P238" s="14"/>
      <c r="Q238" s="14"/>
      <c r="R238" s="14"/>
      <c r="S238" s="14"/>
      <c r="T238" s="14"/>
      <c r="U238" s="14"/>
      <c r="V238" s="97"/>
    </row>
    <row r="239" spans="1:22" s="291" customFormat="1" ht="18" hidden="1" customHeight="1">
      <c r="A239" s="205"/>
      <c r="B239" s="30"/>
      <c r="C239" s="30"/>
      <c r="D239" s="30"/>
      <c r="E239" s="30"/>
      <c r="F239" s="30"/>
      <c r="G239" s="30"/>
      <c r="H239" s="30"/>
      <c r="I239" s="14"/>
      <c r="J239" s="14"/>
      <c r="K239" s="14"/>
      <c r="L239" s="47"/>
      <c r="M239" s="47"/>
      <c r="N239" s="47"/>
      <c r="O239" s="47"/>
      <c r="P239" s="28"/>
      <c r="Q239" s="569"/>
      <c r="R239" s="47"/>
      <c r="S239" s="14"/>
      <c r="T239" s="14"/>
      <c r="U239" s="14"/>
      <c r="V239" s="97"/>
    </row>
    <row r="240" spans="1:22" s="291" customFormat="1" ht="18" hidden="1" customHeight="1">
      <c r="A240" s="196"/>
      <c r="B240" s="30"/>
      <c r="C240" s="30" t="s">
        <v>486</v>
      </c>
      <c r="D240" s="30"/>
      <c r="E240" s="30"/>
      <c r="F240" s="27" t="str">
        <f>IF(D241&gt;G241,"&gt;","&lt;")</f>
        <v>&gt;</v>
      </c>
      <c r="G240" s="30" t="s">
        <v>488</v>
      </c>
      <c r="H240" s="30"/>
      <c r="I240" s="30"/>
      <c r="J240" s="30"/>
      <c r="K240" s="30"/>
      <c r="L240" s="14"/>
      <c r="M240" s="14"/>
      <c r="N240" s="14"/>
      <c r="O240" s="14"/>
      <c r="P240" s="14"/>
      <c r="Q240" s="14"/>
      <c r="R240" s="14"/>
      <c r="S240" s="14"/>
      <c r="T240" s="14"/>
      <c r="U240" s="14"/>
      <c r="V240" s="97"/>
    </row>
    <row r="241" spans="1:22" s="291" customFormat="1" ht="18" hidden="1" customHeight="1">
      <c r="A241" s="196"/>
      <c r="B241" s="30"/>
      <c r="C241" s="30"/>
      <c r="D241" s="639">
        <f>J134</f>
        <v>3000</v>
      </c>
      <c r="E241" s="639"/>
      <c r="F241" s="27" t="str">
        <f>F240</f>
        <v>&gt;</v>
      </c>
      <c r="G241" s="873">
        <f>M238</f>
        <v>2835.268420484374</v>
      </c>
      <c r="H241" s="873"/>
      <c r="I241" s="30"/>
      <c r="J241" s="30"/>
      <c r="K241" s="30"/>
      <c r="L241" s="14"/>
      <c r="M241" s="14"/>
      <c r="N241" s="28"/>
      <c r="O241" s="28"/>
      <c r="P241" s="28"/>
      <c r="Q241" s="120"/>
      <c r="R241" s="262"/>
      <c r="S241" s="198"/>
      <c r="T241" s="14"/>
      <c r="U241" s="14"/>
      <c r="V241" s="97"/>
    </row>
    <row r="242" spans="1:22" s="291" customFormat="1" ht="18" hidden="1" customHeight="1">
      <c r="A242" s="196"/>
      <c r="B242" s="30"/>
      <c r="C242" s="30"/>
      <c r="D242" s="30"/>
      <c r="E242" s="256" t="s">
        <v>489</v>
      </c>
      <c r="F242" s="30"/>
      <c r="G242" s="18" t="str">
        <f>IF(F240="&gt;","Suitably Dimensioned","Under Dimensioned")</f>
        <v>Suitably Dimensioned</v>
      </c>
      <c r="H242" s="30"/>
      <c r="I242" s="30"/>
      <c r="J242" s="30"/>
      <c r="K242" s="30"/>
      <c r="L242" s="14"/>
      <c r="M242" s="14"/>
      <c r="N242" s="28"/>
      <c r="O242" s="269"/>
      <c r="P242" s="14"/>
      <c r="Q242" s="14"/>
      <c r="R242" s="120"/>
      <c r="S242" s="28"/>
      <c r="T242" s="47"/>
      <c r="U242" s="14"/>
      <c r="V242" s="97"/>
    </row>
    <row r="243" spans="1:22" s="291" customFormat="1" ht="18" hidden="1" customHeight="1">
      <c r="A243" s="196"/>
      <c r="B243" s="30"/>
      <c r="C243" s="30"/>
      <c r="D243" s="30"/>
      <c r="E243" s="256"/>
      <c r="F243" s="30"/>
      <c r="G243" s="18"/>
      <c r="H243" s="30"/>
      <c r="I243" s="30"/>
      <c r="J243" s="30"/>
      <c r="K243" s="30"/>
      <c r="L243" s="14"/>
      <c r="M243" s="14"/>
      <c r="N243" s="28"/>
      <c r="O243" s="269"/>
      <c r="P243" s="14"/>
      <c r="Q243" s="14"/>
      <c r="R243" s="120"/>
      <c r="S243" s="28"/>
      <c r="T243" s="47"/>
      <c r="U243" s="14"/>
      <c r="V243" s="97"/>
    </row>
    <row r="244" spans="1:22" s="291" customFormat="1" ht="18" hidden="1" customHeight="1">
      <c r="A244" s="196"/>
      <c r="B244" s="30"/>
      <c r="C244" s="30"/>
      <c r="D244" s="30"/>
      <c r="E244" s="30"/>
      <c r="F244" s="30"/>
      <c r="G244" s="30"/>
      <c r="H244" s="30"/>
      <c r="I244" s="30"/>
      <c r="J244" s="30"/>
      <c r="K244" s="30"/>
      <c r="L244" s="28"/>
      <c r="M244" s="28"/>
      <c r="N244" s="28"/>
      <c r="O244" s="28"/>
      <c r="P244" s="28"/>
      <c r="Q244" s="230"/>
      <c r="R244" s="28"/>
      <c r="S244" s="28"/>
      <c r="T244" s="14"/>
      <c r="U244" s="28"/>
      <c r="V244" s="97"/>
    </row>
    <row r="245" spans="1:22" s="291" customFormat="1" ht="18" hidden="1" customHeight="1">
      <c r="A245" s="196"/>
      <c r="B245" s="30"/>
      <c r="C245" s="30"/>
      <c r="D245" s="30"/>
      <c r="E245" s="256"/>
      <c r="F245" s="30"/>
      <c r="G245" s="18"/>
      <c r="H245" s="30"/>
      <c r="I245" s="30"/>
      <c r="J245" s="30"/>
      <c r="K245" s="30"/>
      <c r="L245" s="14"/>
      <c r="M245" s="14"/>
      <c r="N245" s="28"/>
      <c r="O245" s="269"/>
      <c r="P245" s="14"/>
      <c r="Q245" s="14"/>
      <c r="R245" s="120"/>
      <c r="S245" s="28"/>
      <c r="T245" s="47"/>
      <c r="U245" s="14"/>
      <c r="V245" s="97"/>
    </row>
    <row r="246" spans="1:22" s="291" customFormat="1" ht="18" hidden="1" customHeight="1">
      <c r="A246" s="205"/>
      <c r="B246" s="14"/>
      <c r="C246" s="27"/>
      <c r="D246" s="230"/>
      <c r="E246" s="216"/>
      <c r="F246" s="14"/>
      <c r="G246" s="14"/>
      <c r="H246" s="14"/>
      <c r="I246" s="14"/>
      <c r="J246" s="120"/>
      <c r="K246" s="120"/>
      <c r="L246" s="14"/>
      <c r="M246" s="14"/>
      <c r="N246" s="28"/>
      <c r="O246" s="269"/>
      <c r="P246" s="14"/>
      <c r="Q246" s="14"/>
      <c r="R246" s="120"/>
      <c r="S246" s="28"/>
      <c r="T246" s="47"/>
      <c r="U246" s="14"/>
      <c r="V246" s="97"/>
    </row>
    <row r="247" spans="1:22" s="291" customFormat="1" ht="18" hidden="1" customHeight="1">
      <c r="A247" s="205"/>
      <c r="B247" s="14"/>
      <c r="C247" s="27"/>
      <c r="D247" s="230"/>
      <c r="E247" s="216"/>
      <c r="F247" s="14"/>
      <c r="G247" s="14"/>
      <c r="H247" s="14"/>
      <c r="I247" s="14"/>
      <c r="J247" s="120"/>
      <c r="K247" s="120"/>
      <c r="L247" s="14"/>
      <c r="M247" s="14"/>
      <c r="N247" s="28"/>
      <c r="O247" s="269"/>
      <c r="P247" s="14"/>
      <c r="Q247" s="14"/>
      <c r="R247" s="120"/>
      <c r="S247" s="28"/>
      <c r="T247" s="47"/>
      <c r="U247" s="14"/>
      <c r="V247" s="97"/>
    </row>
    <row r="248" spans="1:22" s="291" customFormat="1" ht="18" hidden="1" customHeight="1">
      <c r="A248" s="205"/>
      <c r="B248" s="14"/>
      <c r="C248" s="27"/>
      <c r="D248" s="230"/>
      <c r="E248" s="216"/>
      <c r="F248" s="14"/>
      <c r="G248" s="14"/>
      <c r="H248" s="14"/>
      <c r="I248" s="14"/>
      <c r="J248" s="120"/>
      <c r="K248" s="120"/>
      <c r="L248" s="14"/>
      <c r="M248" s="14"/>
      <c r="N248" s="28"/>
      <c r="O248" s="269"/>
      <c r="P248" s="14"/>
      <c r="Q248" s="14"/>
      <c r="R248" s="120"/>
      <c r="S248" s="28"/>
      <c r="T248" s="47"/>
      <c r="U248" s="14"/>
      <c r="V248" s="97"/>
    </row>
    <row r="249" spans="1:22" s="14" customFormat="1" ht="18" hidden="1" customHeight="1">
      <c r="A249" s="206"/>
      <c r="B249" s="207"/>
      <c r="C249" s="207"/>
      <c r="D249" s="207"/>
      <c r="E249" s="207"/>
      <c r="F249" s="207"/>
      <c r="G249" s="207"/>
      <c r="H249" s="207"/>
      <c r="I249" s="207"/>
      <c r="J249" s="207"/>
      <c r="K249" s="207"/>
      <c r="L249" s="207"/>
      <c r="M249" s="207"/>
      <c r="N249" s="207"/>
      <c r="O249" s="207"/>
      <c r="P249" s="207"/>
      <c r="Q249" s="236"/>
      <c r="R249" s="194"/>
      <c r="S249" s="237"/>
      <c r="T249" s="207"/>
      <c r="U249" s="207"/>
      <c r="V249" s="140"/>
    </row>
    <row r="250" spans="1:22" ht="18" hidden="1" customHeight="1">
      <c r="A250" s="238"/>
      <c r="B250" s="239"/>
      <c r="C250" s="239"/>
      <c r="D250" s="239"/>
      <c r="E250" s="239"/>
      <c r="F250" s="239"/>
      <c r="G250" s="239"/>
      <c r="H250" s="239"/>
      <c r="I250" s="239"/>
      <c r="J250" s="239"/>
      <c r="K250" s="239"/>
      <c r="L250" s="239"/>
      <c r="M250" s="239"/>
      <c r="N250" s="239"/>
      <c r="O250" s="239"/>
      <c r="P250" s="239"/>
      <c r="Q250" s="239"/>
      <c r="R250" s="239"/>
      <c r="S250" s="239"/>
      <c r="T250" s="239"/>
      <c r="U250" s="239"/>
      <c r="V250" s="240"/>
    </row>
    <row r="251" spans="1:22" ht="18" hidden="1" customHeight="1">
      <c r="A251" s="196"/>
      <c r="B251" s="650" t="str">
        <f>B128</f>
        <v>CT7001</v>
      </c>
      <c r="C251" s="651"/>
      <c r="D251" s="663" t="str">
        <f>D128</f>
        <v>Core2</v>
      </c>
      <c r="E251" s="664"/>
      <c r="F251" s="1182" t="str">
        <f>F128</f>
        <v>Main-2</v>
      </c>
      <c r="G251" s="1182"/>
      <c r="H251" s="638" t="str">
        <f>H128</f>
        <v>(Differential + Distance)</v>
      </c>
      <c r="I251" s="638"/>
      <c r="J251" s="638"/>
      <c r="K251" s="638"/>
      <c r="L251" s="638"/>
      <c r="M251" s="638"/>
      <c r="P251" s="198"/>
      <c r="S251" s="199" t="s">
        <v>398</v>
      </c>
      <c r="T251" s="650" t="str">
        <f>T128</f>
        <v>P545</v>
      </c>
      <c r="U251" s="651"/>
      <c r="V251" s="197"/>
    </row>
    <row r="252" spans="1:22" ht="18" hidden="1" customHeight="1">
      <c r="A252" s="196"/>
      <c r="B252" s="660" t="str">
        <f>B129</f>
        <v>CT7004</v>
      </c>
      <c r="C252" s="660"/>
      <c r="D252" s="665"/>
      <c r="E252" s="666"/>
      <c r="F252" s="468"/>
      <c r="T252" s="650">
        <f>T129</f>
        <v>0</v>
      </c>
      <c r="U252" s="651"/>
      <c r="V252" s="197"/>
    </row>
    <row r="253" spans="1:22" ht="18" hidden="1" customHeight="1">
      <c r="A253" s="196"/>
      <c r="H253" s="661" t="s">
        <v>401</v>
      </c>
      <c r="I253" s="661"/>
      <c r="J253" s="661" t="s">
        <v>402</v>
      </c>
      <c r="K253" s="661"/>
      <c r="L253" s="662" t="s">
        <v>403</v>
      </c>
      <c r="M253" s="662"/>
      <c r="T253" s="650">
        <f>T130</f>
        <v>0</v>
      </c>
      <c r="U253" s="651"/>
      <c r="V253" s="197"/>
    </row>
    <row r="254" spans="1:22" ht="18" hidden="1" customHeight="1">
      <c r="A254" s="196"/>
      <c r="B254" s="47" t="s">
        <v>404</v>
      </c>
      <c r="H254" s="650">
        <f>H131</f>
        <v>4000</v>
      </c>
      <c r="I254" s="651"/>
      <c r="J254" s="650">
        <f>J131</f>
        <v>3000</v>
      </c>
      <c r="K254" s="651"/>
      <c r="L254" s="652" t="str">
        <f>L131</f>
        <v>-</v>
      </c>
      <c r="M254" s="653"/>
      <c r="N254" s="203" t="s">
        <v>353</v>
      </c>
      <c r="O254" s="268">
        <f>O131</f>
        <v>1</v>
      </c>
      <c r="P254" s="27" t="s">
        <v>9</v>
      </c>
      <c r="V254" s="197"/>
    </row>
    <row r="255" spans="1:22" ht="18" hidden="1" customHeight="1">
      <c r="A255" s="196"/>
      <c r="B255" s="47" t="s">
        <v>405</v>
      </c>
      <c r="L255" s="650" t="str">
        <f>J132</f>
        <v>PX</v>
      </c>
      <c r="M255" s="651"/>
      <c r="V255" s="197"/>
    </row>
    <row r="256" spans="1:22" ht="18" hidden="1" customHeight="1">
      <c r="A256" s="196"/>
      <c r="B256" s="47" t="s">
        <v>407</v>
      </c>
      <c r="K256" s="120" t="s">
        <v>508</v>
      </c>
      <c r="L256" s="940" t="s">
        <v>7</v>
      </c>
      <c r="M256" s="941"/>
      <c r="N256" s="204" t="s">
        <v>344</v>
      </c>
      <c r="V256" s="197"/>
    </row>
    <row r="257" spans="1:29" ht="18" hidden="1" customHeight="1">
      <c r="A257" s="196"/>
      <c r="B257" s="47" t="s">
        <v>409</v>
      </c>
      <c r="K257" s="120" t="s">
        <v>509</v>
      </c>
      <c r="L257" s="940" t="s">
        <v>7</v>
      </c>
      <c r="M257" s="941"/>
      <c r="N257" s="14" t="s">
        <v>316</v>
      </c>
      <c r="V257" s="197"/>
      <c r="W257" s="30" t="s">
        <v>411</v>
      </c>
      <c r="AB257" s="996" t="e">
        <f>M367</f>
        <v>#VALUE!</v>
      </c>
      <c r="AC257" s="997"/>
    </row>
    <row r="258" spans="1:29" ht="18" hidden="1" customHeight="1">
      <c r="A258" s="196"/>
      <c r="B258" s="14" t="s">
        <v>412</v>
      </c>
      <c r="K258" s="120" t="s">
        <v>413</v>
      </c>
      <c r="L258" s="940" t="s">
        <v>7</v>
      </c>
      <c r="M258" s="941"/>
      <c r="N258" s="14" t="s">
        <v>414</v>
      </c>
      <c r="V258" s="197"/>
    </row>
    <row r="259" spans="1:29" ht="18" hidden="1" customHeight="1">
      <c r="A259" s="196"/>
      <c r="V259" s="197"/>
    </row>
    <row r="260" spans="1:29" ht="18" hidden="1" customHeight="1">
      <c r="A260" s="205" t="s">
        <v>415</v>
      </c>
      <c r="V260" s="197"/>
    </row>
    <row r="261" spans="1:29" ht="18" hidden="1" customHeight="1">
      <c r="A261" s="196"/>
      <c r="V261" s="197"/>
    </row>
    <row r="262" spans="1:29" ht="18" hidden="1" customHeight="1">
      <c r="A262" s="196"/>
      <c r="B262" s="206" t="s">
        <v>416</v>
      </c>
      <c r="C262" s="207"/>
      <c r="D262" s="207" t="str">
        <f>T251</f>
        <v>P545</v>
      </c>
      <c r="E262" s="208"/>
      <c r="F262" s="208"/>
      <c r="G262" s="208"/>
      <c r="H262" s="194" t="s">
        <v>417</v>
      </c>
      <c r="I262" s="195" t="s">
        <v>138</v>
      </c>
      <c r="J262" s="897">
        <f>J139</f>
        <v>0.02</v>
      </c>
      <c r="K262" s="649"/>
      <c r="L262" s="214" t="s">
        <v>168</v>
      </c>
      <c r="V262" s="197"/>
    </row>
    <row r="263" spans="1:29" ht="18" hidden="1" customHeight="1">
      <c r="A263" s="196"/>
      <c r="B263" s="196" t="s">
        <v>416</v>
      </c>
      <c r="D263" s="308">
        <f>T252</f>
        <v>0</v>
      </c>
      <c r="I263" s="28" t="s">
        <v>138</v>
      </c>
      <c r="J263" s="897">
        <f>J140</f>
        <v>0</v>
      </c>
      <c r="K263" s="797"/>
      <c r="L263" s="309" t="s">
        <v>168</v>
      </c>
      <c r="V263" s="197"/>
    </row>
    <row r="264" spans="1:29" ht="18" hidden="1" customHeight="1">
      <c r="A264" s="196"/>
      <c r="B264" s="196" t="s">
        <v>416</v>
      </c>
      <c r="D264" s="308">
        <f>T253</f>
        <v>0</v>
      </c>
      <c r="E264" s="14"/>
      <c r="G264" s="211"/>
      <c r="H264" s="27"/>
      <c r="I264" s="101" t="s">
        <v>138</v>
      </c>
      <c r="J264" s="644">
        <f>J141</f>
        <v>0</v>
      </c>
      <c r="K264" s="800"/>
      <c r="L264" s="439" t="s">
        <v>168</v>
      </c>
      <c r="V264" s="197"/>
    </row>
    <row r="265" spans="1:29" ht="18" hidden="1" customHeight="1">
      <c r="A265" s="196"/>
      <c r="B265" s="196" t="s">
        <v>423</v>
      </c>
      <c r="H265" s="27"/>
      <c r="I265" s="189" t="s">
        <v>138</v>
      </c>
      <c r="J265" s="1042">
        <f>J142</f>
        <v>0.56186130000000001</v>
      </c>
      <c r="K265" s="1186"/>
      <c r="L265" s="439" t="s">
        <v>168</v>
      </c>
      <c r="V265" s="197"/>
    </row>
    <row r="266" spans="1:29" ht="18" hidden="1" customHeight="1">
      <c r="A266" s="196"/>
      <c r="B266" s="217" t="s">
        <v>424</v>
      </c>
      <c r="C266" s="218"/>
      <c r="D266" s="218"/>
      <c r="E266" s="218"/>
      <c r="F266" s="219"/>
      <c r="G266" s="219"/>
      <c r="H266" s="202" t="s">
        <v>420</v>
      </c>
      <c r="I266" s="220" t="s">
        <v>138</v>
      </c>
      <c r="J266" s="897">
        <f>SUM(J263:K265)</f>
        <v>0.56186130000000001</v>
      </c>
      <c r="K266" s="797"/>
      <c r="L266" s="441" t="s">
        <v>168</v>
      </c>
      <c r="V266" s="197"/>
    </row>
    <row r="267" spans="1:29" ht="18" hidden="1" customHeight="1">
      <c r="A267" s="196"/>
      <c r="B267" s="47"/>
      <c r="C267" s="47"/>
      <c r="D267" s="47"/>
      <c r="E267" s="47"/>
      <c r="H267" s="27"/>
      <c r="I267" s="28"/>
      <c r="J267" s="211"/>
      <c r="L267" s="47"/>
      <c r="O267" s="27"/>
      <c r="P267" s="223"/>
      <c r="Q267" s="223"/>
      <c r="R267" s="204"/>
      <c r="V267" s="197"/>
    </row>
    <row r="268" spans="1:29" ht="18" hidden="1" customHeight="1">
      <c r="A268" s="196"/>
      <c r="B268" s="209" t="s">
        <v>659</v>
      </c>
      <c r="L268" s="47"/>
      <c r="M268" s="209" t="s">
        <v>418</v>
      </c>
      <c r="V268" s="197"/>
    </row>
    <row r="269" spans="1:29" ht="18" hidden="1" customHeight="1">
      <c r="A269" s="196"/>
      <c r="B269" s="257" t="s">
        <v>660</v>
      </c>
      <c r="C269" s="257" t="s">
        <v>138</v>
      </c>
      <c r="D269" s="254" t="s">
        <v>417</v>
      </c>
      <c r="E269" s="559" t="s">
        <v>421</v>
      </c>
      <c r="F269" s="257" t="s">
        <v>157</v>
      </c>
      <c r="G269" s="233" t="s">
        <v>326</v>
      </c>
      <c r="H269" s="234" t="s">
        <v>157</v>
      </c>
      <c r="I269" s="254" t="s">
        <v>361</v>
      </c>
      <c r="J269" s="516"/>
      <c r="K269" s="254"/>
      <c r="L269" s="560"/>
      <c r="M269" s="254" t="s">
        <v>419</v>
      </c>
      <c r="N269" s="257" t="s">
        <v>138</v>
      </c>
      <c r="O269" s="254" t="s">
        <v>420</v>
      </c>
      <c r="P269" s="561" t="s">
        <v>421</v>
      </c>
      <c r="Q269" s="556" t="s">
        <v>422</v>
      </c>
      <c r="R269" s="257" t="s">
        <v>326</v>
      </c>
      <c r="S269" s="254" t="s">
        <v>422</v>
      </c>
      <c r="T269" s="254" t="s">
        <v>361</v>
      </c>
      <c r="V269" s="197"/>
    </row>
    <row r="270" spans="1:29" ht="18" hidden="1" customHeight="1">
      <c r="A270" s="196"/>
      <c r="B270" s="560"/>
      <c r="C270" s="257" t="s">
        <v>138</v>
      </c>
      <c r="D270" s="313">
        <f>J262</f>
        <v>0.02</v>
      </c>
      <c r="E270" s="561" t="s">
        <v>421</v>
      </c>
      <c r="F270" s="257">
        <f>F147</f>
        <v>1</v>
      </c>
      <c r="G270" s="257" t="s">
        <v>326</v>
      </c>
      <c r="H270" s="257">
        <f>H147</f>
        <v>1</v>
      </c>
      <c r="I270" s="254" t="s">
        <v>361</v>
      </c>
      <c r="J270" s="516"/>
      <c r="K270" s="254"/>
      <c r="L270" s="560"/>
      <c r="M270" s="254"/>
      <c r="N270" s="257" t="s">
        <v>138</v>
      </c>
      <c r="O270" s="313">
        <f>J266</f>
        <v>0.56186130000000001</v>
      </c>
      <c r="P270" s="561" t="s">
        <v>421</v>
      </c>
      <c r="Q270" s="257">
        <f>O254</f>
        <v>1</v>
      </c>
      <c r="R270" s="257" t="s">
        <v>326</v>
      </c>
      <c r="S270" s="257">
        <f>O254</f>
        <v>1</v>
      </c>
      <c r="T270" s="254" t="s">
        <v>361</v>
      </c>
      <c r="V270" s="197"/>
    </row>
    <row r="271" spans="1:29" ht="18" hidden="1" customHeight="1">
      <c r="A271" s="196"/>
      <c r="B271" s="560"/>
      <c r="C271" s="257" t="s">
        <v>138</v>
      </c>
      <c r="D271" s="640">
        <f>D270/(F270*H270)</f>
        <v>0.02</v>
      </c>
      <c r="E271" s="640"/>
      <c r="F271" s="562" t="s">
        <v>344</v>
      </c>
      <c r="G271" s="254"/>
      <c r="H271" s="254"/>
      <c r="I271" s="254"/>
      <c r="J271" s="516"/>
      <c r="K271" s="254"/>
      <c r="L271" s="560"/>
      <c r="M271" s="254"/>
      <c r="N271" s="257" t="s">
        <v>138</v>
      </c>
      <c r="O271" s="640">
        <f>O270/(Q270*S270)</f>
        <v>0.56186130000000001</v>
      </c>
      <c r="P271" s="640"/>
      <c r="Q271" s="562" t="s">
        <v>344</v>
      </c>
      <c r="R271" s="254"/>
      <c r="S271" s="254"/>
      <c r="T271" s="254"/>
      <c r="V271" s="197"/>
    </row>
    <row r="272" spans="1:29" ht="18" hidden="1" customHeight="1">
      <c r="A272" s="196"/>
      <c r="B272" s="47"/>
      <c r="C272" s="47"/>
      <c r="D272" s="47"/>
      <c r="E272" s="47"/>
      <c r="H272" s="27"/>
      <c r="I272" s="28"/>
      <c r="J272" s="211"/>
      <c r="L272" s="47"/>
      <c r="O272" s="27"/>
      <c r="P272" s="223"/>
      <c r="Q272" s="223"/>
      <c r="R272" s="204"/>
      <c r="V272" s="197"/>
    </row>
    <row r="273" spans="1:22" ht="18" hidden="1" customHeight="1">
      <c r="A273" s="196"/>
      <c r="B273" s="47" t="s">
        <v>874</v>
      </c>
      <c r="C273" s="47"/>
      <c r="D273" s="47"/>
      <c r="E273" s="47"/>
      <c r="H273" s="27"/>
      <c r="I273" s="28"/>
      <c r="J273" s="211"/>
      <c r="L273" s="28" t="s">
        <v>138</v>
      </c>
      <c r="M273" s="313">
        <f>D271</f>
        <v>0.02</v>
      </c>
      <c r="N273" s="257" t="s">
        <v>358</v>
      </c>
      <c r="O273" s="555">
        <f>O271</f>
        <v>0.56186130000000001</v>
      </c>
      <c r="P273" s="555" t="s">
        <v>138</v>
      </c>
      <c r="Q273" s="555">
        <f>M273+O273</f>
        <v>0.58186130000000003</v>
      </c>
      <c r="R273" s="204" t="s">
        <v>344</v>
      </c>
      <c r="V273" s="197"/>
    </row>
    <row r="274" spans="1:22" ht="18" hidden="1" customHeight="1">
      <c r="A274" s="284"/>
      <c r="V274" s="197"/>
    </row>
    <row r="275" spans="1:22" ht="18" hidden="1" customHeight="1">
      <c r="A275" s="116" t="s">
        <v>425</v>
      </c>
      <c r="B275" s="47"/>
      <c r="D275" s="47"/>
      <c r="E275" s="47"/>
      <c r="H275" s="27"/>
      <c r="I275" s="28"/>
      <c r="J275" s="211"/>
      <c r="L275" s="47"/>
      <c r="M275" s="313"/>
      <c r="N275" s="257"/>
      <c r="O275" s="555"/>
      <c r="P275" s="555"/>
      <c r="Q275" s="555"/>
      <c r="R275" s="204"/>
      <c r="V275" s="197"/>
    </row>
    <row r="276" spans="1:22" ht="18" hidden="1" customHeight="1">
      <c r="A276" s="284" t="s">
        <v>875</v>
      </c>
      <c r="V276" s="197"/>
    </row>
    <row r="277" spans="1:22" ht="18" hidden="1" customHeight="1">
      <c r="A277" s="196"/>
      <c r="B277" s="30" t="s">
        <v>484</v>
      </c>
      <c r="C277" s="27" t="s">
        <v>540</v>
      </c>
      <c r="D277" s="27" t="s">
        <v>876</v>
      </c>
      <c r="E277" s="27" t="s">
        <v>326</v>
      </c>
      <c r="F277" s="27" t="s">
        <v>522</v>
      </c>
      <c r="G277" s="27" t="s">
        <v>383</v>
      </c>
      <c r="H277" s="27" t="s">
        <v>431</v>
      </c>
      <c r="I277" s="27" t="s">
        <v>358</v>
      </c>
      <c r="J277" s="27" t="s">
        <v>877</v>
      </c>
      <c r="K277" s="30" t="s">
        <v>361</v>
      </c>
      <c r="U277" s="30" t="s">
        <v>878</v>
      </c>
      <c r="V277" s="197"/>
    </row>
    <row r="278" spans="1:22" ht="18" hidden="1" customHeight="1">
      <c r="A278" s="196"/>
      <c r="V278" s="197"/>
    </row>
    <row r="279" spans="1:22" ht="18" hidden="1" customHeight="1">
      <c r="A279" s="1002" t="s">
        <v>879</v>
      </c>
      <c r="B279" s="965"/>
      <c r="C279" s="965"/>
      <c r="D279" s="965"/>
      <c r="E279" s="965"/>
      <c r="F279" s="965"/>
      <c r="G279" s="965"/>
      <c r="H279" s="965"/>
      <c r="I279" s="965"/>
      <c r="J279" s="965"/>
      <c r="K279" s="965"/>
      <c r="L279" s="965"/>
      <c r="M279" s="965"/>
      <c r="N279" s="965"/>
      <c r="O279" s="965"/>
      <c r="P279" s="965"/>
      <c r="Q279" s="965"/>
      <c r="R279" s="965"/>
      <c r="S279" s="965"/>
      <c r="T279" s="965"/>
      <c r="U279" s="965"/>
      <c r="V279" s="966"/>
    </row>
    <row r="280" spans="1:22" ht="18" hidden="1" customHeight="1">
      <c r="A280" s="967"/>
      <c r="B280" s="965"/>
      <c r="C280" s="965"/>
      <c r="D280" s="965"/>
      <c r="E280" s="965"/>
      <c r="F280" s="965"/>
      <c r="G280" s="965"/>
      <c r="H280" s="965"/>
      <c r="I280" s="965"/>
      <c r="J280" s="965"/>
      <c r="K280" s="965"/>
      <c r="L280" s="965"/>
      <c r="M280" s="965"/>
      <c r="N280" s="965"/>
      <c r="O280" s="965"/>
      <c r="P280" s="965"/>
      <c r="Q280" s="965"/>
      <c r="R280" s="965"/>
      <c r="S280" s="965"/>
      <c r="T280" s="965"/>
      <c r="U280" s="965"/>
      <c r="V280" s="966"/>
    </row>
    <row r="281" spans="1:22" ht="18" hidden="1" customHeight="1">
      <c r="A281" s="925">
        <v>1</v>
      </c>
      <c r="B281" s="1176" t="s">
        <v>880</v>
      </c>
      <c r="C281" s="1176"/>
      <c r="D281" s="1176"/>
      <c r="E281" s="1176"/>
      <c r="F281" s="1176"/>
      <c r="G281" s="1176"/>
      <c r="H281" s="1176"/>
      <c r="I281" s="1176"/>
      <c r="J281" s="1176"/>
      <c r="K281" s="1176"/>
      <c r="L281" s="1176"/>
      <c r="M281" s="1176"/>
      <c r="N281" s="1176"/>
      <c r="O281" s="1176"/>
      <c r="P281" s="1176"/>
      <c r="Q281" s="1176"/>
      <c r="R281" s="1176"/>
      <c r="S281" s="1176"/>
      <c r="T281" s="1176"/>
      <c r="U281" s="1176"/>
      <c r="V281" s="1177"/>
    </row>
    <row r="282" spans="1:22" ht="18" hidden="1" customHeight="1">
      <c r="A282" s="925"/>
      <c r="B282" s="1176"/>
      <c r="C282" s="1176"/>
      <c r="D282" s="1176"/>
      <c r="E282" s="1176"/>
      <c r="F282" s="1176"/>
      <c r="G282" s="1176"/>
      <c r="H282" s="1176"/>
      <c r="I282" s="1176"/>
      <c r="J282" s="1176"/>
      <c r="K282" s="1176"/>
      <c r="L282" s="1176"/>
      <c r="M282" s="1176"/>
      <c r="N282" s="1176"/>
      <c r="O282" s="1176"/>
      <c r="P282" s="1176"/>
      <c r="Q282" s="1176"/>
      <c r="R282" s="1176"/>
      <c r="S282" s="1176"/>
      <c r="T282" s="1176"/>
      <c r="U282" s="1176"/>
      <c r="V282" s="1177"/>
    </row>
    <row r="283" spans="1:22" ht="18" hidden="1" customHeight="1">
      <c r="A283" s="96"/>
      <c r="B283" s="120" t="s">
        <v>881</v>
      </c>
      <c r="C283" s="120" t="s">
        <v>430</v>
      </c>
      <c r="D283" s="638" t="s">
        <v>882</v>
      </c>
      <c r="E283" s="985"/>
      <c r="F283" s="28" t="s">
        <v>326</v>
      </c>
      <c r="G283" s="28" t="s">
        <v>352</v>
      </c>
      <c r="H283" s="47" t="s">
        <v>361</v>
      </c>
      <c r="I283" s="166" t="s">
        <v>710</v>
      </c>
      <c r="J283" s="120" t="s">
        <v>430</v>
      </c>
      <c r="K283" s="233">
        <v>1000</v>
      </c>
      <c r="L283" s="28" t="s">
        <v>326</v>
      </c>
      <c r="M283" s="28" t="s">
        <v>522</v>
      </c>
      <c r="N283" s="47" t="s">
        <v>361</v>
      </c>
      <c r="O283" s="28"/>
      <c r="P283" s="28"/>
      <c r="Q283" s="28"/>
      <c r="R283" s="28"/>
      <c r="S283" s="28"/>
      <c r="T283" s="291"/>
      <c r="U283" s="14" t="s">
        <v>883</v>
      </c>
      <c r="V283" s="97"/>
    </row>
    <row r="284" spans="1:22" ht="18" hidden="1" customHeight="1">
      <c r="A284" s="311"/>
      <c r="B284" s="291"/>
      <c r="C284" s="14" t="s">
        <v>884</v>
      </c>
      <c r="D284" s="291"/>
      <c r="E284" s="291"/>
      <c r="F284" s="291"/>
      <c r="G284" s="291"/>
      <c r="H284" s="291"/>
      <c r="I284" s="291"/>
      <c r="J284" s="291"/>
      <c r="K284" s="291"/>
      <c r="L284" s="291"/>
      <c r="M284" s="28"/>
      <c r="N284" s="28"/>
      <c r="O284" s="28"/>
      <c r="P284" s="28"/>
      <c r="Q284" s="28"/>
      <c r="R284" s="28"/>
      <c r="S284" s="28"/>
      <c r="T284" s="14"/>
      <c r="U284" s="28"/>
      <c r="V284" s="97"/>
    </row>
    <row r="285" spans="1:22" ht="18" hidden="1" customHeight="1">
      <c r="A285" s="311"/>
      <c r="B285" s="291"/>
      <c r="C285" s="14"/>
      <c r="D285" s="28" t="s">
        <v>876</v>
      </c>
      <c r="E285" s="28" t="s">
        <v>540</v>
      </c>
      <c r="F285" s="28">
        <v>40</v>
      </c>
      <c r="G285" s="28" t="s">
        <v>358</v>
      </c>
      <c r="H285" s="233">
        <v>7.0000000000000007E-2</v>
      </c>
      <c r="I285" s="28" t="s">
        <v>683</v>
      </c>
      <c r="J285" s="638" t="s">
        <v>882</v>
      </c>
      <c r="K285" s="985"/>
      <c r="L285" s="28" t="s">
        <v>326</v>
      </c>
      <c r="M285" s="28" t="s">
        <v>352</v>
      </c>
      <c r="N285" s="47" t="s">
        <v>361</v>
      </c>
      <c r="O285" s="28"/>
      <c r="P285" s="28"/>
      <c r="Q285" s="28"/>
      <c r="R285" s="28"/>
      <c r="S285" s="28"/>
      <c r="T285" s="14"/>
      <c r="U285" s="28"/>
      <c r="V285" s="97"/>
    </row>
    <row r="286" spans="1:22" ht="18" hidden="1" customHeight="1">
      <c r="A286" s="337"/>
      <c r="B286" s="28"/>
      <c r="C286" s="28" t="s">
        <v>885</v>
      </c>
      <c r="D286" s="28" t="s">
        <v>876</v>
      </c>
      <c r="E286" s="28" t="s">
        <v>540</v>
      </c>
      <c r="F286" s="28">
        <v>65</v>
      </c>
      <c r="G286" s="14"/>
      <c r="H286" s="14"/>
      <c r="I286" s="120"/>
      <c r="J286" s="28"/>
      <c r="K286" s="28"/>
      <c r="L286" s="28"/>
      <c r="M286" s="28"/>
      <c r="N286" s="28"/>
      <c r="O286" s="28"/>
      <c r="P286" s="28"/>
      <c r="Q286" s="28"/>
      <c r="R286" s="28"/>
      <c r="S286" s="28"/>
      <c r="T286" s="14"/>
      <c r="U286" s="28"/>
      <c r="V286" s="97"/>
    </row>
    <row r="287" spans="1:22" ht="18" hidden="1" customHeight="1">
      <c r="A287" s="96"/>
      <c r="B287" s="28"/>
      <c r="C287" s="28"/>
      <c r="D287" s="14"/>
      <c r="E287" s="14"/>
      <c r="F287" s="14"/>
      <c r="G287" s="120"/>
      <c r="H287" s="28"/>
      <c r="I287" s="28"/>
      <c r="J287" s="28"/>
      <c r="K287" s="28"/>
      <c r="L287" s="28"/>
      <c r="M287" s="28"/>
      <c r="N287" s="28"/>
      <c r="O287" s="28"/>
      <c r="P287" s="28"/>
      <c r="Q287" s="28"/>
      <c r="R287" s="28"/>
      <c r="S287" s="28"/>
      <c r="T287" s="14"/>
      <c r="U287" s="28"/>
      <c r="V287" s="97"/>
    </row>
    <row r="288" spans="1:22" ht="18" hidden="1" customHeight="1">
      <c r="A288" s="96"/>
      <c r="B288" s="28"/>
      <c r="C288" s="28"/>
      <c r="D288" s="14"/>
      <c r="E288" s="14"/>
      <c r="F288" s="14"/>
      <c r="G288" s="120"/>
      <c r="H288" s="28"/>
      <c r="I288" s="28"/>
      <c r="J288" s="28"/>
      <c r="K288" s="28"/>
      <c r="L288" s="28"/>
      <c r="M288" s="28"/>
      <c r="N288" s="28"/>
      <c r="O288" s="28"/>
      <c r="P288" s="28"/>
      <c r="Q288" s="28"/>
      <c r="R288" s="28"/>
      <c r="S288" s="28"/>
      <c r="T288" s="14"/>
      <c r="U288" s="28"/>
      <c r="V288" s="97"/>
    </row>
    <row r="289" spans="1:22" ht="18" hidden="1" customHeight="1">
      <c r="A289" s="96"/>
      <c r="B289" s="28"/>
      <c r="C289" s="28"/>
      <c r="D289" s="14"/>
      <c r="E289" s="14"/>
      <c r="F289" s="14"/>
      <c r="G289" s="120"/>
      <c r="H289" s="28"/>
      <c r="I289" s="28"/>
      <c r="J289" s="28"/>
      <c r="K289" s="28"/>
      <c r="L289" s="28"/>
      <c r="M289" s="28"/>
      <c r="N289" s="28"/>
      <c r="O289" s="28"/>
      <c r="P289" s="28"/>
      <c r="Q289" s="28"/>
      <c r="R289" s="28"/>
      <c r="S289" s="28"/>
      <c r="T289" s="14"/>
      <c r="U289" s="28"/>
      <c r="V289" s="97"/>
    </row>
    <row r="290" spans="1:22" ht="18" hidden="1" customHeight="1">
      <c r="A290" s="96"/>
      <c r="B290" s="28"/>
      <c r="C290" s="28"/>
      <c r="D290" s="14"/>
      <c r="E290" s="14"/>
      <c r="F290" s="14"/>
      <c r="G290" s="120"/>
      <c r="H290" s="28"/>
      <c r="I290" s="28"/>
      <c r="J290" s="28"/>
      <c r="K290" s="28"/>
      <c r="L290" s="28"/>
      <c r="M290" s="28"/>
      <c r="N290" s="28"/>
      <c r="O290" s="28"/>
      <c r="P290" s="28"/>
      <c r="Q290" s="28"/>
      <c r="R290" s="28"/>
      <c r="S290" s="28"/>
      <c r="T290" s="14"/>
      <c r="U290" s="28"/>
      <c r="V290" s="97"/>
    </row>
    <row r="291" spans="1:22" ht="18" hidden="1" customHeight="1">
      <c r="A291" s="96"/>
      <c r="B291" s="28"/>
      <c r="C291" s="28"/>
      <c r="D291" s="14"/>
      <c r="E291" s="14"/>
      <c r="F291" s="14"/>
      <c r="G291" s="120"/>
      <c r="H291" s="28"/>
      <c r="I291" s="28"/>
      <c r="J291" s="28"/>
      <c r="K291" s="28"/>
      <c r="L291" s="28"/>
      <c r="M291" s="28"/>
      <c r="N291" s="28"/>
      <c r="O291" s="28"/>
      <c r="P291" s="28"/>
      <c r="Q291" s="28"/>
      <c r="R291" s="28"/>
      <c r="S291" s="28"/>
      <c r="T291" s="14"/>
      <c r="U291" s="28"/>
      <c r="V291" s="97"/>
    </row>
    <row r="292" spans="1:22" ht="18" hidden="1" customHeight="1">
      <c r="A292" s="96"/>
      <c r="B292" s="28"/>
      <c r="C292" s="28"/>
      <c r="D292" s="14"/>
      <c r="E292" s="14"/>
      <c r="F292" s="14"/>
      <c r="G292" s="120"/>
      <c r="H292" s="28"/>
      <c r="I292" s="28"/>
      <c r="J292" s="28"/>
      <c r="K292" s="28"/>
      <c r="L292" s="28"/>
      <c r="M292" s="28"/>
      <c r="N292" s="28"/>
      <c r="O292" s="28"/>
      <c r="P292" s="28"/>
      <c r="Q292" s="28"/>
      <c r="R292" s="28"/>
      <c r="S292" s="28"/>
      <c r="T292" s="14"/>
      <c r="U292" s="28"/>
      <c r="V292" s="97"/>
    </row>
    <row r="293" spans="1:22" s="14" customFormat="1" ht="18" hidden="1" customHeight="1">
      <c r="A293" s="206"/>
      <c r="B293" s="207"/>
      <c r="C293" s="207"/>
      <c r="D293" s="207"/>
      <c r="E293" s="207"/>
      <c r="F293" s="207"/>
      <c r="G293" s="207"/>
      <c r="H293" s="207"/>
      <c r="I293" s="207"/>
      <c r="J293" s="207"/>
      <c r="K293" s="207"/>
      <c r="L293" s="207"/>
      <c r="M293" s="207"/>
      <c r="N293" s="207"/>
      <c r="O293" s="207"/>
      <c r="P293" s="207"/>
      <c r="Q293" s="236"/>
      <c r="R293" s="194"/>
      <c r="S293" s="237"/>
      <c r="T293" s="207"/>
      <c r="U293" s="207"/>
      <c r="V293" s="140"/>
    </row>
    <row r="294" spans="1:22" ht="18" hidden="1" customHeight="1">
      <c r="A294" s="238"/>
      <c r="B294" s="239"/>
      <c r="C294" s="239"/>
      <c r="D294" s="239"/>
      <c r="E294" s="239"/>
      <c r="F294" s="239"/>
      <c r="G294" s="239"/>
      <c r="H294" s="239"/>
      <c r="I294" s="239"/>
      <c r="J294" s="239"/>
      <c r="K294" s="239"/>
      <c r="L294" s="239"/>
      <c r="M294" s="239"/>
      <c r="N294" s="239"/>
      <c r="O294" s="239"/>
      <c r="P294" s="239"/>
      <c r="Q294" s="239"/>
      <c r="R294" s="239"/>
      <c r="S294" s="239"/>
      <c r="T294" s="239"/>
      <c r="U294" s="239"/>
      <c r="V294" s="240"/>
    </row>
    <row r="295" spans="1:22" ht="18" hidden="1" customHeight="1">
      <c r="A295" s="337"/>
      <c r="B295" s="120" t="s">
        <v>881</v>
      </c>
      <c r="C295" s="120" t="s">
        <v>430</v>
      </c>
      <c r="D295" s="233">
        <v>1000</v>
      </c>
      <c r="E295" s="28" t="s">
        <v>326</v>
      </c>
      <c r="F295" s="28" t="s">
        <v>522</v>
      </c>
      <c r="G295" s="47" t="s">
        <v>361</v>
      </c>
      <c r="H295" s="28" t="s">
        <v>886</v>
      </c>
      <c r="I295" s="120" t="s">
        <v>430</v>
      </c>
      <c r="J295" s="638" t="s">
        <v>882</v>
      </c>
      <c r="K295" s="985"/>
      <c r="L295" s="28" t="s">
        <v>326</v>
      </c>
      <c r="M295" s="28" t="s">
        <v>352</v>
      </c>
      <c r="N295" s="47" t="s">
        <v>361</v>
      </c>
      <c r="O295" s="166" t="s">
        <v>710</v>
      </c>
      <c r="P295" s="120" t="s">
        <v>430</v>
      </c>
      <c r="Q295" s="233">
        <v>2600</v>
      </c>
      <c r="R295" s="28" t="s">
        <v>326</v>
      </c>
      <c r="S295" s="28" t="s">
        <v>522</v>
      </c>
      <c r="T295" s="47" t="s">
        <v>361</v>
      </c>
      <c r="U295" s="14" t="s">
        <v>598</v>
      </c>
      <c r="V295" s="97"/>
    </row>
    <row r="296" spans="1:22" ht="18" hidden="1" customHeight="1">
      <c r="A296" s="337"/>
      <c r="B296" s="28" t="s">
        <v>876</v>
      </c>
      <c r="C296" s="28" t="s">
        <v>138</v>
      </c>
      <c r="D296" s="28">
        <v>107</v>
      </c>
      <c r="E296" s="14"/>
      <c r="F296" s="14"/>
      <c r="G296" s="120"/>
      <c r="H296" s="28"/>
      <c r="I296" s="28"/>
      <c r="J296" s="28"/>
      <c r="K296" s="28"/>
      <c r="L296" s="28"/>
      <c r="M296" s="28"/>
      <c r="N296" s="28"/>
      <c r="O296" s="28"/>
      <c r="P296" s="28"/>
      <c r="Q296" s="28"/>
      <c r="R296" s="28"/>
      <c r="S296" s="28"/>
      <c r="T296" s="14"/>
      <c r="U296" s="28"/>
      <c r="V296" s="97"/>
    </row>
    <row r="297" spans="1:22" ht="18" hidden="1" customHeight="1">
      <c r="A297" s="196"/>
      <c r="V297" s="197"/>
    </row>
    <row r="298" spans="1:22" ht="18" hidden="1" customHeight="1">
      <c r="A298" s="925">
        <v>2</v>
      </c>
      <c r="B298" s="1176" t="s">
        <v>887</v>
      </c>
      <c r="C298" s="1176"/>
      <c r="D298" s="1176"/>
      <c r="E298" s="1176"/>
      <c r="F298" s="1176"/>
      <c r="G298" s="1176"/>
      <c r="H298" s="1176"/>
      <c r="I298" s="1176"/>
      <c r="J298" s="1176"/>
      <c r="K298" s="1176"/>
      <c r="L298" s="1176"/>
      <c r="M298" s="1176"/>
      <c r="N298" s="1176"/>
      <c r="O298" s="1176"/>
      <c r="P298" s="1176"/>
      <c r="Q298" s="1176"/>
      <c r="R298" s="1176"/>
      <c r="S298" s="1176"/>
      <c r="T298" s="1176"/>
      <c r="U298" s="1176"/>
      <c r="V298" s="1177"/>
    </row>
    <row r="299" spans="1:22" ht="18" hidden="1" customHeight="1">
      <c r="A299" s="925"/>
      <c r="B299" s="1176"/>
      <c r="C299" s="1176"/>
      <c r="D299" s="1176"/>
      <c r="E299" s="1176"/>
      <c r="F299" s="1176"/>
      <c r="G299" s="1176"/>
      <c r="H299" s="1176"/>
      <c r="I299" s="1176"/>
      <c r="J299" s="1176"/>
      <c r="K299" s="1176"/>
      <c r="L299" s="1176"/>
      <c r="M299" s="1176"/>
      <c r="N299" s="1176"/>
      <c r="O299" s="1176"/>
      <c r="P299" s="1176"/>
      <c r="Q299" s="1176"/>
      <c r="R299" s="1176"/>
      <c r="S299" s="1176"/>
      <c r="T299" s="1176"/>
      <c r="U299" s="1176"/>
      <c r="V299" s="1177"/>
    </row>
    <row r="300" spans="1:22" ht="18" hidden="1" customHeight="1">
      <c r="A300" s="284"/>
      <c r="B300" s="120" t="s">
        <v>881</v>
      </c>
      <c r="C300" s="120" t="s">
        <v>430</v>
      </c>
      <c r="D300" s="638" t="s">
        <v>882</v>
      </c>
      <c r="E300" s="985"/>
      <c r="F300" s="28" t="s">
        <v>326</v>
      </c>
      <c r="G300" s="28" t="s">
        <v>352</v>
      </c>
      <c r="H300" s="47" t="s">
        <v>361</v>
      </c>
      <c r="I300" s="166" t="s">
        <v>710</v>
      </c>
      <c r="J300" s="120" t="s">
        <v>430</v>
      </c>
      <c r="K300" s="233">
        <v>600</v>
      </c>
      <c r="L300" s="28" t="s">
        <v>326</v>
      </c>
      <c r="M300" s="28" t="s">
        <v>522</v>
      </c>
      <c r="N300" s="47" t="s">
        <v>361</v>
      </c>
      <c r="O300" s="28"/>
      <c r="P300" s="28"/>
      <c r="Q300" s="28"/>
      <c r="R300" s="28"/>
      <c r="S300" s="28"/>
      <c r="T300" s="291"/>
      <c r="U300" s="14" t="s">
        <v>888</v>
      </c>
      <c r="V300" s="97"/>
    </row>
    <row r="301" spans="1:22" ht="18" hidden="1" customHeight="1">
      <c r="A301" s="284"/>
      <c r="B301" s="291"/>
      <c r="C301" s="14" t="s">
        <v>884</v>
      </c>
      <c r="D301" s="291"/>
      <c r="E301" s="291"/>
      <c r="F301" s="291"/>
      <c r="G301" s="291"/>
      <c r="H301" s="291"/>
      <c r="I301" s="291"/>
      <c r="J301" s="291"/>
      <c r="K301" s="291"/>
      <c r="L301" s="291"/>
      <c r="M301" s="28"/>
      <c r="N301" s="28"/>
      <c r="O301" s="28"/>
      <c r="P301" s="28"/>
      <c r="Q301" s="28"/>
      <c r="R301" s="28"/>
      <c r="S301" s="28"/>
      <c r="T301" s="14"/>
      <c r="U301" s="28"/>
      <c r="V301" s="97"/>
    </row>
    <row r="302" spans="1:22" ht="18" hidden="1" customHeight="1">
      <c r="A302" s="284"/>
      <c r="B302" s="291"/>
      <c r="C302" s="14"/>
      <c r="D302" s="28" t="s">
        <v>876</v>
      </c>
      <c r="E302" s="28" t="s">
        <v>540</v>
      </c>
      <c r="F302" s="28">
        <v>40</v>
      </c>
      <c r="G302" s="28" t="s">
        <v>358</v>
      </c>
      <c r="H302" s="233">
        <v>0.35</v>
      </c>
      <c r="I302" s="28" t="s">
        <v>683</v>
      </c>
      <c r="J302" s="638" t="s">
        <v>882</v>
      </c>
      <c r="K302" s="985"/>
      <c r="L302" s="28" t="s">
        <v>326</v>
      </c>
      <c r="M302" s="28" t="s">
        <v>352</v>
      </c>
      <c r="N302" s="47" t="s">
        <v>361</v>
      </c>
      <c r="O302" s="28"/>
      <c r="P302" s="28"/>
      <c r="Q302" s="28"/>
      <c r="R302" s="28"/>
      <c r="S302" s="28"/>
      <c r="T302" s="14"/>
      <c r="U302" s="28"/>
      <c r="V302" s="97"/>
    </row>
    <row r="303" spans="1:22" ht="18" hidden="1" customHeight="1">
      <c r="A303" s="284"/>
      <c r="B303" s="28"/>
      <c r="C303" s="28" t="s">
        <v>885</v>
      </c>
      <c r="D303" s="28" t="s">
        <v>876</v>
      </c>
      <c r="E303" s="28" t="s">
        <v>540</v>
      </c>
      <c r="F303" s="28">
        <v>65</v>
      </c>
      <c r="G303" s="14"/>
      <c r="H303" s="14"/>
      <c r="I303" s="120"/>
      <c r="J303" s="28"/>
      <c r="K303" s="28"/>
      <c r="L303" s="28"/>
      <c r="M303" s="28"/>
      <c r="N303" s="28"/>
      <c r="O303" s="28"/>
      <c r="P303" s="28"/>
      <c r="Q303" s="28"/>
      <c r="R303" s="28"/>
      <c r="S303" s="28"/>
      <c r="T303" s="14"/>
      <c r="U303" s="28"/>
      <c r="V303" s="97"/>
    </row>
    <row r="304" spans="1:22" ht="18" hidden="1" customHeight="1">
      <c r="A304" s="96"/>
      <c r="B304" s="14"/>
      <c r="C304" s="14"/>
      <c r="D304" s="247"/>
      <c r="E304" s="14"/>
      <c r="F304" s="28"/>
      <c r="G304" s="261"/>
      <c r="H304" s="28"/>
      <c r="I304" s="263"/>
      <c r="J304" s="14"/>
      <c r="K304" s="292"/>
      <c r="M304" s="47"/>
      <c r="N304" s="280"/>
      <c r="P304" s="293"/>
      <c r="R304" s="246"/>
      <c r="S304" s="564"/>
      <c r="T304" s="564"/>
      <c r="V304" s="197"/>
    </row>
    <row r="305" spans="1:22" ht="18" hidden="1" customHeight="1">
      <c r="A305" s="96"/>
      <c r="B305" s="120" t="s">
        <v>881</v>
      </c>
      <c r="C305" s="120" t="s">
        <v>430</v>
      </c>
      <c r="D305" s="233">
        <v>600</v>
      </c>
      <c r="E305" s="28" t="s">
        <v>326</v>
      </c>
      <c r="F305" s="28" t="s">
        <v>522</v>
      </c>
      <c r="G305" s="47" t="s">
        <v>361</v>
      </c>
      <c r="H305" s="28" t="s">
        <v>886</v>
      </c>
      <c r="I305" s="120" t="s">
        <v>430</v>
      </c>
      <c r="J305" s="638" t="s">
        <v>882</v>
      </c>
      <c r="K305" s="985"/>
      <c r="L305" s="28" t="s">
        <v>326</v>
      </c>
      <c r="M305" s="28" t="s">
        <v>352</v>
      </c>
      <c r="N305" s="47" t="s">
        <v>361</v>
      </c>
      <c r="O305" s="166" t="s">
        <v>710</v>
      </c>
      <c r="P305" s="120" t="s">
        <v>430</v>
      </c>
      <c r="Q305" s="233">
        <v>1600</v>
      </c>
      <c r="R305" s="28" t="s">
        <v>326</v>
      </c>
      <c r="S305" s="28" t="s">
        <v>522</v>
      </c>
      <c r="T305" s="47" t="s">
        <v>361</v>
      </c>
      <c r="U305" s="14" t="s">
        <v>889</v>
      </c>
      <c r="V305" s="97"/>
    </row>
    <row r="306" spans="1:22" ht="18" hidden="1" customHeight="1">
      <c r="A306" s="284"/>
      <c r="B306" s="28" t="s">
        <v>876</v>
      </c>
      <c r="C306" s="28" t="s">
        <v>138</v>
      </c>
      <c r="D306" s="28">
        <v>256</v>
      </c>
      <c r="E306" s="14"/>
      <c r="F306" s="14"/>
      <c r="G306" s="120"/>
      <c r="H306" s="28"/>
      <c r="I306" s="28"/>
      <c r="J306" s="28"/>
      <c r="K306" s="28"/>
      <c r="L306" s="28"/>
      <c r="M306" s="28"/>
      <c r="N306" s="28"/>
      <c r="O306" s="28"/>
      <c r="P306" s="28"/>
      <c r="Q306" s="28"/>
      <c r="R306" s="28"/>
      <c r="S306" s="28"/>
      <c r="T306" s="14"/>
      <c r="U306" s="28"/>
      <c r="V306" s="97"/>
    </row>
    <row r="307" spans="1:22" ht="18" hidden="1" customHeight="1">
      <c r="A307" s="284"/>
      <c r="U307" s="14"/>
      <c r="V307" s="97"/>
    </row>
    <row r="308" spans="1:22" ht="18" hidden="1" customHeight="1">
      <c r="A308" s="557"/>
      <c r="B308" s="30" t="s">
        <v>890</v>
      </c>
      <c r="Q308" s="14" t="s">
        <v>628</v>
      </c>
      <c r="S308" s="246" t="s">
        <v>138</v>
      </c>
      <c r="T308" s="639">
        <f>T179</f>
        <v>55677</v>
      </c>
      <c r="U308" s="639"/>
      <c r="V308" s="197" t="s">
        <v>9</v>
      </c>
    </row>
    <row r="309" spans="1:22" ht="18" hidden="1" customHeight="1">
      <c r="A309" s="557"/>
      <c r="B309" s="47" t="s">
        <v>665</v>
      </c>
      <c r="C309" s="14"/>
      <c r="D309" s="14"/>
      <c r="E309" s="14"/>
      <c r="F309" s="14"/>
      <c r="G309" s="18"/>
      <c r="H309" s="18"/>
      <c r="I309" s="14"/>
      <c r="J309" s="120"/>
      <c r="K309" s="14"/>
      <c r="L309" s="14"/>
      <c r="N309" s="14"/>
      <c r="O309" s="14"/>
      <c r="Q309" s="14" t="s">
        <v>434</v>
      </c>
      <c r="S309" s="246" t="s">
        <v>138</v>
      </c>
      <c r="T309" s="639" t="str">
        <f>L254</f>
        <v>-</v>
      </c>
      <c r="U309" s="639"/>
      <c r="V309" s="197" t="s">
        <v>9</v>
      </c>
    </row>
    <row r="310" spans="1:22" ht="18" hidden="1" customHeight="1">
      <c r="A310" s="96"/>
      <c r="B310" s="47" t="s">
        <v>891</v>
      </c>
      <c r="C310" s="14"/>
      <c r="D310" s="14"/>
      <c r="E310" s="14"/>
      <c r="F310" s="14"/>
      <c r="G310" s="18"/>
      <c r="H310" s="18"/>
      <c r="I310" s="14"/>
      <c r="J310" s="120"/>
      <c r="K310" s="14"/>
      <c r="L310" s="14"/>
      <c r="N310" s="14"/>
      <c r="O310" s="14"/>
      <c r="Q310" s="14" t="s">
        <v>882</v>
      </c>
      <c r="S310" s="246" t="s">
        <v>138</v>
      </c>
      <c r="T310" s="637" t="e">
        <f>T308/T309</f>
        <v>#VALUE!</v>
      </c>
      <c r="U310" s="637"/>
      <c r="V310" s="197" t="s">
        <v>9</v>
      </c>
    </row>
    <row r="311" spans="1:22" ht="18" hidden="1" customHeight="1">
      <c r="A311" s="96"/>
      <c r="B311" s="47" t="s">
        <v>666</v>
      </c>
      <c r="C311" s="14"/>
      <c r="D311" s="14"/>
      <c r="E311" s="14"/>
      <c r="F311" s="14"/>
      <c r="G311" s="18"/>
      <c r="H311" s="18"/>
      <c r="I311" s="14"/>
      <c r="J311" s="120"/>
      <c r="K311" s="14"/>
      <c r="L311" s="14"/>
      <c r="N311" s="14"/>
      <c r="O311" s="14"/>
      <c r="Q311" s="14" t="s">
        <v>431</v>
      </c>
      <c r="S311" s="246" t="s">
        <v>138</v>
      </c>
      <c r="T311" s="639" t="str">
        <f>L256</f>
        <v>-</v>
      </c>
      <c r="U311" s="639"/>
      <c r="V311" s="565" t="s">
        <v>344</v>
      </c>
    </row>
    <row r="312" spans="1:22" ht="18" hidden="1" customHeight="1">
      <c r="A312" s="96"/>
      <c r="B312" s="47" t="s">
        <v>687</v>
      </c>
      <c r="C312" s="14"/>
      <c r="D312" s="14"/>
      <c r="E312" s="14"/>
      <c r="F312" s="14"/>
      <c r="G312" s="18"/>
      <c r="H312" s="18"/>
      <c r="I312" s="14"/>
      <c r="J312" s="120"/>
      <c r="K312" s="14"/>
      <c r="L312" s="14"/>
      <c r="N312" s="14"/>
      <c r="O312" s="14"/>
      <c r="Q312" s="14" t="s">
        <v>877</v>
      </c>
      <c r="S312" s="246" t="s">
        <v>138</v>
      </c>
      <c r="T312" s="637">
        <f>Q273</f>
        <v>0.58186130000000003</v>
      </c>
      <c r="U312" s="637"/>
      <c r="V312" s="565" t="s">
        <v>344</v>
      </c>
    </row>
    <row r="313" spans="1:22" ht="18" hidden="1" customHeight="1">
      <c r="A313" s="96"/>
      <c r="B313" s="47" t="s">
        <v>702</v>
      </c>
      <c r="C313" s="14"/>
      <c r="D313" s="14"/>
      <c r="E313" s="14"/>
      <c r="F313" s="14"/>
      <c r="G313" s="14"/>
      <c r="H313" s="14"/>
      <c r="I313" s="14"/>
      <c r="J313" s="120"/>
      <c r="K313" s="14"/>
      <c r="L313" s="14"/>
      <c r="N313" s="14"/>
      <c r="O313" s="14"/>
      <c r="Q313" s="14" t="s">
        <v>522</v>
      </c>
      <c r="S313" s="246" t="s">
        <v>138</v>
      </c>
      <c r="T313" s="639">
        <f>O254</f>
        <v>1</v>
      </c>
      <c r="U313" s="639"/>
      <c r="V313" s="197" t="s">
        <v>9</v>
      </c>
    </row>
    <row r="314" spans="1:22" ht="18" hidden="1" customHeight="1">
      <c r="A314" s="96"/>
      <c r="B314" s="14" t="s">
        <v>892</v>
      </c>
      <c r="C314" s="14"/>
      <c r="D314" s="14"/>
      <c r="E314" s="247"/>
      <c r="F314" s="14"/>
      <c r="G314" s="28"/>
      <c r="H314" s="261"/>
      <c r="I314" s="28"/>
      <c r="J314" s="263"/>
      <c r="K314" s="14"/>
      <c r="L314" s="292"/>
      <c r="N314" s="47"/>
      <c r="O314" s="280"/>
      <c r="Q314" s="293" t="s">
        <v>352</v>
      </c>
      <c r="S314" s="246" t="s">
        <v>138</v>
      </c>
      <c r="T314" s="705">
        <f>T185</f>
        <v>23.6</v>
      </c>
      <c r="U314" s="707"/>
      <c r="V314" s="197"/>
    </row>
    <row r="315" spans="1:22" ht="18" hidden="1" customHeight="1">
      <c r="A315" s="337"/>
      <c r="B315" s="14" t="s">
        <v>893</v>
      </c>
      <c r="F315" s="14"/>
      <c r="G315" s="166"/>
      <c r="H315" s="102"/>
      <c r="I315" s="28"/>
      <c r="J315" s="27"/>
      <c r="K315" s="14"/>
      <c r="O315" s="47"/>
      <c r="P315" s="14"/>
      <c r="Q315" s="14"/>
      <c r="R315" s="14"/>
      <c r="S315" s="120"/>
      <c r="T315" s="705">
        <f>T186</f>
        <v>100</v>
      </c>
      <c r="U315" s="707"/>
      <c r="V315" s="97" t="s">
        <v>615</v>
      </c>
    </row>
    <row r="316" spans="1:22" ht="18" hidden="1" customHeight="1">
      <c r="A316" s="96"/>
      <c r="B316" s="14"/>
      <c r="Q316" s="14"/>
      <c r="R316" s="14"/>
      <c r="S316" s="120"/>
      <c r="T316" s="18"/>
      <c r="U316" s="18"/>
      <c r="V316" s="97"/>
    </row>
    <row r="317" spans="1:22" ht="18" hidden="1" customHeight="1">
      <c r="A317" s="196"/>
      <c r="B317" s="566" t="s">
        <v>894</v>
      </c>
      <c r="C317" s="566"/>
      <c r="D317" s="259"/>
      <c r="E317" s="259"/>
      <c r="F317" s="472" t="str">
        <f>IF(T315=150,"1 &amp; 2","3 &amp; 4")</f>
        <v>3 &amp; 4</v>
      </c>
      <c r="G317" s="567"/>
      <c r="V317" s="197"/>
    </row>
    <row r="318" spans="1:22" ht="18" hidden="1" customHeight="1">
      <c r="A318" s="557" t="s">
        <v>430</v>
      </c>
      <c r="B318" s="638" t="s">
        <v>882</v>
      </c>
      <c r="C318" s="638"/>
      <c r="D318" s="28" t="s">
        <v>326</v>
      </c>
      <c r="E318" s="28" t="s">
        <v>352</v>
      </c>
      <c r="F318" s="47" t="s">
        <v>361</v>
      </c>
      <c r="G318" s="166" t="s">
        <v>710</v>
      </c>
      <c r="H318" s="120" t="s">
        <v>430</v>
      </c>
      <c r="I318" s="233" t="str">
        <f>IF(T315=150,"1000","600")</f>
        <v>600</v>
      </c>
      <c r="J318" s="28" t="s">
        <v>326</v>
      </c>
      <c r="K318" s="28" t="s">
        <v>522</v>
      </c>
      <c r="L318" s="47" t="s">
        <v>361</v>
      </c>
      <c r="M318" s="14"/>
      <c r="N318" s="14"/>
      <c r="U318" s="14" t="str">
        <f>IF(T315=150,"...cond.1","…cond.3")</f>
        <v>…cond.3</v>
      </c>
      <c r="V318" s="197"/>
    </row>
    <row r="319" spans="1:22" ht="18" hidden="1" customHeight="1">
      <c r="A319" s="557" t="s">
        <v>430</v>
      </c>
      <c r="B319" s="641" t="e">
        <f>T310</f>
        <v>#VALUE!</v>
      </c>
      <c r="C319" s="641"/>
      <c r="D319" s="28" t="s">
        <v>326</v>
      </c>
      <c r="E319" s="28">
        <f>T314</f>
        <v>23.6</v>
      </c>
      <c r="F319" s="47" t="s">
        <v>361</v>
      </c>
      <c r="G319" s="166" t="s">
        <v>710</v>
      </c>
      <c r="H319" s="120" t="s">
        <v>430</v>
      </c>
      <c r="I319" s="233" t="str">
        <f>I318</f>
        <v>600</v>
      </c>
      <c r="J319" s="28" t="s">
        <v>326</v>
      </c>
      <c r="K319" s="28">
        <f>T313</f>
        <v>1</v>
      </c>
      <c r="L319" s="47" t="s">
        <v>361</v>
      </c>
      <c r="M319" s="14"/>
      <c r="N319" s="14"/>
      <c r="U319" s="14"/>
      <c r="V319" s="97"/>
    </row>
    <row r="320" spans="1:22" ht="18" hidden="1" customHeight="1">
      <c r="A320" s="96"/>
      <c r="B320" s="14"/>
      <c r="C320" s="14"/>
      <c r="D320" s="638" t="e">
        <f>B319*E319</f>
        <v>#VALUE!</v>
      </c>
      <c r="E320" s="985"/>
      <c r="F320" s="14"/>
      <c r="G320" s="166" t="s">
        <v>710</v>
      </c>
      <c r="H320" s="102"/>
      <c r="I320" s="638">
        <f>I319*K319</f>
        <v>600</v>
      </c>
      <c r="J320" s="639"/>
      <c r="K320" s="14"/>
      <c r="O320" s="47"/>
      <c r="P320" s="14"/>
      <c r="Q320" s="14"/>
      <c r="R320" s="14"/>
      <c r="S320" s="120" t="s">
        <v>895</v>
      </c>
      <c r="T320" s="1173" t="e">
        <f>IF(D320&lt;=I320,TRUE,FALSE)</f>
        <v>#VALUE!</v>
      </c>
      <c r="U320" s="1173"/>
      <c r="V320" s="97"/>
    </row>
    <row r="321" spans="1:22" ht="18" hidden="1" customHeight="1">
      <c r="A321" s="196"/>
      <c r="B321" s="28" t="s">
        <v>628</v>
      </c>
      <c r="C321" s="30" t="str">
        <f>IF(T315=150,"…cond.1","…cond.3")</f>
        <v>…cond.3</v>
      </c>
      <c r="E321" s="14" t="s">
        <v>896</v>
      </c>
      <c r="V321" s="197"/>
    </row>
    <row r="322" spans="1:22" ht="18" hidden="1" customHeight="1">
      <c r="A322" s="196"/>
      <c r="V322" s="97"/>
    </row>
    <row r="323" spans="1:22" ht="18" hidden="1" customHeight="1">
      <c r="A323" s="196"/>
      <c r="B323" s="14"/>
      <c r="C323" s="28" t="s">
        <v>876</v>
      </c>
      <c r="D323" s="28" t="s">
        <v>540</v>
      </c>
      <c r="E323" s="28">
        <v>40</v>
      </c>
      <c r="F323" s="28" t="s">
        <v>358</v>
      </c>
      <c r="G323" s="233" t="str">
        <f>IF(T315=150,"0.07","0.35")</f>
        <v>0.35</v>
      </c>
      <c r="H323" s="28" t="s">
        <v>683</v>
      </c>
      <c r="I323" s="638" t="s">
        <v>882</v>
      </c>
      <c r="J323" s="985"/>
      <c r="K323" s="28" t="s">
        <v>326</v>
      </c>
      <c r="L323" s="28" t="s">
        <v>352</v>
      </c>
      <c r="M323" s="47" t="s">
        <v>361</v>
      </c>
      <c r="N323" s="196"/>
      <c r="O323" s="47" t="s">
        <v>897</v>
      </c>
      <c r="P323" s="27"/>
      <c r="Q323" s="28" t="s">
        <v>138</v>
      </c>
      <c r="R323" s="637" t="e">
        <f>MAX(E325,E326)</f>
        <v>#VALUE!</v>
      </c>
      <c r="S323" s="639"/>
      <c r="V323" s="197"/>
    </row>
    <row r="324" spans="1:22" ht="18" hidden="1" customHeight="1">
      <c r="A324" s="196"/>
      <c r="B324" s="14"/>
      <c r="C324" s="28"/>
      <c r="D324" s="28" t="s">
        <v>540</v>
      </c>
      <c r="E324" s="28">
        <v>40</v>
      </c>
      <c r="F324" s="28" t="s">
        <v>358</v>
      </c>
      <c r="G324" s="233" t="str">
        <f>IF(T315=150,"0.07","0.35")</f>
        <v>0.35</v>
      </c>
      <c r="H324" s="28" t="s">
        <v>683</v>
      </c>
      <c r="I324" s="641" t="e">
        <f>T310</f>
        <v>#VALUE!</v>
      </c>
      <c r="J324" s="985"/>
      <c r="K324" s="28" t="s">
        <v>326</v>
      </c>
      <c r="L324" s="28">
        <f>T314</f>
        <v>23.6</v>
      </c>
      <c r="M324" s="47" t="s">
        <v>361</v>
      </c>
      <c r="N324" s="196"/>
      <c r="V324" s="197"/>
    </row>
    <row r="325" spans="1:22" ht="18" hidden="1" customHeight="1">
      <c r="A325" s="196"/>
      <c r="B325" s="14"/>
      <c r="C325" s="28"/>
      <c r="D325" s="28" t="s">
        <v>540</v>
      </c>
      <c r="E325" s="641" t="e">
        <f>E324+(G324*(I324*L324))</f>
        <v>#VALUE!</v>
      </c>
      <c r="F325" s="641"/>
      <c r="G325" s="233"/>
      <c r="H325" s="28"/>
      <c r="I325" s="230"/>
      <c r="K325" s="28"/>
      <c r="L325" s="28"/>
      <c r="M325" s="47"/>
      <c r="N325" s="196"/>
      <c r="V325" s="197"/>
    </row>
    <row r="326" spans="1:22" ht="18" hidden="1" customHeight="1">
      <c r="A326" s="96"/>
      <c r="B326" s="28" t="s">
        <v>885</v>
      </c>
      <c r="C326" s="28" t="s">
        <v>876</v>
      </c>
      <c r="D326" s="28" t="s">
        <v>138</v>
      </c>
      <c r="E326" s="28">
        <v>65</v>
      </c>
      <c r="G326" s="14"/>
      <c r="H326" s="166"/>
      <c r="I326" s="102"/>
      <c r="J326" s="28"/>
      <c r="K326" s="27"/>
      <c r="L326" s="14"/>
      <c r="N326" s="96"/>
      <c r="O326" s="14"/>
      <c r="Q326" s="14"/>
      <c r="R326" s="14"/>
      <c r="S326" s="14"/>
      <c r="T326" s="14"/>
      <c r="U326" s="14"/>
      <c r="V326" s="97"/>
    </row>
    <row r="327" spans="1:22" ht="18" hidden="1" customHeight="1">
      <c r="A327" s="96"/>
      <c r="B327" s="14"/>
      <c r="F327" s="28"/>
      <c r="I327" s="120"/>
      <c r="J327" s="233"/>
      <c r="K327" s="28"/>
      <c r="L327" s="28"/>
      <c r="M327" s="47"/>
      <c r="N327" s="14"/>
      <c r="O327" s="14"/>
      <c r="Q327" s="14"/>
      <c r="R327" s="14"/>
      <c r="S327" s="14"/>
      <c r="T327" s="14"/>
      <c r="U327" s="14"/>
      <c r="V327" s="97"/>
    </row>
    <row r="328" spans="1:22" ht="18" hidden="1" customHeight="1">
      <c r="A328" s="557" t="s">
        <v>430</v>
      </c>
      <c r="B328" s="233" t="str">
        <f>IF(T315=150,"1000","600")</f>
        <v>600</v>
      </c>
      <c r="C328" s="28" t="s">
        <v>326</v>
      </c>
      <c r="D328" s="28" t="s">
        <v>522</v>
      </c>
      <c r="E328" s="47" t="s">
        <v>361</v>
      </c>
      <c r="F328" s="28" t="s">
        <v>886</v>
      </c>
      <c r="G328" s="120" t="s">
        <v>430</v>
      </c>
      <c r="H328" s="638" t="s">
        <v>882</v>
      </c>
      <c r="I328" s="985"/>
      <c r="J328" s="28" t="s">
        <v>326</v>
      </c>
      <c r="K328" s="28" t="s">
        <v>352</v>
      </c>
      <c r="L328" s="47" t="s">
        <v>361</v>
      </c>
      <c r="M328" s="166" t="s">
        <v>710</v>
      </c>
      <c r="N328" s="120" t="s">
        <v>430</v>
      </c>
      <c r="O328" s="233" t="str">
        <f>IF(T315=150,"2600","1600")</f>
        <v>1600</v>
      </c>
      <c r="P328" s="28" t="s">
        <v>326</v>
      </c>
      <c r="Q328" s="28" t="s">
        <v>522</v>
      </c>
      <c r="R328" s="47" t="s">
        <v>361</v>
      </c>
      <c r="S328" s="14"/>
      <c r="T328" s="14"/>
      <c r="U328" s="14" t="str">
        <f>IF(T315=150,"...cond.2","…cond.4")</f>
        <v>…cond.4</v>
      </c>
      <c r="V328" s="97"/>
    </row>
    <row r="329" spans="1:22" ht="18" hidden="1" customHeight="1">
      <c r="A329" s="557" t="s">
        <v>430</v>
      </c>
      <c r="B329" s="233" t="str">
        <f>B328</f>
        <v>600</v>
      </c>
      <c r="C329" s="28" t="s">
        <v>326</v>
      </c>
      <c r="D329" s="28">
        <f>T313</f>
        <v>1</v>
      </c>
      <c r="E329" s="47" t="s">
        <v>361</v>
      </c>
      <c r="F329" s="28" t="s">
        <v>886</v>
      </c>
      <c r="G329" s="120" t="s">
        <v>430</v>
      </c>
      <c r="H329" s="641" t="e">
        <f>T310</f>
        <v>#VALUE!</v>
      </c>
      <c r="I329" s="985"/>
      <c r="J329" s="28" t="s">
        <v>326</v>
      </c>
      <c r="K329" s="28">
        <f>T314</f>
        <v>23.6</v>
      </c>
      <c r="L329" s="47" t="s">
        <v>361</v>
      </c>
      <c r="M329" s="166" t="s">
        <v>710</v>
      </c>
      <c r="N329" s="120" t="s">
        <v>430</v>
      </c>
      <c r="O329" s="233" t="str">
        <f>O328</f>
        <v>1600</v>
      </c>
      <c r="P329" s="28" t="s">
        <v>326</v>
      </c>
      <c r="Q329" s="28">
        <f>T313</f>
        <v>1</v>
      </c>
      <c r="R329" s="47" t="s">
        <v>361</v>
      </c>
      <c r="S329" s="14"/>
      <c r="T329" s="14"/>
      <c r="U329" s="14"/>
      <c r="V329" s="97"/>
    </row>
    <row r="330" spans="1:22" ht="18" hidden="1" customHeight="1">
      <c r="A330" s="557"/>
      <c r="B330" s="261"/>
      <c r="C330" s="1172">
        <f>B329*D329</f>
        <v>600</v>
      </c>
      <c r="D330" s="1172"/>
      <c r="E330" s="261"/>
      <c r="F330" s="28" t="s">
        <v>886</v>
      </c>
      <c r="G330" s="14"/>
      <c r="H330" s="14"/>
      <c r="I330" s="920" t="e">
        <f>H329*K329</f>
        <v>#VALUE!</v>
      </c>
      <c r="J330" s="920"/>
      <c r="K330" s="14"/>
      <c r="L330" s="14"/>
      <c r="M330" s="166" t="s">
        <v>710</v>
      </c>
      <c r="N330" s="102"/>
      <c r="O330" s="987">
        <f>O329*Q329</f>
        <v>1600</v>
      </c>
      <c r="P330" s="985"/>
      <c r="Q330" s="14"/>
      <c r="R330" s="14"/>
      <c r="S330" s="120" t="s">
        <v>895</v>
      </c>
      <c r="T330" s="1173" t="e">
        <f>IF(AND(C330&lt;I330,I330&lt;=O330)=TRUE,TRUE,FALSE)</f>
        <v>#VALUE!</v>
      </c>
      <c r="U330" s="1173"/>
      <c r="V330" s="97"/>
    </row>
    <row r="331" spans="1:22" ht="18" hidden="1" customHeight="1">
      <c r="A331" s="96"/>
      <c r="B331" s="14"/>
      <c r="E331" s="256"/>
      <c r="G331" s="18"/>
      <c r="L331" s="14"/>
      <c r="M331" s="14"/>
      <c r="N331" s="14"/>
      <c r="O331" s="14"/>
      <c r="P331" s="14"/>
      <c r="Q331" s="14"/>
      <c r="R331" s="14"/>
      <c r="S331" s="14"/>
      <c r="T331" s="14"/>
      <c r="U331" s="14"/>
      <c r="V331" s="97"/>
    </row>
    <row r="332" spans="1:22" ht="18" hidden="1" customHeight="1">
      <c r="A332" s="96"/>
      <c r="B332" s="14"/>
      <c r="E332" s="256"/>
      <c r="G332" s="18"/>
      <c r="L332" s="14"/>
      <c r="M332" s="14"/>
      <c r="N332" s="14"/>
      <c r="O332" s="14"/>
      <c r="P332" s="14"/>
      <c r="Q332" s="14"/>
      <c r="R332" s="14"/>
      <c r="S332" s="14"/>
      <c r="T332" s="14"/>
      <c r="U332" s="14"/>
      <c r="V332" s="97"/>
    </row>
    <row r="333" spans="1:22" ht="18" hidden="1" customHeight="1">
      <c r="A333" s="96"/>
      <c r="B333" s="14"/>
      <c r="E333" s="256"/>
      <c r="G333" s="18"/>
      <c r="L333" s="14"/>
      <c r="M333" s="14"/>
      <c r="N333" s="14"/>
      <c r="O333" s="14"/>
      <c r="P333" s="14"/>
      <c r="Q333" s="14"/>
      <c r="R333" s="14"/>
      <c r="S333" s="14"/>
      <c r="T333" s="14"/>
      <c r="U333" s="14"/>
      <c r="V333" s="97"/>
    </row>
    <row r="334" spans="1:22" ht="18" hidden="1" customHeight="1">
      <c r="A334" s="96"/>
      <c r="B334" s="14"/>
      <c r="E334" s="256"/>
      <c r="G334" s="18"/>
      <c r="L334" s="14"/>
      <c r="M334" s="14"/>
      <c r="N334" s="14"/>
      <c r="O334" s="14"/>
      <c r="P334" s="14"/>
      <c r="Q334" s="14"/>
      <c r="R334" s="14"/>
      <c r="S334" s="14"/>
      <c r="T334" s="14"/>
      <c r="U334" s="14"/>
      <c r="V334" s="97"/>
    </row>
    <row r="335" spans="1:22" ht="18" hidden="1" customHeight="1">
      <c r="A335" s="96"/>
      <c r="B335" s="14"/>
      <c r="E335" s="256"/>
      <c r="G335" s="18"/>
      <c r="L335" s="14"/>
      <c r="M335" s="14"/>
      <c r="N335" s="14"/>
      <c r="O335" s="14"/>
      <c r="P335" s="14"/>
      <c r="Q335" s="14"/>
      <c r="R335" s="14"/>
      <c r="S335" s="14"/>
      <c r="T335" s="14"/>
      <c r="U335" s="14"/>
      <c r="V335" s="97"/>
    </row>
    <row r="336" spans="1:22" ht="18" hidden="1" customHeight="1">
      <c r="A336" s="96"/>
      <c r="B336" s="14"/>
      <c r="E336" s="256"/>
      <c r="G336" s="18"/>
      <c r="L336" s="14"/>
      <c r="M336" s="14"/>
      <c r="N336" s="14"/>
      <c r="O336" s="14"/>
      <c r="P336" s="14"/>
      <c r="Q336" s="14"/>
      <c r="R336" s="14"/>
      <c r="S336" s="14"/>
      <c r="T336" s="14"/>
      <c r="U336" s="14"/>
      <c r="V336" s="97"/>
    </row>
    <row r="337" spans="1:22" s="14" customFormat="1" ht="18" hidden="1" customHeight="1">
      <c r="A337" s="206"/>
      <c r="B337" s="207"/>
      <c r="C337" s="207"/>
      <c r="D337" s="207"/>
      <c r="E337" s="207"/>
      <c r="F337" s="207"/>
      <c r="G337" s="207"/>
      <c r="H337" s="207"/>
      <c r="I337" s="207"/>
      <c r="J337" s="207"/>
      <c r="K337" s="207"/>
      <c r="L337" s="207"/>
      <c r="M337" s="207"/>
      <c r="N337" s="207"/>
      <c r="O337" s="207"/>
      <c r="P337" s="207"/>
      <c r="Q337" s="236"/>
      <c r="R337" s="194"/>
      <c r="S337" s="237"/>
      <c r="T337" s="207"/>
      <c r="U337" s="207"/>
      <c r="V337" s="140"/>
    </row>
    <row r="338" spans="1:22" ht="18" hidden="1" customHeight="1">
      <c r="A338" s="332"/>
      <c r="B338" s="145"/>
      <c r="C338" s="145"/>
      <c r="D338" s="145"/>
      <c r="E338" s="285"/>
      <c r="F338" s="285"/>
      <c r="G338" s="286"/>
      <c r="H338" s="145"/>
      <c r="I338" s="145"/>
      <c r="J338" s="145"/>
      <c r="K338" s="145"/>
      <c r="L338" s="145"/>
      <c r="M338" s="145"/>
      <c r="N338" s="145"/>
      <c r="O338" s="145"/>
      <c r="P338" s="145"/>
      <c r="Q338" s="145"/>
      <c r="R338" s="145"/>
      <c r="S338" s="145"/>
      <c r="T338" s="285"/>
      <c r="U338" s="145"/>
      <c r="V338" s="554"/>
    </row>
    <row r="339" spans="1:22" ht="18" hidden="1" customHeight="1">
      <c r="A339" s="311"/>
      <c r="B339" s="28" t="s">
        <v>628</v>
      </c>
      <c r="C339" s="30" t="str">
        <f>IF(T315=150,"…cond.2","…cond.4")</f>
        <v>…cond.4</v>
      </c>
      <c r="E339" s="14" t="s">
        <v>898</v>
      </c>
      <c r="J339" s="28" t="s">
        <v>138</v>
      </c>
      <c r="K339" s="30" t="str">
        <f>IF(T315=150,"107","256")</f>
        <v>256</v>
      </c>
      <c r="N339" s="1" t="s">
        <v>899</v>
      </c>
      <c r="O339" s="208"/>
      <c r="P339" s="208"/>
      <c r="Q339" s="208"/>
      <c r="R339" s="208"/>
      <c r="S339" s="194" t="s">
        <v>138</v>
      </c>
      <c r="T339" s="258" t="e">
        <f>IF(T320=TRUE,R323,IF(T330=TRUE,K339,))</f>
        <v>#VALUE!</v>
      </c>
      <c r="U339" s="14"/>
      <c r="V339" s="97"/>
    </row>
    <row r="340" spans="1:22" ht="18" hidden="1" customHeight="1">
      <c r="A340" s="205" t="s">
        <v>900</v>
      </c>
      <c r="B340" s="28"/>
      <c r="C340" s="28"/>
      <c r="D340" s="28"/>
      <c r="E340" s="14"/>
      <c r="F340" s="14"/>
      <c r="G340" s="120"/>
      <c r="H340" s="28"/>
      <c r="I340" s="28"/>
      <c r="J340" s="28"/>
      <c r="K340" s="28"/>
      <c r="L340" s="28"/>
      <c r="M340" s="28"/>
      <c r="N340" s="28"/>
      <c r="O340" s="28"/>
      <c r="P340" s="28"/>
      <c r="Q340" s="28"/>
      <c r="R340" s="28"/>
      <c r="S340" s="28"/>
      <c r="T340" s="14"/>
      <c r="U340" s="28"/>
      <c r="V340" s="97"/>
    </row>
    <row r="341" spans="1:22" ht="18" hidden="1" customHeight="1">
      <c r="A341" s="196"/>
      <c r="D341" s="30" t="s">
        <v>484</v>
      </c>
      <c r="E341" s="27" t="s">
        <v>540</v>
      </c>
      <c r="F341" s="27" t="s">
        <v>876</v>
      </c>
      <c r="G341" s="27" t="s">
        <v>326</v>
      </c>
      <c r="H341" s="27" t="s">
        <v>522</v>
      </c>
      <c r="I341" s="27" t="s">
        <v>383</v>
      </c>
      <c r="J341" s="27" t="s">
        <v>431</v>
      </c>
      <c r="K341" s="27" t="s">
        <v>358</v>
      </c>
      <c r="L341" s="27" t="s">
        <v>877</v>
      </c>
      <c r="M341" s="30" t="s">
        <v>361</v>
      </c>
      <c r="V341" s="197"/>
    </row>
    <row r="342" spans="1:22" ht="18" hidden="1" customHeight="1">
      <c r="A342" s="196"/>
      <c r="B342" s="14"/>
      <c r="D342" s="14"/>
      <c r="E342" s="27" t="s">
        <v>540</v>
      </c>
      <c r="F342" s="27" t="e">
        <f>T339</f>
        <v>#VALUE!</v>
      </c>
      <c r="G342" s="27" t="s">
        <v>326</v>
      </c>
      <c r="H342" s="27">
        <f>T313</f>
        <v>1</v>
      </c>
      <c r="I342" s="27" t="s">
        <v>383</v>
      </c>
      <c r="J342" s="27" t="str">
        <f>T311</f>
        <v>-</v>
      </c>
      <c r="K342" s="27" t="s">
        <v>358</v>
      </c>
      <c r="L342" s="223">
        <f>T312</f>
        <v>0.58186130000000003</v>
      </c>
      <c r="M342" s="30" t="s">
        <v>361</v>
      </c>
      <c r="V342" s="197"/>
    </row>
    <row r="343" spans="1:22" ht="18" hidden="1" customHeight="1">
      <c r="A343" s="196"/>
      <c r="B343" s="14"/>
      <c r="D343" s="14"/>
      <c r="E343" s="27" t="s">
        <v>540</v>
      </c>
      <c r="F343" s="644" t="e">
        <f>F342*H342*(J342+L342)</f>
        <v>#VALUE!</v>
      </c>
      <c r="G343" s="648"/>
      <c r="H343" s="14" t="s">
        <v>316</v>
      </c>
      <c r="I343" s="14"/>
      <c r="J343" s="14"/>
      <c r="K343" s="14"/>
      <c r="L343" s="120"/>
      <c r="M343" s="120"/>
      <c r="V343" s="197"/>
    </row>
    <row r="344" spans="1:22" ht="18" hidden="1" customHeight="1">
      <c r="A344" s="196"/>
      <c r="V344" s="197"/>
    </row>
    <row r="345" spans="1:22" ht="18" hidden="1" customHeight="1">
      <c r="A345" s="116" t="s">
        <v>457</v>
      </c>
      <c r="B345" s="14"/>
      <c r="C345" s="27"/>
      <c r="D345" s="230"/>
      <c r="E345" s="216"/>
      <c r="F345" s="14"/>
      <c r="G345" s="14"/>
      <c r="H345" s="14"/>
      <c r="I345" s="14"/>
      <c r="J345" s="120"/>
      <c r="K345" s="120"/>
      <c r="L345" s="14"/>
      <c r="M345" s="14"/>
      <c r="N345" s="28"/>
      <c r="O345" s="269"/>
      <c r="P345" s="14"/>
      <c r="Q345" s="14"/>
      <c r="R345" s="120"/>
      <c r="S345" s="28"/>
      <c r="T345" s="47"/>
      <c r="U345" s="14"/>
      <c r="V345" s="197"/>
    </row>
    <row r="346" spans="1:22" ht="18" hidden="1" customHeight="1">
      <c r="A346" s="205" t="s">
        <v>427</v>
      </c>
      <c r="B346" s="14"/>
      <c r="C346" s="27"/>
      <c r="D346" s="230"/>
      <c r="E346" s="216"/>
      <c r="F346" s="14"/>
      <c r="G346" s="14"/>
      <c r="H346" s="14"/>
      <c r="I346" s="14"/>
      <c r="J346" s="120"/>
      <c r="K346" s="120"/>
      <c r="L346" s="14"/>
      <c r="M346" s="14"/>
      <c r="N346" s="28"/>
      <c r="O346" s="269"/>
      <c r="P346" s="14"/>
      <c r="Q346" s="14"/>
      <c r="R346" s="120"/>
      <c r="S346" s="28"/>
      <c r="T346" s="47"/>
      <c r="U346" s="14"/>
      <c r="V346" s="197"/>
    </row>
    <row r="347" spans="1:22" ht="18" hidden="1" customHeight="1">
      <c r="A347" s="196"/>
      <c r="B347" s="14"/>
      <c r="C347" s="27"/>
      <c r="D347" s="230"/>
      <c r="E347" s="216"/>
      <c r="F347" s="30" t="s">
        <v>484</v>
      </c>
      <c r="G347" s="27" t="s">
        <v>540</v>
      </c>
      <c r="H347" s="969" t="s">
        <v>903</v>
      </c>
      <c r="I347" s="969"/>
      <c r="J347" s="27" t="s">
        <v>326</v>
      </c>
      <c r="K347" s="969" t="s">
        <v>855</v>
      </c>
      <c r="L347" s="969"/>
      <c r="M347" s="27" t="s">
        <v>326</v>
      </c>
      <c r="N347" s="256" t="s">
        <v>430</v>
      </c>
      <c r="O347" s="27" t="s">
        <v>431</v>
      </c>
      <c r="P347" s="27" t="s">
        <v>358</v>
      </c>
      <c r="Q347" s="27" t="s">
        <v>419</v>
      </c>
      <c r="R347" s="30" t="s">
        <v>361</v>
      </c>
      <c r="S347" s="28"/>
      <c r="T347" s="47"/>
      <c r="U347" s="14"/>
      <c r="V347" s="197"/>
    </row>
    <row r="348" spans="1:22" ht="18" hidden="1" customHeight="1">
      <c r="A348" s="205"/>
      <c r="F348" s="14" t="s">
        <v>904</v>
      </c>
      <c r="H348" s="27"/>
      <c r="I348" s="230"/>
      <c r="J348" s="216"/>
      <c r="K348" s="14"/>
      <c r="L348" s="14"/>
      <c r="M348" s="14"/>
      <c r="N348" s="14"/>
      <c r="O348" s="120"/>
      <c r="P348" s="120"/>
      <c r="Q348" s="14"/>
      <c r="R348" s="14"/>
      <c r="U348" s="14"/>
      <c r="V348" s="197"/>
    </row>
    <row r="349" spans="1:22" ht="18" hidden="1" customHeight="1">
      <c r="A349" s="205"/>
      <c r="G349" s="969" t="s">
        <v>903</v>
      </c>
      <c r="H349" s="969"/>
      <c r="I349" s="230" t="s">
        <v>138</v>
      </c>
      <c r="J349" s="216" t="s">
        <v>905</v>
      </c>
      <c r="K349" s="14"/>
      <c r="L349" s="14"/>
      <c r="M349" s="14"/>
      <c r="N349" s="14"/>
      <c r="O349" s="120"/>
      <c r="P349" s="120"/>
      <c r="Q349" s="14"/>
      <c r="R349" s="14"/>
      <c r="S349" s="28" t="s">
        <v>138</v>
      </c>
      <c r="T349" s="28">
        <v>1.4</v>
      </c>
      <c r="U349" s="14"/>
      <c r="V349" s="97"/>
    </row>
    <row r="350" spans="1:22" ht="18" hidden="1" customHeight="1">
      <c r="A350" s="205"/>
      <c r="G350" s="969" t="s">
        <v>855</v>
      </c>
      <c r="H350" s="969"/>
      <c r="I350" s="230" t="s">
        <v>138</v>
      </c>
      <c r="J350" s="216" t="s">
        <v>906</v>
      </c>
      <c r="K350" s="14"/>
      <c r="L350" s="14"/>
      <c r="M350" s="14"/>
      <c r="N350" s="14"/>
      <c r="O350" s="120"/>
      <c r="P350" s="120"/>
      <c r="Q350" s="14"/>
      <c r="R350" s="14"/>
      <c r="S350" s="28" t="s">
        <v>138</v>
      </c>
      <c r="T350" s="641" t="e">
        <f>T310</f>
        <v>#VALUE!</v>
      </c>
      <c r="U350" s="638"/>
      <c r="V350" s="97" t="s">
        <v>9</v>
      </c>
    </row>
    <row r="351" spans="1:22" ht="18" hidden="1" customHeight="1">
      <c r="A351" s="205"/>
      <c r="U351" s="14"/>
      <c r="V351" s="97"/>
    </row>
    <row r="352" spans="1:22" ht="18" hidden="1" customHeight="1">
      <c r="A352" s="205"/>
      <c r="F352" s="30" t="s">
        <v>484</v>
      </c>
      <c r="G352" s="27" t="s">
        <v>540</v>
      </c>
      <c r="H352" s="969" t="s">
        <v>903</v>
      </c>
      <c r="I352" s="969"/>
      <c r="J352" s="27" t="s">
        <v>326</v>
      </c>
      <c r="K352" s="969" t="s">
        <v>855</v>
      </c>
      <c r="L352" s="969"/>
      <c r="M352" s="27" t="s">
        <v>326</v>
      </c>
      <c r="N352" s="256" t="s">
        <v>430</v>
      </c>
      <c r="O352" s="27" t="s">
        <v>431</v>
      </c>
      <c r="P352" s="27" t="s">
        <v>358</v>
      </c>
      <c r="Q352" s="27" t="s">
        <v>419</v>
      </c>
      <c r="R352" s="30" t="s">
        <v>361</v>
      </c>
      <c r="T352" s="47"/>
      <c r="U352" s="14"/>
      <c r="V352" s="97"/>
    </row>
    <row r="353" spans="1:22" ht="18" hidden="1" customHeight="1">
      <c r="A353" s="205"/>
      <c r="F353" s="30" t="s">
        <v>484</v>
      </c>
      <c r="G353" s="27" t="s">
        <v>540</v>
      </c>
      <c r="H353" s="969">
        <f>T349</f>
        <v>1.4</v>
      </c>
      <c r="I353" s="969"/>
      <c r="J353" s="27" t="s">
        <v>326</v>
      </c>
      <c r="K353" s="640" t="e">
        <f>T350</f>
        <v>#VALUE!</v>
      </c>
      <c r="L353" s="969"/>
      <c r="M353" s="27" t="s">
        <v>326</v>
      </c>
      <c r="N353" s="256" t="s">
        <v>430</v>
      </c>
      <c r="O353" s="27" t="str">
        <f>T311</f>
        <v>-</v>
      </c>
      <c r="P353" s="27" t="s">
        <v>358</v>
      </c>
      <c r="Q353" s="223">
        <f>T312</f>
        <v>0.58186130000000003</v>
      </c>
      <c r="R353" s="30" t="s">
        <v>361</v>
      </c>
      <c r="V353" s="97"/>
    </row>
    <row r="354" spans="1:22" ht="18" hidden="1" customHeight="1">
      <c r="A354" s="196"/>
      <c r="F354" s="30" t="s">
        <v>484</v>
      </c>
      <c r="G354" s="27" t="s">
        <v>540</v>
      </c>
      <c r="H354" s="798" t="e">
        <f>H353*K353*(O353+Q353)</f>
        <v>#VALUE!</v>
      </c>
      <c r="I354" s="799"/>
      <c r="J354" s="14" t="s">
        <v>907</v>
      </c>
      <c r="V354" s="97"/>
    </row>
    <row r="355" spans="1:22" ht="18" hidden="1" customHeight="1">
      <c r="A355" s="96"/>
      <c r="U355" s="18"/>
      <c r="V355" s="97"/>
    </row>
    <row r="356" spans="1:22" ht="18" hidden="1" customHeight="1">
      <c r="A356" s="205" t="s">
        <v>908</v>
      </c>
      <c r="O356" s="47"/>
      <c r="P356" s="14"/>
      <c r="Q356" s="14"/>
      <c r="R356" s="14"/>
      <c r="S356" s="120"/>
      <c r="T356" s="18"/>
      <c r="U356" s="18"/>
      <c r="V356" s="97"/>
    </row>
    <row r="357" spans="1:22" ht="18" hidden="1" customHeight="1">
      <c r="A357" s="196"/>
      <c r="V357" s="97"/>
    </row>
    <row r="358" spans="1:22" ht="18" hidden="1" customHeight="1">
      <c r="A358" s="196"/>
      <c r="C358" s="30" t="s">
        <v>484</v>
      </c>
      <c r="D358" s="27" t="s">
        <v>540</v>
      </c>
      <c r="E358" s="861" t="s">
        <v>909</v>
      </c>
      <c r="F358" s="861"/>
      <c r="G358" s="27" t="s">
        <v>326</v>
      </c>
      <c r="H358" s="861" t="s">
        <v>910</v>
      </c>
      <c r="I358" s="861"/>
      <c r="J358" s="28" t="s">
        <v>683</v>
      </c>
      <c r="K358" s="27">
        <v>1</v>
      </c>
      <c r="L358" s="14" t="s">
        <v>358</v>
      </c>
      <c r="M358" s="14" t="s">
        <v>352</v>
      </c>
      <c r="N358" s="14" t="s">
        <v>911</v>
      </c>
      <c r="O358" s="27" t="s">
        <v>431</v>
      </c>
      <c r="P358" s="27" t="s">
        <v>358</v>
      </c>
      <c r="Q358" s="27" t="s">
        <v>419</v>
      </c>
      <c r="R358" s="30" t="s">
        <v>361</v>
      </c>
      <c r="V358" s="197"/>
    </row>
    <row r="359" spans="1:22" ht="18" hidden="1" customHeight="1">
      <c r="A359" s="196"/>
      <c r="C359" s="14" t="s">
        <v>904</v>
      </c>
      <c r="E359" s="27"/>
      <c r="F359" s="230"/>
      <c r="G359" s="216"/>
      <c r="H359" s="14"/>
      <c r="I359" s="14"/>
      <c r="J359" s="14"/>
      <c r="K359" s="14"/>
      <c r="L359" s="120"/>
      <c r="M359" s="120"/>
      <c r="N359" s="14"/>
      <c r="O359" s="14"/>
      <c r="U359" s="14"/>
      <c r="V359" s="197"/>
    </row>
    <row r="360" spans="1:22" ht="18" hidden="1" customHeight="1">
      <c r="A360" s="96"/>
      <c r="B360" s="14"/>
      <c r="D360" s="861" t="s">
        <v>909</v>
      </c>
      <c r="E360" s="969"/>
      <c r="F360" s="230" t="s">
        <v>138</v>
      </c>
      <c r="G360" s="269" t="s">
        <v>912</v>
      </c>
      <c r="H360" s="14"/>
      <c r="I360" s="14"/>
      <c r="J360" s="14"/>
      <c r="K360" s="14"/>
      <c r="L360" s="120"/>
      <c r="M360" s="120"/>
      <c r="N360" s="14"/>
      <c r="O360" s="14"/>
      <c r="S360" s="28" t="s">
        <v>138</v>
      </c>
      <c r="T360" s="28">
        <v>0.6</v>
      </c>
      <c r="U360" s="14"/>
      <c r="V360" s="97"/>
    </row>
    <row r="361" spans="1:22" ht="18" hidden="1" customHeight="1">
      <c r="A361" s="284"/>
      <c r="B361" s="47"/>
      <c r="D361" s="861" t="s">
        <v>910</v>
      </c>
      <c r="E361" s="969"/>
      <c r="F361" s="230" t="s">
        <v>138</v>
      </c>
      <c r="G361" s="269" t="s">
        <v>913</v>
      </c>
      <c r="H361" s="14"/>
      <c r="I361" s="14"/>
      <c r="J361" s="14"/>
      <c r="K361" s="14"/>
      <c r="L361" s="120"/>
      <c r="M361" s="120"/>
      <c r="N361" s="14"/>
      <c r="O361" s="14"/>
      <c r="S361" s="28" t="s">
        <v>138</v>
      </c>
      <c r="T361" s="641" t="e">
        <f>'[6]Fault Calc (3)'!M107/T309</f>
        <v>#VALUE!</v>
      </c>
      <c r="U361" s="638"/>
      <c r="V361" s="97" t="s">
        <v>9</v>
      </c>
    </row>
    <row r="362" spans="1:22" ht="18" hidden="1" customHeight="1">
      <c r="A362" s="96"/>
      <c r="B362" s="47"/>
      <c r="C362" s="120"/>
      <c r="S362" s="14"/>
      <c r="T362" s="14"/>
      <c r="U362" s="14"/>
      <c r="V362" s="97"/>
    </row>
    <row r="363" spans="1:22" ht="18" hidden="1" customHeight="1">
      <c r="A363" s="196"/>
      <c r="C363" s="30" t="s">
        <v>484</v>
      </c>
      <c r="D363" s="27" t="s">
        <v>540</v>
      </c>
      <c r="E363" s="861" t="s">
        <v>909</v>
      </c>
      <c r="F363" s="861"/>
      <c r="G363" s="27" t="s">
        <v>326</v>
      </c>
      <c r="H363" s="861" t="s">
        <v>910</v>
      </c>
      <c r="I363" s="861"/>
      <c r="J363" s="28" t="s">
        <v>683</v>
      </c>
      <c r="K363" s="27">
        <v>1</v>
      </c>
      <c r="L363" s="14" t="s">
        <v>358</v>
      </c>
      <c r="M363" s="14" t="s">
        <v>352</v>
      </c>
      <c r="N363" s="14" t="s">
        <v>911</v>
      </c>
      <c r="O363" s="27" t="s">
        <v>431</v>
      </c>
      <c r="P363" s="27" t="s">
        <v>358</v>
      </c>
      <c r="Q363" s="27" t="s">
        <v>419</v>
      </c>
      <c r="R363" s="30" t="s">
        <v>361</v>
      </c>
      <c r="V363" s="97"/>
    </row>
    <row r="364" spans="1:22" ht="18" hidden="1" customHeight="1">
      <c r="A364" s="196"/>
      <c r="C364" s="30" t="s">
        <v>484</v>
      </c>
      <c r="D364" s="27" t="s">
        <v>540</v>
      </c>
      <c r="E364" s="861">
        <f>T360</f>
        <v>0.6</v>
      </c>
      <c r="F364" s="861"/>
      <c r="G364" s="27" t="s">
        <v>326</v>
      </c>
      <c r="H364" s="1113" t="e">
        <f>T361</f>
        <v>#VALUE!</v>
      </c>
      <c r="I364" s="861"/>
      <c r="J364" s="28" t="s">
        <v>683</v>
      </c>
      <c r="K364" s="27">
        <v>1</v>
      </c>
      <c r="L364" s="14" t="s">
        <v>358</v>
      </c>
      <c r="M364" s="28">
        <f>T314</f>
        <v>23.6</v>
      </c>
      <c r="N364" s="14" t="s">
        <v>911</v>
      </c>
      <c r="O364" s="27" t="str">
        <f>T311</f>
        <v>-</v>
      </c>
      <c r="P364" s="27" t="s">
        <v>358</v>
      </c>
      <c r="Q364" s="223">
        <f>T312</f>
        <v>0.58186130000000003</v>
      </c>
      <c r="R364" s="30" t="s">
        <v>361</v>
      </c>
      <c r="V364" s="97"/>
    </row>
    <row r="365" spans="1:22" ht="18" hidden="1" customHeight="1">
      <c r="A365" s="196"/>
      <c r="C365" s="30" t="s">
        <v>484</v>
      </c>
      <c r="D365" s="27" t="s">
        <v>540</v>
      </c>
      <c r="E365" s="1188" t="e">
        <f>E364*H364*((K364+M364)*(O364+Q364))</f>
        <v>#VALUE!</v>
      </c>
      <c r="F365" s="1189"/>
      <c r="G365" s="14" t="s">
        <v>907</v>
      </c>
      <c r="V365" s="97"/>
    </row>
    <row r="366" spans="1:22" ht="18" hidden="1" customHeight="1">
      <c r="A366" s="557"/>
      <c r="B366" s="261"/>
      <c r="C366" s="261"/>
      <c r="D366" s="261"/>
      <c r="E366" s="261"/>
      <c r="F366" s="261"/>
      <c r="G366" s="14"/>
      <c r="H366" s="14"/>
      <c r="I366" s="14"/>
      <c r="J366" s="14"/>
      <c r="K366" s="14"/>
      <c r="L366" s="14"/>
      <c r="M366" s="120"/>
      <c r="N366" s="102"/>
      <c r="O366" s="47"/>
      <c r="P366" s="14"/>
      <c r="Q366" s="14"/>
      <c r="R366" s="14"/>
      <c r="S366" s="14"/>
      <c r="T366" s="14"/>
      <c r="U366" s="14"/>
      <c r="V366" s="97"/>
    </row>
    <row r="367" spans="1:22" ht="18" hidden="1" customHeight="1">
      <c r="A367" s="96"/>
      <c r="B367" s="472" t="s">
        <v>914</v>
      </c>
      <c r="C367" s="28"/>
      <c r="D367" s="28"/>
      <c r="E367" s="14"/>
      <c r="F367" s="14"/>
      <c r="G367" s="120"/>
      <c r="H367" s="120"/>
      <c r="I367" s="47"/>
      <c r="J367" s="568"/>
      <c r="K367" s="14"/>
      <c r="L367" s="14"/>
      <c r="M367" s="644" t="e">
        <f>MAX(F343,H354,E365)</f>
        <v>#VALUE!</v>
      </c>
      <c r="N367" s="707"/>
      <c r="O367" s="14" t="s">
        <v>907</v>
      </c>
      <c r="P367" s="14"/>
      <c r="Q367" s="14"/>
      <c r="R367" s="14"/>
      <c r="S367" s="14"/>
      <c r="T367" s="14"/>
      <c r="U367" s="14"/>
      <c r="V367" s="97"/>
    </row>
    <row r="368" spans="1:22" ht="18" hidden="1" customHeight="1">
      <c r="A368" s="205"/>
      <c r="I368" s="14"/>
      <c r="J368" s="14"/>
      <c r="K368" s="14"/>
      <c r="L368" s="47"/>
      <c r="M368" s="47"/>
      <c r="N368" s="47"/>
      <c r="O368" s="47"/>
      <c r="P368" s="28"/>
      <c r="Q368" s="569"/>
      <c r="R368" s="47"/>
      <c r="S368" s="14"/>
      <c r="T368" s="14"/>
      <c r="U368" s="14"/>
      <c r="V368" s="97"/>
    </row>
    <row r="369" spans="1:22" ht="18" hidden="1" customHeight="1">
      <c r="A369" s="196"/>
      <c r="L369" s="28"/>
      <c r="M369" s="28"/>
      <c r="N369" s="28"/>
      <c r="O369" s="28"/>
      <c r="P369" s="28"/>
      <c r="Q369" s="230"/>
      <c r="R369" s="28"/>
      <c r="S369" s="28"/>
      <c r="T369" s="14"/>
      <c r="U369" s="28"/>
      <c r="V369" s="97"/>
    </row>
    <row r="370" spans="1:22" ht="18" hidden="1" customHeight="1">
      <c r="A370" s="196"/>
      <c r="L370" s="14"/>
      <c r="M370" s="14"/>
      <c r="N370" s="14"/>
      <c r="O370" s="14"/>
      <c r="P370" s="14"/>
      <c r="Q370" s="14"/>
      <c r="R370" s="14"/>
      <c r="S370" s="14"/>
      <c r="T370" s="14"/>
      <c r="U370" s="14"/>
      <c r="V370" s="97"/>
    </row>
    <row r="371" spans="1:22" ht="18" hidden="1" customHeight="1">
      <c r="A371" s="196"/>
      <c r="C371" s="30" t="s">
        <v>486</v>
      </c>
      <c r="F371" s="27" t="e">
        <f>IF(D372&gt;G372,"&gt;","&lt;")</f>
        <v>#VALUE!</v>
      </c>
      <c r="G371" s="30" t="s">
        <v>488</v>
      </c>
      <c r="L371" s="14"/>
      <c r="M371" s="14"/>
      <c r="N371" s="14"/>
      <c r="O371" s="14"/>
      <c r="P371" s="14"/>
      <c r="Q371" s="14"/>
      <c r="R371" s="14"/>
      <c r="S371" s="14"/>
      <c r="T371" s="14"/>
      <c r="U371" s="14"/>
      <c r="V371" s="97"/>
    </row>
    <row r="372" spans="1:22" ht="18" hidden="1" customHeight="1">
      <c r="A372" s="196"/>
      <c r="D372" s="639" t="str">
        <f>L257</f>
        <v>-</v>
      </c>
      <c r="E372" s="639"/>
      <c r="F372" s="27" t="e">
        <f>F371</f>
        <v>#VALUE!</v>
      </c>
      <c r="G372" s="637" t="e">
        <f>M367</f>
        <v>#VALUE!</v>
      </c>
      <c r="H372" s="639"/>
      <c r="L372" s="14"/>
      <c r="M372" s="14"/>
      <c r="N372" s="28"/>
      <c r="O372" s="28"/>
      <c r="P372" s="28"/>
      <c r="Q372" s="120"/>
      <c r="R372" s="262"/>
      <c r="S372" s="198"/>
      <c r="T372" s="14"/>
      <c r="U372" s="14"/>
      <c r="V372" s="97"/>
    </row>
    <row r="373" spans="1:22" ht="18" hidden="1" customHeight="1">
      <c r="A373" s="196"/>
      <c r="E373" s="256" t="s">
        <v>489</v>
      </c>
      <c r="G373" s="18" t="e">
        <f>IF(F371="&gt;","Suitably Dimensioned","Under Dimensioned")</f>
        <v>#VALUE!</v>
      </c>
      <c r="L373" s="14"/>
      <c r="M373" s="14"/>
      <c r="N373" s="28"/>
      <c r="O373" s="269"/>
      <c r="P373" s="14"/>
      <c r="Q373" s="14"/>
      <c r="R373" s="120"/>
      <c r="S373" s="28"/>
      <c r="T373" s="47"/>
      <c r="U373" s="14"/>
      <c r="V373" s="97"/>
    </row>
    <row r="374" spans="1:22" ht="18" hidden="1" customHeight="1">
      <c r="A374" s="196"/>
      <c r="E374" s="256"/>
      <c r="G374" s="18"/>
      <c r="L374" s="14"/>
      <c r="M374" s="14"/>
      <c r="N374" s="28"/>
      <c r="O374" s="269"/>
      <c r="P374" s="14"/>
      <c r="Q374" s="14"/>
      <c r="R374" s="120"/>
      <c r="S374" s="28"/>
      <c r="T374" s="47"/>
      <c r="U374" s="14"/>
      <c r="V374" s="97"/>
    </row>
    <row r="375" spans="1:22" ht="18" hidden="1" customHeight="1">
      <c r="A375" s="196"/>
      <c r="E375" s="256"/>
      <c r="G375" s="18"/>
      <c r="L375" s="14"/>
      <c r="M375" s="14"/>
      <c r="N375" s="28"/>
      <c r="O375" s="269"/>
      <c r="P375" s="14"/>
      <c r="Q375" s="14"/>
      <c r="R375" s="120"/>
      <c r="S375" s="28"/>
      <c r="T375" s="47"/>
      <c r="U375" s="14"/>
      <c r="V375" s="97"/>
    </row>
    <row r="376" spans="1:22" ht="18" hidden="1" customHeight="1">
      <c r="A376" s="196"/>
      <c r="E376" s="256"/>
      <c r="G376" s="18"/>
      <c r="L376" s="14"/>
      <c r="M376" s="14"/>
      <c r="N376" s="28"/>
      <c r="O376" s="269"/>
      <c r="P376" s="14"/>
      <c r="Q376" s="14"/>
      <c r="R376" s="120"/>
      <c r="S376" s="28"/>
      <c r="T376" s="47"/>
      <c r="U376" s="14"/>
      <c r="V376" s="97"/>
    </row>
    <row r="377" spans="1:22" ht="18" hidden="1" customHeight="1">
      <c r="A377" s="196"/>
      <c r="E377" s="256"/>
      <c r="G377" s="18"/>
      <c r="L377" s="14"/>
      <c r="M377" s="14"/>
      <c r="N377" s="28"/>
      <c r="O377" s="269"/>
      <c r="P377" s="14"/>
      <c r="Q377" s="14"/>
      <c r="R377" s="120"/>
      <c r="S377" s="28"/>
      <c r="T377" s="47"/>
      <c r="U377" s="14"/>
      <c r="V377" s="97"/>
    </row>
    <row r="378" spans="1:22" ht="18" hidden="1" customHeight="1">
      <c r="A378" s="196"/>
      <c r="E378" s="256"/>
      <c r="G378" s="18"/>
      <c r="L378" s="14"/>
      <c r="M378" s="14"/>
      <c r="N378" s="28"/>
      <c r="O378" s="269"/>
      <c r="P378" s="14"/>
      <c r="Q378" s="14"/>
      <c r="R378" s="120"/>
      <c r="S378" s="28"/>
      <c r="T378" s="47"/>
      <c r="U378" s="14"/>
      <c r="V378" s="97"/>
    </row>
    <row r="379" spans="1:22" ht="18" hidden="1" customHeight="1">
      <c r="A379" s="205"/>
      <c r="B379" s="14"/>
      <c r="C379" s="27"/>
      <c r="D379" s="230"/>
      <c r="E379" s="216"/>
      <c r="F379" s="14"/>
      <c r="G379" s="14"/>
      <c r="H379" s="14"/>
      <c r="I379" s="14"/>
      <c r="J379" s="120"/>
      <c r="K379" s="120"/>
      <c r="L379" s="14"/>
      <c r="M379" s="14"/>
      <c r="N379" s="28"/>
      <c r="O379" s="269"/>
      <c r="P379" s="14"/>
      <c r="Q379" s="14"/>
      <c r="R379" s="120"/>
      <c r="S379" s="28"/>
      <c r="T379" s="47"/>
      <c r="U379" s="14"/>
      <c r="V379" s="97"/>
    </row>
    <row r="380" spans="1:22" ht="18" hidden="1" customHeight="1">
      <c r="A380" s="205"/>
      <c r="B380" s="14"/>
      <c r="C380" s="27"/>
      <c r="D380" s="230"/>
      <c r="E380" s="216"/>
      <c r="F380" s="14"/>
      <c r="G380" s="14"/>
      <c r="H380" s="14"/>
      <c r="I380" s="14"/>
      <c r="J380" s="120"/>
      <c r="K380" s="120"/>
      <c r="L380" s="14"/>
      <c r="M380" s="14"/>
      <c r="N380" s="28"/>
      <c r="O380" s="269"/>
      <c r="P380" s="14"/>
      <c r="Q380" s="14"/>
      <c r="R380" s="120"/>
      <c r="S380" s="28"/>
      <c r="T380" s="47"/>
      <c r="U380" s="14"/>
      <c r="V380" s="97"/>
    </row>
    <row r="381" spans="1:22" ht="18" hidden="1" customHeight="1">
      <c r="A381" s="206"/>
      <c r="B381" s="207"/>
      <c r="C381" s="207"/>
      <c r="D381" s="207"/>
      <c r="E381" s="207"/>
      <c r="F381" s="207"/>
      <c r="G381" s="207"/>
      <c r="H381" s="207"/>
      <c r="I381" s="207"/>
      <c r="J381" s="207"/>
      <c r="K381" s="207"/>
      <c r="L381" s="207"/>
      <c r="M381" s="207"/>
      <c r="N381" s="207"/>
      <c r="O381" s="207"/>
      <c r="P381" s="207"/>
      <c r="Q381" s="236"/>
      <c r="R381" s="194"/>
      <c r="S381" s="237"/>
      <c r="T381" s="207"/>
      <c r="U381" s="207"/>
      <c r="V381" s="140"/>
    </row>
    <row r="382" spans="1:22" ht="18" customHeight="1">
      <c r="A382" s="238"/>
      <c r="B382" s="239"/>
      <c r="C382" s="239"/>
      <c r="D382" s="239"/>
      <c r="E382" s="239"/>
      <c r="F382" s="239"/>
      <c r="G382" s="239"/>
      <c r="H382" s="570"/>
      <c r="I382" s="239"/>
      <c r="J382" s="239"/>
      <c r="K382" s="239"/>
      <c r="L382" s="239"/>
      <c r="M382" s="239"/>
      <c r="N382" s="239"/>
      <c r="O382" s="239"/>
      <c r="P382" s="239"/>
      <c r="Q382" s="239"/>
      <c r="R382" s="239"/>
      <c r="S382" s="239"/>
      <c r="T382" s="239"/>
      <c r="U382" s="239"/>
      <c r="V382" s="240"/>
    </row>
    <row r="383" spans="1:22" ht="18" customHeight="1">
      <c r="A383" s="274" t="s">
        <v>915</v>
      </c>
      <c r="B383" s="14"/>
      <c r="C383" s="14"/>
      <c r="D383" s="120"/>
      <c r="E383" s="120"/>
      <c r="F383" s="18"/>
      <c r="G383" s="18"/>
      <c r="H383" s="14"/>
      <c r="I383" s="14"/>
      <c r="J383" s="14"/>
      <c r="K383" s="14"/>
      <c r="L383" s="14"/>
      <c r="M383" s="14"/>
      <c r="N383" s="14"/>
      <c r="O383" s="14"/>
      <c r="P383" s="28"/>
      <c r="Q383" s="120"/>
      <c r="R383" s="47"/>
      <c r="S383" s="218"/>
      <c r="T383" s="271"/>
      <c r="U383" s="14"/>
      <c r="V383" s="97"/>
    </row>
    <row r="384" spans="1:22" customFormat="1" ht="54.6" customHeight="1">
      <c r="A384" s="782" t="s">
        <v>97</v>
      </c>
      <c r="B384" s="782"/>
      <c r="C384" s="612"/>
      <c r="D384" s="782" t="s">
        <v>98</v>
      </c>
      <c r="E384" s="782"/>
      <c r="F384" s="782"/>
      <c r="G384" s="782" t="s">
        <v>99</v>
      </c>
      <c r="H384" s="782"/>
      <c r="I384" s="782" t="s">
        <v>100</v>
      </c>
      <c r="J384" s="782"/>
      <c r="K384" s="614" t="s">
        <v>101</v>
      </c>
      <c r="L384" s="615"/>
      <c r="M384" s="614" t="s">
        <v>102</v>
      </c>
      <c r="N384" s="615"/>
      <c r="O384" s="614" t="s">
        <v>103</v>
      </c>
      <c r="P384" s="615"/>
      <c r="Q384" s="614" t="s">
        <v>104</v>
      </c>
      <c r="R384" s="615"/>
      <c r="S384" s="782" t="s">
        <v>105</v>
      </c>
      <c r="T384" s="782"/>
      <c r="U384" s="782"/>
      <c r="V384" s="782"/>
    </row>
    <row r="385" spans="1:22" customFormat="1" ht="18" customHeight="1">
      <c r="A385" s="612" t="str">
        <f>B251</f>
        <v>CT7001</v>
      </c>
      <c r="B385" s="623" t="str">
        <f>D251</f>
        <v>Core2</v>
      </c>
      <c r="C385" s="623"/>
      <c r="D385" s="613">
        <f>H254</f>
        <v>4000</v>
      </c>
      <c r="E385" s="613"/>
      <c r="F385" s="624">
        <f>O254</f>
        <v>1</v>
      </c>
      <c r="G385" s="613">
        <f>'[6]CT-VT Burdens'!S20</f>
        <v>75</v>
      </c>
      <c r="H385" s="783">
        <f>'[6]CT-VT Burdens'!S11</f>
        <v>6</v>
      </c>
      <c r="I385" s="783" t="str">
        <f>L255</f>
        <v>PX</v>
      </c>
      <c r="J385" s="783"/>
      <c r="K385" s="612">
        <f>H12</f>
        <v>14</v>
      </c>
      <c r="L385" s="612"/>
      <c r="M385" s="612">
        <f>H13</f>
        <v>4000</v>
      </c>
      <c r="N385" s="612"/>
      <c r="O385" s="613">
        <f>H14</f>
        <v>25</v>
      </c>
      <c r="P385" s="613"/>
      <c r="Q385" s="629" t="str">
        <f>IF(T8="",T7,IF(T9="",T7&amp;"+"&amp;T8,T7&amp;"+"&amp;T8&amp;"+"&amp;T9))</f>
        <v>P545</v>
      </c>
      <c r="R385" s="629"/>
      <c r="S385" s="628" t="str">
        <f>G122</f>
        <v>Suitably Dimensioned</v>
      </c>
      <c r="T385" s="628"/>
      <c r="U385" s="628"/>
      <c r="V385" s="628"/>
    </row>
    <row r="386" spans="1:22" customFormat="1" ht="18" customHeight="1">
      <c r="A386" s="612"/>
      <c r="B386" s="623"/>
      <c r="C386" s="623"/>
      <c r="D386" s="613">
        <f>J254</f>
        <v>3000</v>
      </c>
      <c r="E386" s="613"/>
      <c r="F386" s="625"/>
      <c r="G386" s="613"/>
      <c r="H386" s="613"/>
      <c r="I386" s="783"/>
      <c r="J386" s="783"/>
      <c r="K386" s="612">
        <f>J133</f>
        <v>10</v>
      </c>
      <c r="L386" s="612"/>
      <c r="M386" s="612">
        <f>J134</f>
        <v>3000</v>
      </c>
      <c r="N386" s="612"/>
      <c r="O386" s="613">
        <f>J135</f>
        <v>30</v>
      </c>
      <c r="P386" s="613"/>
      <c r="Q386" s="629"/>
      <c r="R386" s="629"/>
      <c r="S386" s="628" t="str">
        <f>G242</f>
        <v>Suitably Dimensioned</v>
      </c>
      <c r="T386" s="628"/>
      <c r="U386" s="628"/>
      <c r="V386" s="628"/>
    </row>
    <row r="387" spans="1:22" customFormat="1" ht="18" customHeight="1">
      <c r="A387" s="612"/>
      <c r="B387" s="623"/>
      <c r="C387" s="623"/>
      <c r="D387" s="613" t="str">
        <f>L254</f>
        <v>-</v>
      </c>
      <c r="E387" s="613"/>
      <c r="F387" s="626"/>
      <c r="G387" s="613"/>
      <c r="H387" s="613"/>
      <c r="I387" s="783"/>
      <c r="J387" s="783"/>
      <c r="K387" s="612" t="str">
        <f>L256</f>
        <v>-</v>
      </c>
      <c r="L387" s="612"/>
      <c r="M387" s="612" t="str">
        <f>L257</f>
        <v>-</v>
      </c>
      <c r="N387" s="612"/>
      <c r="O387" s="613" t="str">
        <f>L258</f>
        <v>-</v>
      </c>
      <c r="P387" s="613"/>
      <c r="Q387" s="629"/>
      <c r="R387" s="629"/>
      <c r="S387" s="628"/>
      <c r="T387" s="628"/>
      <c r="U387" s="628"/>
      <c r="V387" s="628"/>
    </row>
    <row r="388" spans="1:22" customFormat="1" ht="18" customHeight="1">
      <c r="A388" s="612" t="str">
        <f>B8</f>
        <v>CT7004</v>
      </c>
      <c r="B388" s="623" t="str">
        <f>D8</f>
        <v>Core5</v>
      </c>
      <c r="C388" s="623"/>
      <c r="D388" s="613">
        <f>D385</f>
        <v>4000</v>
      </c>
      <c r="E388" s="613"/>
      <c r="F388" s="624">
        <f>F385</f>
        <v>1</v>
      </c>
      <c r="G388" s="613">
        <f>G385</f>
        <v>75</v>
      </c>
      <c r="H388" s="783">
        <f>H385</f>
        <v>6</v>
      </c>
      <c r="I388" s="783" t="str">
        <f>I385</f>
        <v>PX</v>
      </c>
      <c r="J388" s="783"/>
      <c r="K388" s="612">
        <f>K385</f>
        <v>14</v>
      </c>
      <c r="L388" s="612"/>
      <c r="M388" s="612">
        <f>M385</f>
        <v>4000</v>
      </c>
      <c r="N388" s="612"/>
      <c r="O388" s="613">
        <f>O385</f>
        <v>25</v>
      </c>
      <c r="P388" s="613"/>
      <c r="Q388" s="629" t="str">
        <f>Q385</f>
        <v>P545</v>
      </c>
      <c r="R388" s="629"/>
      <c r="S388" s="628" t="str">
        <f>S385</f>
        <v>Suitably Dimensioned</v>
      </c>
      <c r="T388" s="628"/>
      <c r="U388" s="628"/>
      <c r="V388" s="628"/>
    </row>
    <row r="389" spans="1:22" customFormat="1" ht="18" customHeight="1">
      <c r="A389" s="612"/>
      <c r="B389" s="623"/>
      <c r="C389" s="623"/>
      <c r="D389" s="613">
        <f>D386</f>
        <v>3000</v>
      </c>
      <c r="E389" s="613"/>
      <c r="F389" s="625"/>
      <c r="G389" s="613"/>
      <c r="H389" s="613"/>
      <c r="I389" s="783"/>
      <c r="J389" s="783"/>
      <c r="K389" s="612">
        <f>K386</f>
        <v>10</v>
      </c>
      <c r="L389" s="612"/>
      <c r="M389" s="612">
        <f>M386</f>
        <v>3000</v>
      </c>
      <c r="N389" s="612"/>
      <c r="O389" s="613">
        <f>O386</f>
        <v>30</v>
      </c>
      <c r="P389" s="613"/>
      <c r="Q389" s="629"/>
      <c r="R389" s="629"/>
      <c r="S389" s="628" t="str">
        <f>S386</f>
        <v>Suitably Dimensioned</v>
      </c>
      <c r="T389" s="628"/>
      <c r="U389" s="628"/>
      <c r="V389" s="628"/>
    </row>
    <row r="390" spans="1:22" customFormat="1" ht="18" customHeight="1">
      <c r="A390" s="612"/>
      <c r="B390" s="623"/>
      <c r="C390" s="623"/>
      <c r="D390" s="613" t="str">
        <f>D387</f>
        <v>-</v>
      </c>
      <c r="E390" s="613"/>
      <c r="F390" s="626"/>
      <c r="G390" s="613"/>
      <c r="H390" s="613"/>
      <c r="I390" s="783"/>
      <c r="J390" s="783"/>
      <c r="K390" s="612" t="str">
        <f>K387</f>
        <v>-</v>
      </c>
      <c r="L390" s="612"/>
      <c r="M390" s="612" t="str">
        <f>M387</f>
        <v>-</v>
      </c>
      <c r="N390" s="612"/>
      <c r="O390" s="613" t="str">
        <f>O387</f>
        <v>-</v>
      </c>
      <c r="P390" s="613"/>
      <c r="Q390" s="629"/>
      <c r="R390" s="629"/>
      <c r="S390" s="628">
        <f>S387</f>
        <v>0</v>
      </c>
      <c r="T390" s="628"/>
      <c r="U390" s="628"/>
      <c r="V390" s="628"/>
    </row>
    <row r="391" spans="1:22" ht="18" customHeight="1">
      <c r="A391" s="196"/>
      <c r="H391" s="18"/>
      <c r="V391" s="197"/>
    </row>
    <row r="392" spans="1:22" ht="18" customHeight="1">
      <c r="A392" s="196"/>
      <c r="H392" s="18"/>
      <c r="V392" s="197"/>
    </row>
    <row r="393" spans="1:22" ht="18" customHeight="1">
      <c r="A393" s="196"/>
      <c r="H393" s="18"/>
      <c r="V393" s="197"/>
    </row>
    <row r="394" spans="1:22" ht="18" customHeight="1">
      <c r="A394" s="196"/>
      <c r="H394" s="18"/>
      <c r="V394" s="197"/>
    </row>
    <row r="395" spans="1:22" ht="18" customHeight="1">
      <c r="A395" s="196"/>
      <c r="H395" s="18"/>
      <c r="V395" s="197"/>
    </row>
    <row r="396" spans="1:22" ht="18" customHeight="1">
      <c r="A396" s="196"/>
      <c r="H396" s="18"/>
      <c r="V396" s="197"/>
    </row>
    <row r="397" spans="1:22" ht="18" customHeight="1">
      <c r="A397" s="196"/>
      <c r="H397" s="18"/>
      <c r="V397" s="197"/>
    </row>
    <row r="398" spans="1:22" ht="18" customHeight="1">
      <c r="A398" s="196"/>
      <c r="H398" s="18"/>
      <c r="V398" s="197"/>
    </row>
    <row r="399" spans="1:22" ht="18" customHeight="1">
      <c r="A399" s="196"/>
      <c r="H399" s="18"/>
      <c r="V399" s="197"/>
    </row>
    <row r="400" spans="1:22" ht="18" customHeight="1">
      <c r="A400" s="196"/>
      <c r="H400" s="18"/>
      <c r="V400" s="197"/>
    </row>
    <row r="401" spans="1:22" ht="18" customHeight="1">
      <c r="A401" s="196"/>
      <c r="H401" s="18"/>
      <c r="V401" s="197"/>
    </row>
    <row r="402" spans="1:22" ht="18" customHeight="1">
      <c r="A402" s="196"/>
      <c r="H402" s="18"/>
      <c r="V402" s="197"/>
    </row>
    <row r="403" spans="1:22" ht="18" customHeight="1">
      <c r="A403" s="196"/>
      <c r="H403" s="18"/>
      <c r="V403" s="197"/>
    </row>
    <row r="404" spans="1:22" ht="18" customHeight="1">
      <c r="A404" s="196"/>
      <c r="H404" s="18"/>
      <c r="V404" s="197"/>
    </row>
    <row r="405" spans="1:22" ht="18" customHeight="1">
      <c r="A405" s="196"/>
      <c r="H405" s="18"/>
      <c r="V405" s="197"/>
    </row>
    <row r="406" spans="1:22" ht="18" customHeight="1">
      <c r="A406" s="196"/>
      <c r="H406" s="18"/>
      <c r="V406" s="197"/>
    </row>
    <row r="407" spans="1:22" ht="18" customHeight="1">
      <c r="A407" s="196"/>
      <c r="H407" s="18"/>
      <c r="V407" s="197"/>
    </row>
    <row r="408" spans="1:22" ht="18" customHeight="1">
      <c r="A408" s="196"/>
      <c r="H408" s="18"/>
      <c r="V408" s="197"/>
    </row>
    <row r="409" spans="1:22" ht="18" customHeight="1">
      <c r="A409" s="196"/>
      <c r="H409" s="18"/>
      <c r="V409" s="197"/>
    </row>
    <row r="410" spans="1:22" ht="18" customHeight="1">
      <c r="A410" s="196"/>
      <c r="H410" s="18"/>
      <c r="V410" s="197"/>
    </row>
    <row r="411" spans="1:22" ht="18" customHeight="1">
      <c r="A411" s="196"/>
      <c r="H411" s="18"/>
      <c r="V411" s="197"/>
    </row>
    <row r="412" spans="1:22" ht="18" customHeight="1">
      <c r="A412" s="196"/>
      <c r="H412" s="18"/>
      <c r="V412" s="197"/>
    </row>
    <row r="413" spans="1:22" ht="18" customHeight="1">
      <c r="A413" s="196"/>
      <c r="H413" s="18"/>
      <c r="V413" s="197"/>
    </row>
    <row r="414" spans="1:22" ht="18" customHeight="1">
      <c r="A414" s="196"/>
      <c r="H414" s="18"/>
      <c r="V414" s="197"/>
    </row>
    <row r="415" spans="1:22" ht="18" customHeight="1">
      <c r="A415" s="196"/>
      <c r="H415" s="18"/>
      <c r="V415" s="197"/>
    </row>
    <row r="416" spans="1:22" ht="18" customHeight="1">
      <c r="A416" s="196"/>
      <c r="H416" s="18"/>
      <c r="V416" s="197"/>
    </row>
    <row r="417" spans="1:22" ht="18" customHeight="1">
      <c r="A417" s="196"/>
      <c r="H417" s="18"/>
      <c r="V417" s="197"/>
    </row>
    <row r="418" spans="1:22" ht="18" customHeight="1">
      <c r="A418" s="196"/>
      <c r="V418" s="197"/>
    </row>
    <row r="419" spans="1:22" ht="18" customHeight="1">
      <c r="A419" s="206"/>
      <c r="B419" s="207"/>
      <c r="C419" s="207"/>
      <c r="D419" s="207"/>
      <c r="E419" s="207"/>
      <c r="F419" s="207"/>
      <c r="G419" s="207"/>
      <c r="H419" s="207"/>
      <c r="I419" s="207"/>
      <c r="J419" s="207"/>
      <c r="K419" s="207"/>
      <c r="L419" s="207"/>
      <c r="M419" s="207"/>
      <c r="N419" s="207"/>
      <c r="O419" s="207"/>
      <c r="P419" s="207"/>
      <c r="Q419" s="236"/>
      <c r="R419" s="194"/>
      <c r="S419" s="237"/>
      <c r="T419" s="207"/>
      <c r="U419" s="207"/>
      <c r="V419" s="140"/>
    </row>
  </sheetData>
  <dataConsolidate/>
  <mergeCells count="331">
    <mergeCell ref="S387:V387"/>
    <mergeCell ref="A388:A390"/>
    <mergeCell ref="B388:C390"/>
    <mergeCell ref="D388:E388"/>
    <mergeCell ref="F388:F390"/>
    <mergeCell ref="G388:G390"/>
    <mergeCell ref="D390:E390"/>
    <mergeCell ref="K390:L390"/>
    <mergeCell ref="M390:N390"/>
    <mergeCell ref="O390:P390"/>
    <mergeCell ref="S390:V390"/>
    <mergeCell ref="S388:V388"/>
    <mergeCell ref="D389:E389"/>
    <mergeCell ref="K389:L389"/>
    <mergeCell ref="M389:N389"/>
    <mergeCell ref="O389:P389"/>
    <mergeCell ref="S389:V389"/>
    <mergeCell ref="H388:H390"/>
    <mergeCell ref="I388:J390"/>
    <mergeCell ref="K388:L388"/>
    <mergeCell ref="M388:N388"/>
    <mergeCell ref="O388:P388"/>
    <mergeCell ref="Q388:R390"/>
    <mergeCell ref="O384:P384"/>
    <mergeCell ref="Q384:R384"/>
    <mergeCell ref="S384:V384"/>
    <mergeCell ref="A385:A387"/>
    <mergeCell ref="B385:C387"/>
    <mergeCell ref="D385:E385"/>
    <mergeCell ref="F385:F387"/>
    <mergeCell ref="G385:G387"/>
    <mergeCell ref="H385:H387"/>
    <mergeCell ref="I385:J387"/>
    <mergeCell ref="K385:L385"/>
    <mergeCell ref="M385:N385"/>
    <mergeCell ref="O385:P385"/>
    <mergeCell ref="Q385:R387"/>
    <mergeCell ref="S385:V385"/>
    <mergeCell ref="D386:E386"/>
    <mergeCell ref="K386:L386"/>
    <mergeCell ref="M386:N386"/>
    <mergeCell ref="O386:P386"/>
    <mergeCell ref="S386:V386"/>
    <mergeCell ref="D387:E387"/>
    <mergeCell ref="K387:L387"/>
    <mergeCell ref="M387:N387"/>
    <mergeCell ref="O387:P387"/>
    <mergeCell ref="E365:F365"/>
    <mergeCell ref="M367:N367"/>
    <mergeCell ref="D372:E372"/>
    <mergeCell ref="G372:H372"/>
    <mergeCell ref="A384:C384"/>
    <mergeCell ref="D384:F384"/>
    <mergeCell ref="G384:H384"/>
    <mergeCell ref="I384:J384"/>
    <mergeCell ref="K384:L384"/>
    <mergeCell ref="M384:N384"/>
    <mergeCell ref="D360:E360"/>
    <mergeCell ref="D361:E361"/>
    <mergeCell ref="T361:U361"/>
    <mergeCell ref="E363:F363"/>
    <mergeCell ref="H363:I363"/>
    <mergeCell ref="E364:F364"/>
    <mergeCell ref="H364:I364"/>
    <mergeCell ref="H352:I352"/>
    <mergeCell ref="K352:L352"/>
    <mergeCell ref="H353:I353"/>
    <mergeCell ref="K353:L353"/>
    <mergeCell ref="H354:I354"/>
    <mergeCell ref="E358:F358"/>
    <mergeCell ref="H358:I358"/>
    <mergeCell ref="F343:G343"/>
    <mergeCell ref="H347:I347"/>
    <mergeCell ref="K347:L347"/>
    <mergeCell ref="G349:H349"/>
    <mergeCell ref="G350:H350"/>
    <mergeCell ref="T350:U350"/>
    <mergeCell ref="E325:F325"/>
    <mergeCell ref="H328:I328"/>
    <mergeCell ref="H329:I329"/>
    <mergeCell ref="C330:D330"/>
    <mergeCell ref="I330:J330"/>
    <mergeCell ref="O330:P330"/>
    <mergeCell ref="D320:E320"/>
    <mergeCell ref="I320:J320"/>
    <mergeCell ref="T320:U320"/>
    <mergeCell ref="I323:J323"/>
    <mergeCell ref="R323:S323"/>
    <mergeCell ref="I324:J324"/>
    <mergeCell ref="T330:U330"/>
    <mergeCell ref="T312:U312"/>
    <mergeCell ref="T313:U313"/>
    <mergeCell ref="T314:U314"/>
    <mergeCell ref="T315:U315"/>
    <mergeCell ref="B318:C318"/>
    <mergeCell ref="B319:C319"/>
    <mergeCell ref="J302:K302"/>
    <mergeCell ref="J305:K305"/>
    <mergeCell ref="T308:U308"/>
    <mergeCell ref="T309:U309"/>
    <mergeCell ref="T310:U310"/>
    <mergeCell ref="T311:U311"/>
    <mergeCell ref="D283:E283"/>
    <mergeCell ref="J285:K285"/>
    <mergeCell ref="J295:K295"/>
    <mergeCell ref="A298:A299"/>
    <mergeCell ref="B298:V299"/>
    <mergeCell ref="D300:E300"/>
    <mergeCell ref="J266:K266"/>
    <mergeCell ref="D271:E271"/>
    <mergeCell ref="O271:P271"/>
    <mergeCell ref="A279:V280"/>
    <mergeCell ref="A281:A282"/>
    <mergeCell ref="B281:V282"/>
    <mergeCell ref="AB257:AC257"/>
    <mergeCell ref="L258:M258"/>
    <mergeCell ref="J262:K262"/>
    <mergeCell ref="J263:K263"/>
    <mergeCell ref="J264:K264"/>
    <mergeCell ref="J265:K265"/>
    <mergeCell ref="H254:I254"/>
    <mergeCell ref="J254:K254"/>
    <mergeCell ref="L254:M254"/>
    <mergeCell ref="L255:M255"/>
    <mergeCell ref="L256:M256"/>
    <mergeCell ref="L257:M257"/>
    <mergeCell ref="T251:U251"/>
    <mergeCell ref="B252:C252"/>
    <mergeCell ref="T252:U252"/>
    <mergeCell ref="H253:I253"/>
    <mergeCell ref="J253:K253"/>
    <mergeCell ref="L253:M253"/>
    <mergeCell ref="T253:U253"/>
    <mergeCell ref="D241:E241"/>
    <mergeCell ref="G241:H241"/>
    <mergeCell ref="B251:C251"/>
    <mergeCell ref="D251:E252"/>
    <mergeCell ref="F251:G251"/>
    <mergeCell ref="H251:M251"/>
    <mergeCell ref="E234:F234"/>
    <mergeCell ref="H234:I234"/>
    <mergeCell ref="E235:F235"/>
    <mergeCell ref="H235:I235"/>
    <mergeCell ref="E236:F236"/>
    <mergeCell ref="M238:N238"/>
    <mergeCell ref="H225:I225"/>
    <mergeCell ref="E229:F229"/>
    <mergeCell ref="H229:I229"/>
    <mergeCell ref="D231:E231"/>
    <mergeCell ref="D232:E232"/>
    <mergeCell ref="T232:U232"/>
    <mergeCell ref="G220:H220"/>
    <mergeCell ref="G221:H221"/>
    <mergeCell ref="T221:U221"/>
    <mergeCell ref="H223:I223"/>
    <mergeCell ref="K223:L223"/>
    <mergeCell ref="H224:I224"/>
    <mergeCell ref="K224:L224"/>
    <mergeCell ref="C201:D201"/>
    <mergeCell ref="I201:J201"/>
    <mergeCell ref="O201:P201"/>
    <mergeCell ref="T201:U201"/>
    <mergeCell ref="F214:G214"/>
    <mergeCell ref="H218:I218"/>
    <mergeCell ref="K218:L218"/>
    <mergeCell ref="I194:J194"/>
    <mergeCell ref="R194:S194"/>
    <mergeCell ref="I195:J195"/>
    <mergeCell ref="E196:F196"/>
    <mergeCell ref="H199:I199"/>
    <mergeCell ref="H200:I200"/>
    <mergeCell ref="T186:U186"/>
    <mergeCell ref="B189:C189"/>
    <mergeCell ref="B190:C190"/>
    <mergeCell ref="D191:E191"/>
    <mergeCell ref="I191:J191"/>
    <mergeCell ref="T191:U191"/>
    <mergeCell ref="T180:U180"/>
    <mergeCell ref="T181:U181"/>
    <mergeCell ref="T182:U182"/>
    <mergeCell ref="T183:U183"/>
    <mergeCell ref="T184:U184"/>
    <mergeCell ref="T185:U185"/>
    <mergeCell ref="A169:A170"/>
    <mergeCell ref="B169:V170"/>
    <mergeCell ref="D171:E171"/>
    <mergeCell ref="J173:K173"/>
    <mergeCell ref="J176:K176"/>
    <mergeCell ref="T179:U179"/>
    <mergeCell ref="A155:V156"/>
    <mergeCell ref="A157:A158"/>
    <mergeCell ref="B157:V158"/>
    <mergeCell ref="D159:E159"/>
    <mergeCell ref="J161:K161"/>
    <mergeCell ref="J164:K164"/>
    <mergeCell ref="J143:K143"/>
    <mergeCell ref="D148:E148"/>
    <mergeCell ref="O148:P148"/>
    <mergeCell ref="M149:N149"/>
    <mergeCell ref="P149:Q149"/>
    <mergeCell ref="S149:T149"/>
    <mergeCell ref="AB134:AC134"/>
    <mergeCell ref="J135:K135"/>
    <mergeCell ref="J139:K139"/>
    <mergeCell ref="J140:K140"/>
    <mergeCell ref="J141:K141"/>
    <mergeCell ref="J142:K142"/>
    <mergeCell ref="H131:I131"/>
    <mergeCell ref="J131:K131"/>
    <mergeCell ref="L131:M131"/>
    <mergeCell ref="J132:K132"/>
    <mergeCell ref="J133:K133"/>
    <mergeCell ref="J134:K134"/>
    <mergeCell ref="T128:U128"/>
    <mergeCell ref="B129:C129"/>
    <mergeCell ref="D129:E129"/>
    <mergeCell ref="T129:U129"/>
    <mergeCell ref="H130:I130"/>
    <mergeCell ref="J130:K130"/>
    <mergeCell ref="L130:M130"/>
    <mergeCell ref="T130:U130"/>
    <mergeCell ref="E116:F116"/>
    <mergeCell ref="M118:N118"/>
    <mergeCell ref="D121:E121"/>
    <mergeCell ref="G121:H121"/>
    <mergeCell ref="B128:C128"/>
    <mergeCell ref="D128:E128"/>
    <mergeCell ref="F128:G128"/>
    <mergeCell ref="H128:M128"/>
    <mergeCell ref="D111:E111"/>
    <mergeCell ref="D112:E112"/>
    <mergeCell ref="T112:U112"/>
    <mergeCell ref="E114:F114"/>
    <mergeCell ref="H114:I114"/>
    <mergeCell ref="E115:F115"/>
    <mergeCell ref="H115:I115"/>
    <mergeCell ref="H103:I103"/>
    <mergeCell ref="K103:L103"/>
    <mergeCell ref="H104:I104"/>
    <mergeCell ref="K104:L104"/>
    <mergeCell ref="H105:I105"/>
    <mergeCell ref="E109:F109"/>
    <mergeCell ref="H109:I109"/>
    <mergeCell ref="H96:I96"/>
    <mergeCell ref="H98:I98"/>
    <mergeCell ref="K98:L98"/>
    <mergeCell ref="G100:H100"/>
    <mergeCell ref="G101:H101"/>
    <mergeCell ref="T101:U101"/>
    <mergeCell ref="C82:D82"/>
    <mergeCell ref="I82:J82"/>
    <mergeCell ref="O82:P82"/>
    <mergeCell ref="T82:U82"/>
    <mergeCell ref="F91:G91"/>
    <mergeCell ref="A95:V95"/>
    <mergeCell ref="I75:J75"/>
    <mergeCell ref="R75:S75"/>
    <mergeCell ref="I76:J76"/>
    <mergeCell ref="E77:F77"/>
    <mergeCell ref="H80:I80"/>
    <mergeCell ref="H81:I81"/>
    <mergeCell ref="T65:U65"/>
    <mergeCell ref="T66:U66"/>
    <mergeCell ref="T67:U67"/>
    <mergeCell ref="B70:C70"/>
    <mergeCell ref="B71:C71"/>
    <mergeCell ref="D72:E72"/>
    <mergeCell ref="I72:J72"/>
    <mergeCell ref="T72:U72"/>
    <mergeCell ref="J57:K57"/>
    <mergeCell ref="T60:U60"/>
    <mergeCell ref="T61:U61"/>
    <mergeCell ref="T62:U62"/>
    <mergeCell ref="T63:U63"/>
    <mergeCell ref="T64:U64"/>
    <mergeCell ref="D39:E39"/>
    <mergeCell ref="J41:K41"/>
    <mergeCell ref="J48:K48"/>
    <mergeCell ref="B51:V51"/>
    <mergeCell ref="D52:E52"/>
    <mergeCell ref="J54:K54"/>
    <mergeCell ref="M29:N29"/>
    <mergeCell ref="P29:Q29"/>
    <mergeCell ref="S29:T29"/>
    <mergeCell ref="A35:V36"/>
    <mergeCell ref="A37:A38"/>
    <mergeCell ref="B37:V38"/>
    <mergeCell ref="R3:V3"/>
    <mergeCell ref="J19:K19"/>
    <mergeCell ref="J20:K20"/>
    <mergeCell ref="J21:K21"/>
    <mergeCell ref="J22:K22"/>
    <mergeCell ref="D27:E27"/>
    <mergeCell ref="O27:P27"/>
    <mergeCell ref="H11:I11"/>
    <mergeCell ref="H12:I12"/>
    <mergeCell ref="H13:I13"/>
    <mergeCell ref="AB13:AC13"/>
    <mergeCell ref="H14:I14"/>
    <mergeCell ref="J18:K18"/>
    <mergeCell ref="H9:I9"/>
    <mergeCell ref="J9:K9"/>
    <mergeCell ref="L9:M9"/>
    <mergeCell ref="T9:U9"/>
    <mergeCell ref="H10:I10"/>
    <mergeCell ref="J10:K10"/>
    <mergeCell ref="L10:M10"/>
    <mergeCell ref="B7:C7"/>
    <mergeCell ref="D7:E7"/>
    <mergeCell ref="F7:G7"/>
    <mergeCell ref="H7:M7"/>
    <mergeCell ref="T7:U7"/>
    <mergeCell ref="B8:C8"/>
    <mergeCell ref="D8:E8"/>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s>
  <conditionalFormatting sqref="G122 G201:G207 G242:G245 G330:G336 G373:G378">
    <cfRule type="cellIs" dxfId="2" priority="1" stopIfTrue="1" operator="equal">
      <formula>"Under Dimentioned"</formula>
    </cfRule>
  </conditionalFormatting>
  <conditionalFormatting sqref="T68:U68 T72:U72 T82:U82 U106:U107 T107 T178:U184 T187:U187 T189:U189 T191:U191 T201:U201 U226:U227 T227 T307:U313 T316:U316 T318:U318 T320:U320 T330:U330 U355:U356 T356">
    <cfRule type="cellIs" dxfId="1" priority="2" stopIfTrue="1" operator="equal">
      <formula>FALSE</formula>
    </cfRule>
  </conditionalFormatting>
  <dataValidations count="3">
    <dataValidation type="list" allowBlank="1" showInputMessage="1" showErrorMessage="1" sqref="D7:E8 D128:E129" xr:uid="{F0C6E224-9D2B-4E6E-82F1-3D6EAF9978E7}">
      <formula1>"Core1,Core2,Core3,Core4,Core5,Core6"</formula1>
    </dataValidation>
    <dataValidation type="list" allowBlank="1" showInputMessage="1" showErrorMessage="1" sqref="T67" xr:uid="{93F18DE1-F4CD-466B-8ADA-A2BC483C95B4}">
      <formula1>"100, 150"</formula1>
    </dataValidation>
    <dataValidation type="list" allowBlank="1" showInputMessage="1" showErrorMessage="1" sqref="D251" xr:uid="{BC612CFE-8213-43F2-95BF-40D52E94898F}">
      <formula1>"Core1,Core2,Core3"</formula1>
    </dataValidation>
  </dataValidations>
  <printOptions horizontalCentered="1" verticalCentered="1"/>
  <pageMargins left="0.51181102362204722" right="0.51181102362204722" top="0.51181102362204722" bottom="0.51181102362204722" header="0" footer="0"/>
  <pageSetup paperSize="9" scale="96" orientation="portrait" r:id="rId1"/>
  <headerFooter alignWithMargins="0">
    <oddFooter>Page &amp;P of &amp;N</oddFooter>
  </headerFooter>
  <rowBreaks count="6" manualBreakCount="6">
    <brk id="46" max="21" man="1"/>
    <brk id="86" max="21" man="1"/>
    <brk id="126" max="21" man="1"/>
    <brk id="167" max="21" man="1"/>
    <brk id="208" max="21" man="1"/>
    <brk id="381" max="21" man="1"/>
  </rowBreak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1158F-73FD-42E6-803B-F06030260394}">
  <sheetPr codeName="Sheet58">
    <tabColor indexed="50"/>
  </sheetPr>
  <dimension ref="A1:Y308"/>
  <sheetViews>
    <sheetView showZeros="0" view="pageBreakPreview" topLeftCell="A214" zoomScale="130" zoomScaleNormal="100" zoomScaleSheetLayoutView="130" workbookViewId="0">
      <selection activeCell="A34" sqref="A34:XFD34"/>
    </sheetView>
  </sheetViews>
  <sheetFormatPr defaultColWidth="4.33203125" defaultRowHeight="18" customHeight="1"/>
  <cols>
    <col min="1" max="16384" width="4.33203125" style="30"/>
  </cols>
  <sheetData>
    <row r="1" spans="1:24"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Title!H2</f>
        <v>ADEQUACY CHECK</v>
      </c>
      <c r="I2" s="730"/>
      <c r="J2" s="730"/>
      <c r="K2" s="730"/>
      <c r="L2" s="730"/>
      <c r="M2" s="730"/>
      <c r="N2" s="731"/>
      <c r="O2" s="702" t="str">
        <f>Title!O2</f>
        <v>Date</v>
      </c>
      <c r="P2" s="703"/>
      <c r="Q2" s="704"/>
      <c r="R2" s="732">
        <f>Title!R2</f>
        <v>46106</v>
      </c>
      <c r="S2" s="706"/>
      <c r="T2" s="706"/>
      <c r="U2" s="706"/>
      <c r="V2" s="707"/>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14"/>
      <c r="X4" s="14"/>
    </row>
    <row r="5" spans="1:24" ht="18" customHeight="1">
      <c r="A5" s="708" t="str">
        <f>Title!A5</f>
        <v>Prep. By</v>
      </c>
      <c r="B5" s="709"/>
      <c r="C5" s="25" t="str">
        <f>Title!C5</f>
        <v>AP</v>
      </c>
      <c r="D5" s="708" t="str">
        <f>Title!D5</f>
        <v>Checked By</v>
      </c>
      <c r="E5" s="710"/>
      <c r="F5" s="709"/>
      <c r="G5" s="25" t="str">
        <f>Title!G5</f>
        <v>RB</v>
      </c>
      <c r="H5" s="711" t="s">
        <v>395</v>
      </c>
      <c r="I5" s="712"/>
      <c r="J5" s="712"/>
      <c r="K5" s="712"/>
      <c r="L5" s="712"/>
      <c r="M5" s="712"/>
      <c r="N5" s="713"/>
      <c r="O5" s="714" t="str">
        <f>Title!O5</f>
        <v>Contractor</v>
      </c>
      <c r="P5" s="715"/>
      <c r="Q5" s="716"/>
      <c r="R5" s="705" t="str">
        <f>Title!R5</f>
        <v>HITACHI</v>
      </c>
      <c r="S5" s="706"/>
      <c r="T5" s="706"/>
      <c r="U5" s="706"/>
      <c r="V5" s="707"/>
      <c r="W5" s="14"/>
      <c r="X5" s="14"/>
    </row>
    <row r="6" spans="1:24" ht="18" customHeight="1">
      <c r="A6" s="196"/>
      <c r="V6" s="197"/>
    </row>
    <row r="7" spans="1:24" ht="18" customHeight="1">
      <c r="A7" s="196"/>
      <c r="B7" s="940" t="s">
        <v>545</v>
      </c>
      <c r="C7" s="941"/>
      <c r="D7" s="944" t="s">
        <v>396</v>
      </c>
      <c r="E7" s="945"/>
      <c r="F7" s="468"/>
      <c r="H7" s="639" t="s">
        <v>546</v>
      </c>
      <c r="I7" s="639"/>
      <c r="J7" s="639"/>
      <c r="K7" s="639"/>
      <c r="L7" s="639"/>
      <c r="M7" s="639"/>
      <c r="P7" s="198"/>
      <c r="S7" s="199" t="s">
        <v>398</v>
      </c>
      <c r="T7" s="940"/>
      <c r="U7" s="941"/>
      <c r="V7" s="197"/>
    </row>
    <row r="8" spans="1:24" ht="18" customHeight="1">
      <c r="A8" s="469"/>
      <c r="F8" s="468"/>
      <c r="T8" s="940"/>
      <c r="U8" s="941"/>
      <c r="V8" s="197"/>
    </row>
    <row r="9" spans="1:24" ht="18" customHeight="1">
      <c r="A9" s="196"/>
      <c r="H9" s="662" t="s">
        <v>401</v>
      </c>
      <c r="I9" s="662"/>
      <c r="J9" s="701" t="s">
        <v>402</v>
      </c>
      <c r="K9" s="701"/>
      <c r="L9" s="701" t="s">
        <v>403</v>
      </c>
      <c r="M9" s="701"/>
      <c r="T9" s="940"/>
      <c r="U9" s="941"/>
      <c r="V9" s="197"/>
    </row>
    <row r="10" spans="1:24" ht="18" customHeight="1">
      <c r="A10" s="196"/>
      <c r="B10" s="47" t="s">
        <v>404</v>
      </c>
      <c r="H10" s="942">
        <v>800</v>
      </c>
      <c r="I10" s="943"/>
      <c r="J10" s="940">
        <v>2000</v>
      </c>
      <c r="K10" s="941"/>
      <c r="L10" s="940">
        <v>1000</v>
      </c>
      <c r="M10" s="941"/>
      <c r="N10" s="203" t="s">
        <v>353</v>
      </c>
      <c r="O10" s="515">
        <v>1</v>
      </c>
      <c r="P10" s="27" t="s">
        <v>9</v>
      </c>
      <c r="R10" s="267"/>
      <c r="S10" s="267"/>
      <c r="V10" s="197"/>
    </row>
    <row r="11" spans="1:24" ht="18" customHeight="1">
      <c r="A11" s="196"/>
      <c r="B11" s="47" t="s">
        <v>405</v>
      </c>
      <c r="H11" s="940" t="s">
        <v>406</v>
      </c>
      <c r="I11" s="941"/>
      <c r="V11" s="197"/>
    </row>
    <row r="12" spans="1:24" ht="18" customHeight="1">
      <c r="A12" s="196"/>
      <c r="B12" s="47" t="s">
        <v>407</v>
      </c>
      <c r="G12" s="120" t="s">
        <v>508</v>
      </c>
      <c r="H12" s="940">
        <v>2.8</v>
      </c>
      <c r="I12" s="941"/>
      <c r="J12" s="204" t="s">
        <v>344</v>
      </c>
      <c r="V12" s="197"/>
    </row>
    <row r="13" spans="1:24" ht="18" customHeight="1">
      <c r="A13" s="196"/>
      <c r="B13" s="47" t="s">
        <v>409</v>
      </c>
      <c r="G13" s="120" t="s">
        <v>509</v>
      </c>
      <c r="H13" s="940">
        <v>326</v>
      </c>
      <c r="I13" s="941"/>
      <c r="J13" s="14" t="s">
        <v>316</v>
      </c>
      <c r="T13" s="307"/>
      <c r="U13" s="18"/>
      <c r="V13" s="197"/>
      <c r="W13" s="30" t="str">
        <f>G56</f>
        <v>Suitably Dimentioned</v>
      </c>
    </row>
    <row r="14" spans="1:24" ht="18" customHeight="1">
      <c r="A14" s="196"/>
      <c r="B14" s="14" t="s">
        <v>412</v>
      </c>
      <c r="G14" s="120" t="s">
        <v>413</v>
      </c>
      <c r="H14" s="940">
        <v>40</v>
      </c>
      <c r="I14" s="941"/>
      <c r="J14" s="14" t="s">
        <v>414</v>
      </c>
      <c r="V14" s="197"/>
    </row>
    <row r="15" spans="1:24" ht="18" customHeight="1">
      <c r="A15" s="196"/>
      <c r="V15" s="197"/>
    </row>
    <row r="16" spans="1:24" ht="18" customHeight="1">
      <c r="A16" s="205" t="s">
        <v>415</v>
      </c>
      <c r="V16" s="197"/>
    </row>
    <row r="17" spans="1:22" ht="18" customHeight="1">
      <c r="A17" s="196"/>
      <c r="V17" s="197"/>
    </row>
    <row r="18" spans="1:22" ht="18" customHeight="1">
      <c r="A18" s="196"/>
      <c r="B18" s="141" t="s">
        <v>416</v>
      </c>
      <c r="C18" s="285"/>
      <c r="D18" s="146">
        <f>T7</f>
        <v>0</v>
      </c>
      <c r="E18" s="239"/>
      <c r="F18" s="239"/>
      <c r="G18" s="239"/>
      <c r="H18" s="145"/>
      <c r="I18" s="272" t="s">
        <v>138</v>
      </c>
      <c r="J18" s="946"/>
      <c r="K18" s="947"/>
      <c r="L18" s="3" t="s">
        <v>168</v>
      </c>
      <c r="N18" s="209" t="s">
        <v>521</v>
      </c>
      <c r="V18" s="197"/>
    </row>
    <row r="19" spans="1:22" ht="18" customHeight="1">
      <c r="A19" s="196"/>
      <c r="B19" s="96" t="s">
        <v>416</v>
      </c>
      <c r="C19" s="14"/>
      <c r="D19" s="47">
        <f>T8</f>
        <v>0</v>
      </c>
      <c r="H19" s="28"/>
      <c r="I19" s="101" t="s">
        <v>138</v>
      </c>
      <c r="J19" s="946"/>
      <c r="K19" s="947"/>
      <c r="L19" s="3" t="s">
        <v>168</v>
      </c>
      <c r="N19" s="120" t="s">
        <v>502</v>
      </c>
      <c r="O19" s="27" t="s">
        <v>138</v>
      </c>
      <c r="P19" s="27" t="s">
        <v>522</v>
      </c>
      <c r="Q19" s="27" t="s">
        <v>326</v>
      </c>
      <c r="R19" s="27" t="s">
        <v>522</v>
      </c>
      <c r="S19" s="27" t="s">
        <v>326</v>
      </c>
      <c r="T19" s="27" t="s">
        <v>431</v>
      </c>
      <c r="V19" s="197"/>
    </row>
    <row r="20" spans="1:22" ht="18" customHeight="1">
      <c r="A20" s="196"/>
      <c r="B20" s="96" t="s">
        <v>416</v>
      </c>
      <c r="C20" s="14"/>
      <c r="D20" s="47">
        <f>T9</f>
        <v>0</v>
      </c>
      <c r="H20" s="28"/>
      <c r="I20" s="101" t="s">
        <v>138</v>
      </c>
      <c r="J20" s="946"/>
      <c r="K20" s="947"/>
      <c r="L20" s="3" t="s">
        <v>168</v>
      </c>
      <c r="N20" s="27"/>
      <c r="O20" s="27" t="s">
        <v>138</v>
      </c>
      <c r="P20" s="27">
        <f>O10</f>
        <v>1</v>
      </c>
      <c r="Q20" s="27" t="s">
        <v>326</v>
      </c>
      <c r="R20" s="27">
        <f>O10</f>
        <v>1</v>
      </c>
      <c r="S20" s="27" t="s">
        <v>326</v>
      </c>
      <c r="T20" s="27">
        <f>H12</f>
        <v>2.8</v>
      </c>
      <c r="V20" s="197"/>
    </row>
    <row r="21" spans="1:22" ht="18" customHeight="1">
      <c r="A21" s="196"/>
      <c r="B21" s="465" t="s">
        <v>423</v>
      </c>
      <c r="C21" s="271"/>
      <c r="D21" s="271"/>
      <c r="E21" s="271"/>
      <c r="F21" s="219"/>
      <c r="G21" s="219"/>
      <c r="H21" s="202"/>
      <c r="I21" s="220" t="s">
        <v>138</v>
      </c>
      <c r="J21" s="950">
        <f>'[7]CT-VT Burdens'!S22</f>
        <v>0.23593310000000001</v>
      </c>
      <c r="K21" s="951"/>
      <c r="L21" s="309" t="s">
        <v>168</v>
      </c>
      <c r="O21" s="27" t="s">
        <v>138</v>
      </c>
      <c r="P21" s="637">
        <f>P20*R20*T20</f>
        <v>2.8</v>
      </c>
      <c r="Q21" s="639"/>
      <c r="R21" s="27" t="s">
        <v>168</v>
      </c>
      <c r="V21" s="197"/>
    </row>
    <row r="22" spans="1:22" ht="18" customHeight="1">
      <c r="A22" s="196"/>
      <c r="B22" s="1" t="s">
        <v>424</v>
      </c>
      <c r="C22" s="2"/>
      <c r="D22" s="2"/>
      <c r="E22" s="2"/>
      <c r="F22" s="208"/>
      <c r="G22" s="208"/>
      <c r="H22" s="236" t="s">
        <v>523</v>
      </c>
      <c r="I22" s="195" t="s">
        <v>138</v>
      </c>
      <c r="J22" s="648">
        <f>SUM(J18:J21)</f>
        <v>0.23593310000000001</v>
      </c>
      <c r="K22" s="649"/>
      <c r="L22" s="3" t="s">
        <v>168</v>
      </c>
      <c r="V22" s="197"/>
    </row>
    <row r="23" spans="1:22" ht="18" customHeight="1">
      <c r="A23" s="196"/>
      <c r="B23" s="47"/>
      <c r="C23" s="47"/>
      <c r="D23" s="47"/>
      <c r="E23" s="47"/>
      <c r="H23" s="27"/>
      <c r="I23" s="28"/>
      <c r="J23" s="211"/>
      <c r="L23" s="47"/>
      <c r="S23" s="27"/>
      <c r="V23" s="197"/>
    </row>
    <row r="24" spans="1:22" ht="18" customHeight="1">
      <c r="A24" s="964" t="s">
        <v>547</v>
      </c>
      <c r="B24" s="965"/>
      <c r="C24" s="965"/>
      <c r="D24" s="965"/>
      <c r="E24" s="965"/>
      <c r="F24" s="965"/>
      <c r="G24" s="965"/>
      <c r="H24" s="965"/>
      <c r="I24" s="965"/>
      <c r="J24" s="965"/>
      <c r="K24" s="965"/>
      <c r="L24" s="965"/>
      <c r="M24" s="965"/>
      <c r="N24" s="965"/>
      <c r="O24" s="965"/>
      <c r="P24" s="965"/>
      <c r="Q24" s="965"/>
      <c r="R24" s="965"/>
      <c r="S24" s="965"/>
      <c r="T24" s="965"/>
      <c r="U24" s="965"/>
      <c r="V24" s="966"/>
    </row>
    <row r="25" spans="1:22" ht="18" customHeight="1">
      <c r="A25" s="967"/>
      <c r="B25" s="965"/>
      <c r="C25" s="965"/>
      <c r="D25" s="965"/>
      <c r="E25" s="965"/>
      <c r="F25" s="965"/>
      <c r="G25" s="965"/>
      <c r="H25" s="965"/>
      <c r="I25" s="965"/>
      <c r="J25" s="965"/>
      <c r="K25" s="965"/>
      <c r="L25" s="965"/>
      <c r="M25" s="965"/>
      <c r="N25" s="965"/>
      <c r="O25" s="965"/>
      <c r="P25" s="965"/>
      <c r="Q25" s="965"/>
      <c r="R25" s="965"/>
      <c r="S25" s="965"/>
      <c r="T25" s="965"/>
      <c r="U25" s="965"/>
      <c r="V25" s="966"/>
    </row>
    <row r="26" spans="1:22" ht="18" customHeight="1">
      <c r="A26" s="196"/>
      <c r="Q26" s="223"/>
      <c r="R26" s="204"/>
      <c r="V26" s="197"/>
    </row>
    <row r="27" spans="1:22" ht="18" customHeight="1">
      <c r="A27" s="196"/>
      <c r="C27" s="28" t="s">
        <v>484</v>
      </c>
      <c r="D27" s="28" t="s">
        <v>138</v>
      </c>
      <c r="E27" s="28" t="s">
        <v>548</v>
      </c>
      <c r="F27" s="120" t="s">
        <v>504</v>
      </c>
      <c r="G27" s="28" t="s">
        <v>358</v>
      </c>
      <c r="H27" s="120" t="s">
        <v>502</v>
      </c>
      <c r="I27" s="28" t="s">
        <v>549</v>
      </c>
      <c r="J27" s="28" t="s">
        <v>506</v>
      </c>
      <c r="K27" s="28" t="s">
        <v>550</v>
      </c>
      <c r="L27" s="28" t="s">
        <v>522</v>
      </c>
      <c r="M27" s="28" t="s">
        <v>326</v>
      </c>
      <c r="N27" s="28">
        <v>1.3</v>
      </c>
      <c r="O27" s="47" t="s">
        <v>361</v>
      </c>
      <c r="V27" s="197"/>
    </row>
    <row r="28" spans="1:22" ht="18" customHeight="1">
      <c r="A28" s="196" t="s">
        <v>551</v>
      </c>
      <c r="C28" s="14"/>
      <c r="D28" s="28"/>
      <c r="E28" s="14"/>
      <c r="F28" s="14"/>
      <c r="G28" s="14"/>
      <c r="H28" s="14"/>
      <c r="I28" s="14"/>
      <c r="J28" s="14"/>
      <c r="K28" s="14"/>
      <c r="L28" s="14"/>
      <c r="M28" s="14"/>
      <c r="N28" s="14"/>
      <c r="O28" s="14"/>
      <c r="V28" s="197"/>
    </row>
    <row r="29" spans="1:22" ht="18" customHeight="1">
      <c r="A29" s="196"/>
      <c r="C29" s="28" t="s">
        <v>504</v>
      </c>
      <c r="D29" s="28" t="s">
        <v>138</v>
      </c>
      <c r="E29" s="28" t="s">
        <v>548</v>
      </c>
      <c r="F29" s="28">
        <v>1.3</v>
      </c>
      <c r="G29" s="28" t="s">
        <v>326</v>
      </c>
      <c r="H29" s="638" t="s">
        <v>484</v>
      </c>
      <c r="I29" s="920"/>
      <c r="J29" s="28" t="s">
        <v>326</v>
      </c>
      <c r="K29" s="28" t="s">
        <v>522</v>
      </c>
      <c r="L29" s="28" t="s">
        <v>552</v>
      </c>
      <c r="M29" s="28" t="s">
        <v>506</v>
      </c>
      <c r="N29" s="47" t="s">
        <v>553</v>
      </c>
      <c r="O29" s="28" t="s">
        <v>502</v>
      </c>
      <c r="V29" s="197"/>
    </row>
    <row r="30" spans="1:22" ht="18" customHeight="1">
      <c r="A30" s="196"/>
      <c r="V30" s="197"/>
    </row>
    <row r="31" spans="1:22" ht="18" customHeight="1">
      <c r="A31" s="180"/>
      <c r="B31" s="5"/>
      <c r="C31" s="47" t="s">
        <v>554</v>
      </c>
      <c r="D31" s="14"/>
      <c r="E31" s="14"/>
      <c r="F31" s="14"/>
      <c r="G31" s="14"/>
      <c r="H31" s="291"/>
      <c r="I31" s="120"/>
      <c r="J31" s="291"/>
      <c r="K31" s="291"/>
      <c r="L31" s="14"/>
      <c r="M31" s="14"/>
      <c r="N31" s="14"/>
      <c r="O31" s="14"/>
      <c r="P31" s="14"/>
      <c r="Q31" s="120" t="s">
        <v>555</v>
      </c>
      <c r="R31" s="102" t="s">
        <v>138</v>
      </c>
      <c r="S31" s="638">
        <f>'[7]Parameters &amp; Fault Cal.'!Q31</f>
        <v>17140</v>
      </c>
      <c r="T31" s="638"/>
      <c r="U31" s="47" t="s">
        <v>9</v>
      </c>
      <c r="V31" s="197"/>
    </row>
    <row r="32" spans="1:22" ht="18" customHeight="1">
      <c r="A32" s="180"/>
      <c r="B32" s="5"/>
      <c r="C32" s="47" t="s">
        <v>556</v>
      </c>
      <c r="D32" s="14"/>
      <c r="E32" s="14"/>
      <c r="F32" s="18"/>
      <c r="G32" s="18"/>
      <c r="H32" s="291"/>
      <c r="I32" s="120"/>
      <c r="J32" s="291"/>
      <c r="K32" s="291"/>
      <c r="L32" s="14"/>
      <c r="M32" s="14"/>
      <c r="N32" s="14"/>
      <c r="O32" s="14"/>
      <c r="P32" s="14"/>
      <c r="Q32" s="120" t="s">
        <v>434</v>
      </c>
      <c r="R32" s="102" t="s">
        <v>138</v>
      </c>
      <c r="S32" s="638">
        <f>H10</f>
        <v>800</v>
      </c>
      <c r="T32" s="638"/>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638">
        <f>H13</f>
        <v>326</v>
      </c>
      <c r="T33" s="638"/>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641">
        <f>P21</f>
        <v>2.8</v>
      </c>
      <c r="T34" s="638"/>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641">
        <f>J22</f>
        <v>0.23593310000000001</v>
      </c>
      <c r="T35" s="638"/>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638">
        <f>O10</f>
        <v>1</v>
      </c>
      <c r="T36" s="638"/>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638">
        <v>10</v>
      </c>
      <c r="T37" s="638"/>
      <c r="U37" s="47"/>
      <c r="V37" s="197"/>
    </row>
    <row r="38" spans="1:25" ht="18" customHeight="1">
      <c r="A38" s="311"/>
      <c r="B38" s="291"/>
      <c r="C38" s="47" t="s">
        <v>562</v>
      </c>
      <c r="D38" s="14"/>
      <c r="E38" s="14"/>
      <c r="F38" s="14"/>
      <c r="G38" s="14"/>
      <c r="H38" s="291"/>
      <c r="I38" s="120"/>
      <c r="J38" s="291"/>
      <c r="K38" s="291"/>
      <c r="L38" s="14"/>
      <c r="M38" s="14"/>
      <c r="N38" s="291"/>
      <c r="O38" s="291"/>
      <c r="P38" s="14"/>
      <c r="Q38" s="120" t="s">
        <v>504</v>
      </c>
      <c r="R38" s="14"/>
      <c r="S38" s="291"/>
      <c r="T38" s="291"/>
      <c r="U38" s="291"/>
      <c r="V38" s="312"/>
      <c r="W38" s="291"/>
      <c r="X38" s="291"/>
      <c r="Y38" s="291"/>
    </row>
    <row r="39" spans="1:25" ht="18" customHeight="1">
      <c r="A39" s="196"/>
      <c r="V39" s="197"/>
    </row>
    <row r="40" spans="1:25" ht="18" customHeight="1">
      <c r="A40" s="196"/>
      <c r="C40" s="120" t="s">
        <v>504</v>
      </c>
      <c r="D40" s="28" t="s">
        <v>138</v>
      </c>
      <c r="E40" s="28" t="s">
        <v>548</v>
      </c>
      <c r="F40" s="28">
        <v>1.3</v>
      </c>
      <c r="G40" s="28" t="s">
        <v>326</v>
      </c>
      <c r="H40" s="638" t="s">
        <v>484</v>
      </c>
      <c r="I40" s="920"/>
      <c r="J40" s="28" t="s">
        <v>326</v>
      </c>
      <c r="K40" s="28" t="s">
        <v>522</v>
      </c>
      <c r="L40" s="28" t="s">
        <v>552</v>
      </c>
      <c r="M40" s="28" t="s">
        <v>506</v>
      </c>
      <c r="N40" s="47" t="s">
        <v>553</v>
      </c>
      <c r="O40" s="120" t="s">
        <v>502</v>
      </c>
      <c r="V40" s="197"/>
    </row>
    <row r="41" spans="1:25" ht="18" customHeight="1">
      <c r="A41" s="196"/>
      <c r="C41" s="120" t="s">
        <v>504</v>
      </c>
      <c r="D41" s="28" t="s">
        <v>138</v>
      </c>
      <c r="E41" s="28" t="s">
        <v>548</v>
      </c>
      <c r="F41" s="28">
        <v>1.3</v>
      </c>
      <c r="G41" s="28" t="s">
        <v>326</v>
      </c>
      <c r="H41" s="638">
        <f>S33</f>
        <v>326</v>
      </c>
      <c r="I41" s="920"/>
      <c r="J41" s="28" t="s">
        <v>326</v>
      </c>
      <c r="K41" s="28">
        <f>S36</f>
        <v>1</v>
      </c>
      <c r="L41" s="28" t="s">
        <v>552</v>
      </c>
      <c r="M41" s="28">
        <f>S37</f>
        <v>10</v>
      </c>
      <c r="N41" s="47" t="s">
        <v>553</v>
      </c>
      <c r="O41" s="516">
        <f>S34</f>
        <v>2.8</v>
      </c>
      <c r="V41" s="197"/>
    </row>
    <row r="42" spans="1:25" ht="18" customHeight="1">
      <c r="A42" s="196"/>
      <c r="D42" s="27" t="s">
        <v>138</v>
      </c>
      <c r="E42" s="639">
        <f>((F41*H41*K41)/M41)-O41</f>
        <v>39.580000000000005</v>
      </c>
      <c r="F42" s="639"/>
      <c r="G42" s="27" t="s">
        <v>168</v>
      </c>
      <c r="V42" s="197"/>
    </row>
    <row r="43" spans="1:25" ht="18" customHeight="1">
      <c r="A43" s="196"/>
      <c r="V43" s="197"/>
    </row>
    <row r="44" spans="1:25" s="14" customFormat="1" ht="18" customHeight="1">
      <c r="A44" s="206"/>
      <c r="B44" s="207"/>
      <c r="C44" s="207"/>
      <c r="D44" s="207"/>
      <c r="E44" s="207"/>
      <c r="F44" s="207"/>
      <c r="G44" s="207"/>
      <c r="H44" s="207"/>
      <c r="I44" s="207"/>
      <c r="J44" s="207"/>
      <c r="K44" s="207"/>
      <c r="L44" s="207"/>
      <c r="M44" s="207"/>
      <c r="N44" s="207"/>
      <c r="O44" s="207"/>
      <c r="P44" s="207"/>
      <c r="Q44" s="236"/>
      <c r="R44" s="194"/>
      <c r="S44" s="237"/>
      <c r="T44" s="207"/>
      <c r="U44" s="207"/>
      <c r="V44" s="140" t="s">
        <v>563</v>
      </c>
    </row>
    <row r="45" spans="1:25" ht="18" customHeight="1">
      <c r="A45" s="238"/>
      <c r="B45" s="239"/>
      <c r="C45" s="239"/>
      <c r="D45" s="239"/>
      <c r="E45" s="239"/>
      <c r="F45" s="239"/>
      <c r="G45" s="239"/>
      <c r="H45" s="239"/>
      <c r="I45" s="239"/>
      <c r="J45" s="239"/>
      <c r="K45" s="239"/>
      <c r="L45" s="239"/>
      <c r="M45" s="239"/>
      <c r="N45" s="239"/>
      <c r="O45" s="239"/>
      <c r="P45" s="239"/>
      <c r="Q45" s="239"/>
      <c r="R45" s="239"/>
      <c r="S45" s="239"/>
      <c r="T45" s="239"/>
      <c r="U45" s="239"/>
      <c r="V45" s="240"/>
    </row>
    <row r="46" spans="1:25" ht="18" customHeight="1">
      <c r="A46" s="196"/>
      <c r="E46" s="256" t="s">
        <v>123</v>
      </c>
      <c r="F46" s="27" t="s">
        <v>138</v>
      </c>
      <c r="G46" s="638" t="s">
        <v>555</v>
      </c>
      <c r="H46" s="638"/>
      <c r="I46" s="203" t="s">
        <v>353</v>
      </c>
      <c r="J46" s="639" t="s">
        <v>434</v>
      </c>
      <c r="K46" s="639"/>
      <c r="V46" s="197"/>
    </row>
    <row r="47" spans="1:25" ht="18" customHeight="1">
      <c r="A47" s="196"/>
      <c r="F47" s="27" t="s">
        <v>138</v>
      </c>
      <c r="G47" s="639">
        <f>S31</f>
        <v>17140</v>
      </c>
      <c r="H47" s="639"/>
      <c r="I47" s="203" t="s">
        <v>353</v>
      </c>
      <c r="J47" s="639">
        <f>S32</f>
        <v>800</v>
      </c>
      <c r="K47" s="639"/>
      <c r="V47" s="197"/>
    </row>
    <row r="48" spans="1:25" ht="18" customHeight="1">
      <c r="A48" s="196"/>
      <c r="F48" s="27" t="s">
        <v>138</v>
      </c>
      <c r="G48" s="637">
        <f>G47/J47</f>
        <v>21.425000000000001</v>
      </c>
      <c r="H48" s="637"/>
      <c r="I48" s="27"/>
      <c r="J48" s="27"/>
      <c r="K48" s="27"/>
      <c r="V48" s="197"/>
    </row>
    <row r="49" spans="1:22" ht="18" customHeight="1">
      <c r="A49" s="196"/>
      <c r="V49" s="197"/>
    </row>
    <row r="50" spans="1:22" ht="18" customHeight="1">
      <c r="A50" s="196"/>
      <c r="E50" s="256" t="s">
        <v>564</v>
      </c>
      <c r="F50" s="27" t="s">
        <v>138</v>
      </c>
      <c r="G50" s="27" t="s">
        <v>506</v>
      </c>
      <c r="H50" s="27" t="s">
        <v>565</v>
      </c>
      <c r="I50" s="120" t="s">
        <v>502</v>
      </c>
      <c r="J50" s="28" t="s">
        <v>358</v>
      </c>
      <c r="K50" s="120" t="s">
        <v>504</v>
      </c>
      <c r="L50" s="28" t="s">
        <v>550</v>
      </c>
      <c r="M50" s="120" t="s">
        <v>502</v>
      </c>
      <c r="N50" s="28" t="s">
        <v>358</v>
      </c>
      <c r="O50" s="120" t="s">
        <v>523</v>
      </c>
      <c r="P50" s="308" t="s">
        <v>361</v>
      </c>
      <c r="V50" s="197"/>
    </row>
    <row r="51" spans="1:22" ht="18" customHeight="1">
      <c r="A51" s="196"/>
      <c r="F51" s="27" t="s">
        <v>138</v>
      </c>
      <c r="G51" s="254">
        <f>S37</f>
        <v>10</v>
      </c>
      <c r="H51" s="257" t="s">
        <v>565</v>
      </c>
      <c r="I51" s="313">
        <f>S34</f>
        <v>2.8</v>
      </c>
      <c r="J51" s="257" t="s">
        <v>358</v>
      </c>
      <c r="K51" s="313">
        <f>E42</f>
        <v>39.580000000000005</v>
      </c>
      <c r="L51" s="257" t="s">
        <v>550</v>
      </c>
      <c r="M51" s="313">
        <f>S34</f>
        <v>2.8</v>
      </c>
      <c r="N51" s="257" t="s">
        <v>358</v>
      </c>
      <c r="O51" s="313">
        <f>S35</f>
        <v>0.23593310000000001</v>
      </c>
      <c r="P51" s="474" t="s">
        <v>361</v>
      </c>
      <c r="V51" s="197"/>
    </row>
    <row r="52" spans="1:22" ht="18" customHeight="1">
      <c r="A52" s="196"/>
      <c r="F52" s="27" t="s">
        <v>138</v>
      </c>
      <c r="G52" s="637">
        <f>G51*((I51+K51)/(M51+O51))</f>
        <v>139.59464390042061</v>
      </c>
      <c r="H52" s="637"/>
      <c r="V52" s="197"/>
    </row>
    <row r="53" spans="1:22" ht="18" customHeight="1">
      <c r="A53" s="196"/>
      <c r="V53" s="197"/>
    </row>
    <row r="54" spans="1:22" ht="18" customHeight="1">
      <c r="A54" s="196"/>
      <c r="E54" s="256" t="s">
        <v>566</v>
      </c>
      <c r="F54" s="27" t="str">
        <f>IF(D55&gt;G55,"&gt;","&lt;")</f>
        <v>&gt;</v>
      </c>
      <c r="G54" s="308" t="s">
        <v>123</v>
      </c>
      <c r="V54" s="197"/>
    </row>
    <row r="55" spans="1:22" ht="18" customHeight="1">
      <c r="A55" s="196"/>
      <c r="D55" s="637">
        <f>G52</f>
        <v>139.59464390042061</v>
      </c>
      <c r="E55" s="637"/>
      <c r="F55" s="27" t="str">
        <f>F54</f>
        <v>&gt;</v>
      </c>
      <c r="G55" s="637">
        <f>G48</f>
        <v>21.425000000000001</v>
      </c>
      <c r="H55" s="637"/>
      <c r="V55" s="197"/>
    </row>
    <row r="56" spans="1:22" ht="18" customHeight="1">
      <c r="A56" s="196"/>
      <c r="E56" s="256" t="s">
        <v>489</v>
      </c>
      <c r="G56" s="18" t="str">
        <f>IF(F54="&gt;","Suitably Dimentioned","Under Dimentioned")</f>
        <v>Suitably Dimentioned</v>
      </c>
      <c r="V56" s="197"/>
    </row>
    <row r="57" spans="1:22" ht="18" customHeight="1">
      <c r="A57" s="196"/>
      <c r="V57" s="197"/>
    </row>
    <row r="58" spans="1:22" ht="18" customHeight="1">
      <c r="A58" s="196"/>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3" ht="18" customHeight="1">
      <c r="A81" s="196"/>
      <c r="V81" s="197"/>
    </row>
    <row r="82" spans="1:23" ht="18" customHeight="1">
      <c r="A82" s="196"/>
      <c r="V82" s="197"/>
    </row>
    <row r="83" spans="1:23" ht="18" customHeight="1">
      <c r="A83" s="196"/>
      <c r="V83" s="197"/>
    </row>
    <row r="84" spans="1:23" ht="18" customHeight="1">
      <c r="A84" s="196"/>
      <c r="V84" s="197"/>
    </row>
    <row r="85" spans="1:23" ht="18" customHeight="1">
      <c r="A85" s="196"/>
      <c r="V85" s="197"/>
    </row>
    <row r="86" spans="1:23" ht="18" customHeight="1">
      <c r="A86" s="196"/>
      <c r="V86" s="197"/>
    </row>
    <row r="87" spans="1:23" ht="18" customHeight="1">
      <c r="A87" s="196"/>
      <c r="V87" s="197"/>
    </row>
    <row r="88" spans="1:23" s="14" customFormat="1" ht="18" customHeight="1">
      <c r="A88" s="206"/>
      <c r="B88" s="207"/>
      <c r="C88" s="207"/>
      <c r="D88" s="207"/>
      <c r="E88" s="207"/>
      <c r="F88" s="207"/>
      <c r="G88" s="207"/>
      <c r="H88" s="207"/>
      <c r="I88" s="207"/>
      <c r="J88" s="207"/>
      <c r="K88" s="207"/>
      <c r="L88" s="207"/>
      <c r="M88" s="207"/>
      <c r="N88" s="207"/>
      <c r="O88" s="207"/>
      <c r="P88" s="207"/>
      <c r="Q88" s="236"/>
      <c r="R88" s="194"/>
      <c r="S88" s="237"/>
      <c r="T88" s="207"/>
      <c r="U88" s="207"/>
      <c r="V88" s="140" t="s">
        <v>563</v>
      </c>
    </row>
    <row r="89" spans="1:23" ht="18" customHeight="1">
      <c r="A89" s="238"/>
      <c r="B89" s="239"/>
      <c r="C89" s="239"/>
      <c r="D89" s="239"/>
      <c r="E89" s="239"/>
      <c r="F89" s="239"/>
      <c r="G89" s="239"/>
      <c r="H89" s="239"/>
      <c r="I89" s="239"/>
      <c r="J89" s="239"/>
      <c r="K89" s="239"/>
      <c r="L89" s="239"/>
      <c r="M89" s="239"/>
      <c r="N89" s="239"/>
      <c r="O89" s="239"/>
      <c r="P89" s="239"/>
      <c r="Q89" s="239"/>
      <c r="R89" s="239"/>
      <c r="S89" s="239"/>
      <c r="T89" s="239"/>
      <c r="U89" s="239"/>
      <c r="V89" s="240"/>
    </row>
    <row r="90" spans="1:23" ht="18" customHeight="1">
      <c r="A90" s="196"/>
      <c r="B90" s="650" t="str">
        <f>B7</f>
        <v>CT1L</v>
      </c>
      <c r="C90" s="651"/>
      <c r="D90" s="660" t="str">
        <f>D7</f>
        <v>Core1</v>
      </c>
      <c r="E90" s="623"/>
      <c r="F90" s="468"/>
      <c r="H90" s="639" t="str">
        <f>H7</f>
        <v>(OC+FMS+BFR)</v>
      </c>
      <c r="I90" s="639"/>
      <c r="J90" s="639"/>
      <c r="K90" s="639"/>
      <c r="L90" s="639"/>
      <c r="M90" s="639"/>
      <c r="P90" s="198"/>
      <c r="S90" s="199" t="s">
        <v>398</v>
      </c>
      <c r="T90" s="658">
        <f>T7</f>
        <v>0</v>
      </c>
      <c r="U90" s="659"/>
      <c r="V90" s="197"/>
    </row>
    <row r="91" spans="1:23" ht="18" customHeight="1">
      <c r="A91" s="469"/>
      <c r="F91" s="468"/>
      <c r="T91" s="658">
        <f>T8</f>
        <v>0</v>
      </c>
      <c r="U91" s="659"/>
      <c r="V91" s="197"/>
    </row>
    <row r="92" spans="1:23" ht="18" customHeight="1">
      <c r="A92" s="196"/>
      <c r="H92" s="661" t="s">
        <v>401</v>
      </c>
      <c r="I92" s="661"/>
      <c r="J92" s="662" t="s">
        <v>402</v>
      </c>
      <c r="K92" s="662"/>
      <c r="L92" s="701" t="s">
        <v>403</v>
      </c>
      <c r="M92" s="701"/>
      <c r="T92" s="658">
        <f>T9</f>
        <v>0</v>
      </c>
      <c r="U92" s="659"/>
      <c r="V92" s="197"/>
    </row>
    <row r="93" spans="1:23" ht="18" customHeight="1">
      <c r="A93" s="196"/>
      <c r="B93" s="47" t="s">
        <v>404</v>
      </c>
      <c r="H93" s="650">
        <f>H10</f>
        <v>800</v>
      </c>
      <c r="I93" s="651"/>
      <c r="J93" s="652">
        <f>J10</f>
        <v>2000</v>
      </c>
      <c r="K93" s="653"/>
      <c r="L93" s="650">
        <f>L10</f>
        <v>1000</v>
      </c>
      <c r="M93" s="651"/>
      <c r="N93" s="203" t="s">
        <v>353</v>
      </c>
      <c r="O93" s="268">
        <f>O10</f>
        <v>1</v>
      </c>
      <c r="P93" s="27" t="s">
        <v>9</v>
      </c>
      <c r="R93" s="267"/>
      <c r="S93" s="267"/>
      <c r="V93" s="197"/>
    </row>
    <row r="94" spans="1:23" ht="18" customHeight="1">
      <c r="A94" s="196"/>
      <c r="B94" s="47" t="s">
        <v>405</v>
      </c>
      <c r="J94" s="650" t="str">
        <f>H11</f>
        <v>PX</v>
      </c>
      <c r="K94" s="651"/>
      <c r="V94" s="197"/>
    </row>
    <row r="95" spans="1:23" ht="18" customHeight="1">
      <c r="A95" s="196"/>
      <c r="B95" s="47" t="s">
        <v>407</v>
      </c>
      <c r="I95" s="120" t="s">
        <v>508</v>
      </c>
      <c r="J95" s="940">
        <v>12</v>
      </c>
      <c r="K95" s="941"/>
      <c r="L95" s="204" t="s">
        <v>344</v>
      </c>
      <c r="V95" s="197"/>
    </row>
    <row r="96" spans="1:23" ht="18" customHeight="1">
      <c r="A96" s="196"/>
      <c r="B96" s="47" t="s">
        <v>409</v>
      </c>
      <c r="I96" s="120" t="s">
        <v>509</v>
      </c>
      <c r="J96" s="940">
        <v>1200</v>
      </c>
      <c r="K96" s="941"/>
      <c r="L96" s="14" t="s">
        <v>316</v>
      </c>
      <c r="T96" s="307"/>
      <c r="U96" s="18"/>
      <c r="V96" s="197"/>
      <c r="W96" s="30" t="str">
        <f>G144</f>
        <v>Suitably Dimentioned</v>
      </c>
    </row>
    <row r="97" spans="1:22" ht="18" customHeight="1">
      <c r="A97" s="196"/>
      <c r="B97" s="14" t="s">
        <v>412</v>
      </c>
      <c r="I97" s="120" t="s">
        <v>413</v>
      </c>
      <c r="J97" s="940">
        <v>50</v>
      </c>
      <c r="K97" s="941"/>
      <c r="L97" s="14" t="s">
        <v>414</v>
      </c>
      <c r="V97" s="197"/>
    </row>
    <row r="98" spans="1:22" ht="18" customHeight="1">
      <c r="A98" s="196"/>
      <c r="V98" s="197"/>
    </row>
    <row r="99" spans="1:22" ht="18" customHeight="1">
      <c r="A99" s="205" t="s">
        <v>415</v>
      </c>
      <c r="V99" s="197"/>
    </row>
    <row r="100" spans="1:22" ht="18" customHeight="1">
      <c r="A100" s="196"/>
      <c r="V100" s="197"/>
    </row>
    <row r="101" spans="1:22" ht="18" customHeight="1">
      <c r="A101" s="196"/>
      <c r="B101" s="141" t="s">
        <v>416</v>
      </c>
      <c r="C101" s="285"/>
      <c r="D101" s="146">
        <f>T90</f>
        <v>0</v>
      </c>
      <c r="E101" s="239"/>
      <c r="F101" s="239"/>
      <c r="G101" s="239"/>
      <c r="H101" s="145"/>
      <c r="I101" s="272" t="s">
        <v>138</v>
      </c>
      <c r="J101" s="648">
        <f>J18</f>
        <v>0</v>
      </c>
      <c r="K101" s="649"/>
      <c r="L101" s="3" t="s">
        <v>168</v>
      </c>
      <c r="N101" s="209" t="s">
        <v>521</v>
      </c>
      <c r="V101" s="197"/>
    </row>
    <row r="102" spans="1:22" ht="18" customHeight="1">
      <c r="A102" s="196"/>
      <c r="B102" s="96" t="s">
        <v>416</v>
      </c>
      <c r="C102" s="14"/>
      <c r="D102" s="47">
        <f>T91</f>
        <v>0</v>
      </c>
      <c r="H102" s="28"/>
      <c r="I102" s="101" t="s">
        <v>138</v>
      </c>
      <c r="J102" s="648">
        <f>J19</f>
        <v>0</v>
      </c>
      <c r="K102" s="649"/>
      <c r="L102" s="3" t="s">
        <v>168</v>
      </c>
      <c r="N102" s="120" t="s">
        <v>502</v>
      </c>
      <c r="O102" s="27" t="s">
        <v>138</v>
      </c>
      <c r="P102" s="27" t="s">
        <v>522</v>
      </c>
      <c r="Q102" s="27" t="s">
        <v>326</v>
      </c>
      <c r="R102" s="27" t="s">
        <v>522</v>
      </c>
      <c r="S102" s="27" t="s">
        <v>326</v>
      </c>
      <c r="T102" s="27" t="s">
        <v>431</v>
      </c>
      <c r="V102" s="197"/>
    </row>
    <row r="103" spans="1:22" ht="18" customHeight="1">
      <c r="A103" s="196"/>
      <c r="B103" s="96" t="s">
        <v>416</v>
      </c>
      <c r="C103" s="14"/>
      <c r="D103" s="47">
        <f>T92</f>
        <v>0</v>
      </c>
      <c r="H103" s="28"/>
      <c r="I103" s="101" t="s">
        <v>138</v>
      </c>
      <c r="J103" s="648">
        <f>J20</f>
        <v>0</v>
      </c>
      <c r="K103" s="649"/>
      <c r="L103" s="3" t="s">
        <v>168</v>
      </c>
      <c r="N103" s="27"/>
      <c r="O103" s="27" t="s">
        <v>138</v>
      </c>
      <c r="P103" s="27">
        <f>O93</f>
        <v>1</v>
      </c>
      <c r="Q103" s="27" t="s">
        <v>326</v>
      </c>
      <c r="R103" s="27">
        <f>O93</f>
        <v>1</v>
      </c>
      <c r="S103" s="27" t="s">
        <v>326</v>
      </c>
      <c r="T103" s="27">
        <f>J95</f>
        <v>12</v>
      </c>
      <c r="V103" s="197"/>
    </row>
    <row r="104" spans="1:22" ht="18" customHeight="1">
      <c r="A104" s="196"/>
      <c r="B104" s="465" t="s">
        <v>423</v>
      </c>
      <c r="C104" s="271"/>
      <c r="D104" s="271"/>
      <c r="E104" s="271"/>
      <c r="F104" s="219"/>
      <c r="G104" s="219"/>
      <c r="H104" s="202"/>
      <c r="I104" s="220" t="s">
        <v>138</v>
      </c>
      <c r="J104" s="646">
        <f>J21</f>
        <v>0.23593310000000001</v>
      </c>
      <c r="K104" s="647"/>
      <c r="L104" s="309" t="s">
        <v>168</v>
      </c>
      <c r="O104" s="27" t="s">
        <v>138</v>
      </c>
      <c r="P104" s="637">
        <f>P103*R103*T103</f>
        <v>12</v>
      </c>
      <c r="Q104" s="639"/>
      <c r="R104" s="27" t="s">
        <v>168</v>
      </c>
      <c r="V104" s="197"/>
    </row>
    <row r="105" spans="1:22" ht="18" customHeight="1">
      <c r="A105" s="196"/>
      <c r="B105" s="1" t="s">
        <v>424</v>
      </c>
      <c r="C105" s="2"/>
      <c r="D105" s="2"/>
      <c r="E105" s="2"/>
      <c r="F105" s="208"/>
      <c r="G105" s="208"/>
      <c r="H105" s="236" t="s">
        <v>523</v>
      </c>
      <c r="I105" s="195" t="s">
        <v>138</v>
      </c>
      <c r="J105" s="648">
        <f>SUM(J101:J104)</f>
        <v>0.23593310000000001</v>
      </c>
      <c r="K105" s="649"/>
      <c r="L105" s="3" t="s">
        <v>168</v>
      </c>
      <c r="V105" s="197"/>
    </row>
    <row r="106" spans="1:22" ht="18" customHeight="1">
      <c r="A106" s="196"/>
      <c r="B106" s="47"/>
      <c r="C106" s="47"/>
      <c r="D106" s="47"/>
      <c r="E106" s="47"/>
      <c r="H106" s="27"/>
      <c r="I106" s="28"/>
      <c r="J106" s="211"/>
      <c r="L106" s="47"/>
      <c r="S106" s="27"/>
      <c r="V106" s="197"/>
    </row>
    <row r="107" spans="1:22" ht="18" customHeight="1">
      <c r="A107" s="964" t="s">
        <v>547</v>
      </c>
      <c r="B107" s="965"/>
      <c r="C107" s="965"/>
      <c r="D107" s="965"/>
      <c r="E107" s="965"/>
      <c r="F107" s="965"/>
      <c r="G107" s="965"/>
      <c r="H107" s="965"/>
      <c r="I107" s="965"/>
      <c r="J107" s="965"/>
      <c r="K107" s="965"/>
      <c r="L107" s="965"/>
      <c r="M107" s="965"/>
      <c r="N107" s="965"/>
      <c r="O107" s="965"/>
      <c r="P107" s="965"/>
      <c r="Q107" s="965"/>
      <c r="R107" s="965"/>
      <c r="S107" s="965"/>
      <c r="T107" s="965"/>
      <c r="U107" s="965"/>
      <c r="V107" s="966"/>
    </row>
    <row r="108" spans="1:22" ht="18" customHeight="1">
      <c r="A108" s="967"/>
      <c r="B108" s="965"/>
      <c r="C108" s="965"/>
      <c r="D108" s="965"/>
      <c r="E108" s="965"/>
      <c r="F108" s="965"/>
      <c r="G108" s="965"/>
      <c r="H108" s="965"/>
      <c r="I108" s="965"/>
      <c r="J108" s="965"/>
      <c r="K108" s="965"/>
      <c r="L108" s="965"/>
      <c r="M108" s="965"/>
      <c r="N108" s="965"/>
      <c r="O108" s="965"/>
      <c r="P108" s="965"/>
      <c r="Q108" s="965"/>
      <c r="R108" s="965"/>
      <c r="S108" s="965"/>
      <c r="T108" s="965"/>
      <c r="U108" s="965"/>
      <c r="V108" s="966"/>
    </row>
    <row r="109" spans="1:22" ht="18" customHeight="1">
      <c r="A109" s="196"/>
      <c r="Q109" s="223"/>
      <c r="R109" s="204"/>
      <c r="V109" s="197"/>
    </row>
    <row r="110" spans="1:22" ht="18" customHeight="1">
      <c r="A110" s="196"/>
      <c r="C110" s="14" t="s">
        <v>484</v>
      </c>
      <c r="D110" s="28" t="s">
        <v>138</v>
      </c>
      <c r="E110" s="28" t="s">
        <v>548</v>
      </c>
      <c r="F110" s="120" t="s">
        <v>504</v>
      </c>
      <c r="G110" s="28" t="s">
        <v>358</v>
      </c>
      <c r="H110" s="120" t="s">
        <v>502</v>
      </c>
      <c r="I110" s="28" t="s">
        <v>549</v>
      </c>
      <c r="J110" s="28" t="s">
        <v>506</v>
      </c>
      <c r="K110" s="28" t="s">
        <v>550</v>
      </c>
      <c r="L110" s="28" t="s">
        <v>522</v>
      </c>
      <c r="M110" s="28" t="s">
        <v>326</v>
      </c>
      <c r="N110" s="28">
        <v>1.3</v>
      </c>
      <c r="O110" s="47" t="s">
        <v>361</v>
      </c>
      <c r="V110" s="197"/>
    </row>
    <row r="111" spans="1:22" ht="18" customHeight="1">
      <c r="A111" s="196" t="s">
        <v>551</v>
      </c>
      <c r="C111" s="14"/>
      <c r="D111" s="28"/>
      <c r="E111" s="14"/>
      <c r="F111" s="14"/>
      <c r="G111" s="14"/>
      <c r="H111" s="14"/>
      <c r="I111" s="14"/>
      <c r="J111" s="14"/>
      <c r="K111" s="14"/>
      <c r="L111" s="14"/>
      <c r="M111" s="14"/>
      <c r="N111" s="14"/>
      <c r="O111" s="14"/>
      <c r="V111" s="197"/>
    </row>
    <row r="112" spans="1:22" ht="18" customHeight="1">
      <c r="A112" s="196"/>
      <c r="C112" s="120" t="s">
        <v>504</v>
      </c>
      <c r="D112" s="28" t="s">
        <v>138</v>
      </c>
      <c r="E112" s="28" t="s">
        <v>548</v>
      </c>
      <c r="F112" s="28">
        <v>1.3</v>
      </c>
      <c r="G112" s="28" t="s">
        <v>326</v>
      </c>
      <c r="H112" s="638" t="s">
        <v>484</v>
      </c>
      <c r="I112" s="920"/>
      <c r="J112" s="28" t="s">
        <v>326</v>
      </c>
      <c r="K112" s="28" t="s">
        <v>522</v>
      </c>
      <c r="L112" s="28" t="s">
        <v>552</v>
      </c>
      <c r="M112" s="28" t="s">
        <v>506</v>
      </c>
      <c r="N112" s="47" t="s">
        <v>553</v>
      </c>
      <c r="O112" s="120" t="s">
        <v>502</v>
      </c>
      <c r="V112" s="197"/>
    </row>
    <row r="113" spans="1:25" ht="18" customHeight="1">
      <c r="A113" s="196"/>
      <c r="V113" s="197"/>
    </row>
    <row r="114" spans="1:25" ht="18" customHeight="1">
      <c r="A114" s="180"/>
      <c r="B114" s="5"/>
      <c r="C114" s="47" t="s">
        <v>554</v>
      </c>
      <c r="D114" s="14"/>
      <c r="E114" s="14"/>
      <c r="F114" s="14"/>
      <c r="G114" s="14"/>
      <c r="H114" s="291"/>
      <c r="I114" s="120"/>
      <c r="J114" s="291"/>
      <c r="K114" s="291"/>
      <c r="L114" s="14"/>
      <c r="M114" s="14"/>
      <c r="N114" s="14"/>
      <c r="O114" s="14"/>
      <c r="P114" s="14"/>
      <c r="Q114" s="120" t="s">
        <v>555</v>
      </c>
      <c r="R114" s="102" t="s">
        <v>138</v>
      </c>
      <c r="S114" s="638">
        <f>S31</f>
        <v>17140</v>
      </c>
      <c r="T114" s="638"/>
      <c r="U114" s="47" t="s">
        <v>9</v>
      </c>
      <c r="V114" s="197"/>
    </row>
    <row r="115" spans="1:25" ht="18" customHeight="1">
      <c r="A115" s="180"/>
      <c r="B115" s="5"/>
      <c r="C115" s="47" t="s">
        <v>556</v>
      </c>
      <c r="D115" s="14"/>
      <c r="E115" s="14"/>
      <c r="F115" s="18"/>
      <c r="G115" s="18"/>
      <c r="H115" s="291"/>
      <c r="I115" s="120"/>
      <c r="J115" s="291"/>
      <c r="K115" s="291"/>
      <c r="L115" s="14"/>
      <c r="M115" s="14"/>
      <c r="N115" s="14"/>
      <c r="O115" s="14"/>
      <c r="P115" s="14"/>
      <c r="Q115" s="120" t="s">
        <v>434</v>
      </c>
      <c r="R115" s="102" t="s">
        <v>138</v>
      </c>
      <c r="S115" s="638">
        <f>J93</f>
        <v>2000</v>
      </c>
      <c r="T115" s="638"/>
      <c r="U115" s="14" t="s">
        <v>9</v>
      </c>
      <c r="V115" s="197"/>
    </row>
    <row r="116" spans="1:25" ht="18" customHeight="1">
      <c r="A116" s="180"/>
      <c r="B116" s="5"/>
      <c r="C116" s="47" t="s">
        <v>557</v>
      </c>
      <c r="D116" s="14"/>
      <c r="E116" s="14"/>
      <c r="F116" s="18"/>
      <c r="G116" s="18"/>
      <c r="H116" s="291"/>
      <c r="I116" s="120"/>
      <c r="J116" s="291"/>
      <c r="K116" s="291"/>
      <c r="L116" s="14"/>
      <c r="M116" s="14"/>
      <c r="N116" s="14"/>
      <c r="O116" s="14"/>
      <c r="P116" s="14"/>
      <c r="Q116" s="120" t="s">
        <v>484</v>
      </c>
      <c r="R116" s="102" t="s">
        <v>138</v>
      </c>
      <c r="S116" s="638">
        <f>J96</f>
        <v>1200</v>
      </c>
      <c r="T116" s="638"/>
      <c r="U116" s="14" t="s">
        <v>316</v>
      </c>
      <c r="V116" s="197"/>
    </row>
    <row r="117" spans="1:25" ht="18" customHeight="1">
      <c r="A117" s="180"/>
      <c r="B117" s="5"/>
      <c r="C117" s="47" t="s">
        <v>558</v>
      </c>
      <c r="D117" s="14"/>
      <c r="E117" s="14"/>
      <c r="F117" s="18"/>
      <c r="G117" s="18"/>
      <c r="H117" s="291"/>
      <c r="I117" s="120"/>
      <c r="J117" s="291"/>
      <c r="K117" s="291"/>
      <c r="L117" s="14"/>
      <c r="M117" s="14"/>
      <c r="N117" s="14"/>
      <c r="O117" s="14"/>
      <c r="P117" s="14"/>
      <c r="Q117" s="120" t="s">
        <v>502</v>
      </c>
      <c r="R117" s="102" t="s">
        <v>138</v>
      </c>
      <c r="S117" s="641">
        <f>P104</f>
        <v>12</v>
      </c>
      <c r="T117" s="638"/>
      <c r="U117" s="14" t="s">
        <v>168</v>
      </c>
      <c r="V117" s="197"/>
      <c r="W117" s="291"/>
      <c r="X117" s="291"/>
      <c r="Y117" s="291"/>
    </row>
    <row r="118" spans="1:25" ht="18" customHeight="1">
      <c r="A118" s="180"/>
      <c r="B118" s="5"/>
      <c r="C118" s="47" t="s">
        <v>559</v>
      </c>
      <c r="D118" s="14"/>
      <c r="E118" s="14"/>
      <c r="F118" s="18"/>
      <c r="G118" s="18"/>
      <c r="H118" s="291"/>
      <c r="I118" s="120"/>
      <c r="J118" s="291"/>
      <c r="K118" s="291"/>
      <c r="L118" s="14"/>
      <c r="M118" s="14"/>
      <c r="N118" s="14"/>
      <c r="O118" s="14"/>
      <c r="P118" s="14"/>
      <c r="Q118" s="120" t="s">
        <v>523</v>
      </c>
      <c r="R118" s="102" t="s">
        <v>138</v>
      </c>
      <c r="S118" s="641">
        <f>J105</f>
        <v>0.23593310000000001</v>
      </c>
      <c r="T118" s="638"/>
      <c r="U118" s="14" t="s">
        <v>168</v>
      </c>
      <c r="V118" s="197"/>
      <c r="X118" s="291"/>
      <c r="Y118" s="291"/>
    </row>
    <row r="119" spans="1:25" ht="18" customHeight="1">
      <c r="A119" s="180"/>
      <c r="B119" s="5"/>
      <c r="C119" s="47" t="s">
        <v>560</v>
      </c>
      <c r="D119" s="14"/>
      <c r="E119" s="14"/>
      <c r="F119" s="14"/>
      <c r="G119" s="14"/>
      <c r="H119" s="291"/>
      <c r="I119" s="120"/>
      <c r="J119" s="291"/>
      <c r="K119" s="291"/>
      <c r="L119" s="14"/>
      <c r="M119" s="14"/>
      <c r="N119" s="14"/>
      <c r="O119" s="14"/>
      <c r="P119" s="14"/>
      <c r="Q119" s="120" t="s">
        <v>522</v>
      </c>
      <c r="R119" s="102" t="s">
        <v>138</v>
      </c>
      <c r="S119" s="638">
        <f>O93</f>
        <v>1</v>
      </c>
      <c r="T119" s="638"/>
      <c r="U119" s="14" t="s">
        <v>9</v>
      </c>
      <c r="V119" s="197"/>
      <c r="X119" s="291"/>
      <c r="Y119" s="291"/>
    </row>
    <row r="120" spans="1:25" ht="18" customHeight="1">
      <c r="A120" s="180"/>
      <c r="B120" s="5"/>
      <c r="C120" s="47" t="s">
        <v>561</v>
      </c>
      <c r="D120" s="14"/>
      <c r="E120" s="14"/>
      <c r="F120" s="14"/>
      <c r="G120" s="14"/>
      <c r="H120" s="291"/>
      <c r="I120" s="120"/>
      <c r="J120" s="291"/>
      <c r="K120" s="291"/>
      <c r="L120" s="14"/>
      <c r="M120" s="14"/>
      <c r="N120" s="14"/>
      <c r="O120" s="14"/>
      <c r="P120" s="14"/>
      <c r="Q120" s="120" t="s">
        <v>506</v>
      </c>
      <c r="R120" s="102" t="s">
        <v>138</v>
      </c>
      <c r="S120" s="638">
        <v>20</v>
      </c>
      <c r="T120" s="638"/>
      <c r="U120" s="47"/>
      <c r="V120" s="197"/>
    </row>
    <row r="121" spans="1:25" ht="18" customHeight="1">
      <c r="A121" s="311"/>
      <c r="B121" s="291"/>
      <c r="C121" s="47" t="s">
        <v>562</v>
      </c>
      <c r="D121" s="14"/>
      <c r="E121" s="14"/>
      <c r="F121" s="14"/>
      <c r="G121" s="14"/>
      <c r="H121" s="291"/>
      <c r="I121" s="120"/>
      <c r="J121" s="291"/>
      <c r="K121" s="291"/>
      <c r="L121" s="14"/>
      <c r="M121" s="14"/>
      <c r="N121" s="291"/>
      <c r="O121" s="291"/>
      <c r="P121" s="14"/>
      <c r="Q121" s="120" t="s">
        <v>504</v>
      </c>
      <c r="R121" s="14"/>
      <c r="S121" s="291"/>
      <c r="T121" s="291"/>
      <c r="U121" s="291"/>
      <c r="V121" s="312"/>
      <c r="W121" s="291"/>
      <c r="X121" s="291"/>
      <c r="Y121" s="291"/>
    </row>
    <row r="122" spans="1:25" ht="18" customHeight="1">
      <c r="A122" s="196"/>
      <c r="V122" s="197"/>
    </row>
    <row r="123" spans="1:25" ht="18" customHeight="1">
      <c r="A123" s="196"/>
      <c r="C123" s="120" t="s">
        <v>504</v>
      </c>
      <c r="D123" s="28" t="s">
        <v>138</v>
      </c>
      <c r="E123" s="28" t="s">
        <v>548</v>
      </c>
      <c r="F123" s="28">
        <v>1.3</v>
      </c>
      <c r="G123" s="28" t="s">
        <v>326</v>
      </c>
      <c r="H123" s="638" t="s">
        <v>484</v>
      </c>
      <c r="I123" s="920"/>
      <c r="J123" s="28" t="s">
        <v>326</v>
      </c>
      <c r="K123" s="28" t="s">
        <v>522</v>
      </c>
      <c r="L123" s="28" t="s">
        <v>552</v>
      </c>
      <c r="M123" s="28" t="s">
        <v>506</v>
      </c>
      <c r="N123" s="47" t="s">
        <v>553</v>
      </c>
      <c r="O123" s="120" t="s">
        <v>502</v>
      </c>
      <c r="V123" s="197"/>
    </row>
    <row r="124" spans="1:25" ht="18" customHeight="1">
      <c r="A124" s="196"/>
      <c r="C124" s="120" t="s">
        <v>504</v>
      </c>
      <c r="D124" s="28" t="s">
        <v>138</v>
      </c>
      <c r="E124" s="28" t="s">
        <v>548</v>
      </c>
      <c r="F124" s="28">
        <v>1.3</v>
      </c>
      <c r="G124" s="28" t="s">
        <v>326</v>
      </c>
      <c r="H124" s="638">
        <f>S116</f>
        <v>1200</v>
      </c>
      <c r="I124" s="920"/>
      <c r="J124" s="28" t="s">
        <v>326</v>
      </c>
      <c r="K124" s="28">
        <f>S119</f>
        <v>1</v>
      </c>
      <c r="L124" s="28" t="s">
        <v>552</v>
      </c>
      <c r="M124" s="28">
        <f>S120</f>
        <v>20</v>
      </c>
      <c r="N124" s="47" t="s">
        <v>553</v>
      </c>
      <c r="O124" s="516">
        <f>S117</f>
        <v>12</v>
      </c>
      <c r="V124" s="197"/>
    </row>
    <row r="125" spans="1:25" ht="18" customHeight="1">
      <c r="A125" s="196"/>
      <c r="D125" s="27" t="s">
        <v>138</v>
      </c>
      <c r="E125" s="639">
        <f>((F124*H124*K124)/M124)-O124</f>
        <v>66</v>
      </c>
      <c r="F125" s="639"/>
      <c r="G125" s="27" t="s">
        <v>168</v>
      </c>
      <c r="V125" s="197"/>
    </row>
    <row r="126" spans="1:25" ht="18" customHeight="1">
      <c r="A126" s="196"/>
      <c r="D126" s="27"/>
      <c r="E126" s="27"/>
      <c r="F126" s="27"/>
      <c r="G126" s="27"/>
      <c r="V126" s="197"/>
    </row>
    <row r="127" spans="1:25" ht="18" customHeight="1">
      <c r="A127" s="196"/>
      <c r="D127" s="27"/>
      <c r="E127" s="27"/>
      <c r="F127" s="27"/>
      <c r="G127" s="27"/>
      <c r="V127" s="197"/>
    </row>
    <row r="128" spans="1:25" ht="18" customHeight="1">
      <c r="A128" s="196"/>
      <c r="D128" s="27"/>
      <c r="E128" s="27"/>
      <c r="F128" s="27"/>
      <c r="G128" s="27"/>
      <c r="V128" s="197"/>
    </row>
    <row r="129" spans="1:22" ht="18" customHeight="1">
      <c r="A129" s="196"/>
      <c r="D129" s="27"/>
      <c r="E129" s="27"/>
      <c r="F129" s="27"/>
      <c r="G129" s="27"/>
      <c r="V129" s="197"/>
    </row>
    <row r="130" spans="1:22" ht="18" customHeight="1">
      <c r="A130" s="196"/>
      <c r="D130" s="27"/>
      <c r="E130" s="27"/>
      <c r="F130" s="27"/>
      <c r="G130" s="27"/>
      <c r="V130" s="197"/>
    </row>
    <row r="131" spans="1:22" ht="18" customHeight="1">
      <c r="A131" s="196"/>
      <c r="V131" s="197"/>
    </row>
    <row r="132" spans="1:22" s="14" customFormat="1" ht="18" customHeight="1">
      <c r="A132" s="206"/>
      <c r="B132" s="207"/>
      <c r="C132" s="207"/>
      <c r="D132" s="207"/>
      <c r="E132" s="207"/>
      <c r="F132" s="207"/>
      <c r="G132" s="207"/>
      <c r="H132" s="207"/>
      <c r="I132" s="207"/>
      <c r="J132" s="207"/>
      <c r="K132" s="207"/>
      <c r="L132" s="207"/>
      <c r="M132" s="207"/>
      <c r="N132" s="207"/>
      <c r="O132" s="207"/>
      <c r="P132" s="207"/>
      <c r="Q132" s="236"/>
      <c r="R132" s="194"/>
      <c r="S132" s="237"/>
      <c r="T132" s="207"/>
      <c r="U132" s="207"/>
      <c r="V132" s="140" t="s">
        <v>563</v>
      </c>
    </row>
    <row r="133" spans="1:22" ht="18" customHeight="1">
      <c r="A133" s="238"/>
      <c r="B133" s="239"/>
      <c r="C133" s="239"/>
      <c r="D133" s="239"/>
      <c r="E133" s="239"/>
      <c r="F133" s="239"/>
      <c r="G133" s="239"/>
      <c r="H133" s="239"/>
      <c r="I133" s="239"/>
      <c r="J133" s="239"/>
      <c r="K133" s="239"/>
      <c r="L133" s="239"/>
      <c r="M133" s="239"/>
      <c r="N133" s="239"/>
      <c r="O133" s="239"/>
      <c r="P133" s="239"/>
      <c r="Q133" s="239"/>
      <c r="R133" s="239"/>
      <c r="S133" s="239"/>
      <c r="T133" s="239"/>
      <c r="U133" s="239"/>
      <c r="V133" s="240"/>
    </row>
    <row r="134" spans="1:22" ht="18" customHeight="1">
      <c r="A134" s="196"/>
      <c r="E134" s="256" t="s">
        <v>123</v>
      </c>
      <c r="F134" s="27" t="s">
        <v>138</v>
      </c>
      <c r="G134" s="638" t="s">
        <v>555</v>
      </c>
      <c r="H134" s="638"/>
      <c r="I134" s="203" t="s">
        <v>353</v>
      </c>
      <c r="J134" s="639" t="s">
        <v>434</v>
      </c>
      <c r="K134" s="639"/>
      <c r="V134" s="197"/>
    </row>
    <row r="135" spans="1:22" ht="18" customHeight="1">
      <c r="A135" s="196"/>
      <c r="F135" s="27" t="s">
        <v>138</v>
      </c>
      <c r="G135" s="639">
        <f>S114</f>
        <v>17140</v>
      </c>
      <c r="H135" s="639"/>
      <c r="I135" s="203" t="s">
        <v>353</v>
      </c>
      <c r="J135" s="639">
        <f>S115</f>
        <v>2000</v>
      </c>
      <c r="K135" s="639"/>
      <c r="V135" s="197"/>
    </row>
    <row r="136" spans="1:22" ht="18" customHeight="1">
      <c r="A136" s="196"/>
      <c r="F136" s="27" t="s">
        <v>138</v>
      </c>
      <c r="G136" s="637">
        <f>G135/J135</f>
        <v>8.57</v>
      </c>
      <c r="H136" s="637"/>
      <c r="I136" s="27"/>
      <c r="J136" s="27"/>
      <c r="K136" s="27"/>
      <c r="V136" s="197"/>
    </row>
    <row r="137" spans="1:22" ht="18" customHeight="1">
      <c r="A137" s="196"/>
      <c r="V137" s="197"/>
    </row>
    <row r="138" spans="1:22" ht="18" customHeight="1">
      <c r="A138" s="196"/>
      <c r="E138" s="256" t="s">
        <v>564</v>
      </c>
      <c r="F138" s="27" t="s">
        <v>138</v>
      </c>
      <c r="G138" s="27" t="s">
        <v>506</v>
      </c>
      <c r="H138" s="27" t="s">
        <v>565</v>
      </c>
      <c r="I138" s="120" t="s">
        <v>502</v>
      </c>
      <c r="J138" s="28" t="s">
        <v>358</v>
      </c>
      <c r="K138" s="120" t="s">
        <v>504</v>
      </c>
      <c r="L138" s="28" t="s">
        <v>550</v>
      </c>
      <c r="M138" s="120" t="s">
        <v>502</v>
      </c>
      <c r="N138" s="28" t="s">
        <v>358</v>
      </c>
      <c r="O138" s="120" t="s">
        <v>523</v>
      </c>
      <c r="P138" s="308" t="s">
        <v>361</v>
      </c>
      <c r="V138" s="197"/>
    </row>
    <row r="139" spans="1:22" ht="18" customHeight="1">
      <c r="A139" s="196"/>
      <c r="F139" s="27" t="s">
        <v>138</v>
      </c>
      <c r="G139" s="254">
        <f>S120</f>
        <v>20</v>
      </c>
      <c r="H139" s="257" t="s">
        <v>565</v>
      </c>
      <c r="I139" s="313">
        <f>S117</f>
        <v>12</v>
      </c>
      <c r="J139" s="257" t="s">
        <v>358</v>
      </c>
      <c r="K139" s="313">
        <f>E125</f>
        <v>66</v>
      </c>
      <c r="L139" s="257" t="s">
        <v>550</v>
      </c>
      <c r="M139" s="313">
        <f>S117</f>
        <v>12</v>
      </c>
      <c r="N139" s="257" t="s">
        <v>358</v>
      </c>
      <c r="O139" s="313">
        <f>S118</f>
        <v>0.23593310000000001</v>
      </c>
      <c r="P139" s="474" t="s">
        <v>361</v>
      </c>
      <c r="V139" s="197"/>
    </row>
    <row r="140" spans="1:22" ht="18" customHeight="1">
      <c r="A140" s="196"/>
      <c r="F140" s="27" t="s">
        <v>138</v>
      </c>
      <c r="G140" s="637">
        <f>G139*((I139+K139)/(M139+O139))</f>
        <v>127.49334172152346</v>
      </c>
      <c r="H140" s="637"/>
      <c r="V140" s="197"/>
    </row>
    <row r="141" spans="1:22" ht="18" customHeight="1">
      <c r="A141" s="196"/>
      <c r="V141" s="197"/>
    </row>
    <row r="142" spans="1:22" ht="18" customHeight="1">
      <c r="A142" s="196"/>
      <c r="E142" s="256" t="s">
        <v>566</v>
      </c>
      <c r="F142" s="27" t="str">
        <f>IF(D143&gt;G143,"&gt;","&lt;")</f>
        <v>&gt;</v>
      </c>
      <c r="G142" s="308" t="s">
        <v>123</v>
      </c>
      <c r="V142" s="197"/>
    </row>
    <row r="143" spans="1:22" ht="18" customHeight="1">
      <c r="A143" s="196"/>
      <c r="D143" s="637">
        <f>G140</f>
        <v>127.49334172152346</v>
      </c>
      <c r="E143" s="637"/>
      <c r="F143" s="27" t="str">
        <f>F142</f>
        <v>&gt;</v>
      </c>
      <c r="G143" s="637">
        <f>G136</f>
        <v>8.57</v>
      </c>
      <c r="H143" s="637"/>
      <c r="V143" s="197"/>
    </row>
    <row r="144" spans="1:22" ht="18" customHeight="1">
      <c r="A144" s="196"/>
      <c r="E144" s="256" t="s">
        <v>489</v>
      </c>
      <c r="G144" s="18" t="str">
        <f>IF(F142="&gt;","Suitably Dimentioned","Under Dimentioned")</f>
        <v>Suitably Dimentioned</v>
      </c>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ht="18" customHeight="1">
      <c r="A172" s="196"/>
      <c r="V172" s="197"/>
    </row>
    <row r="173" spans="1:22" ht="18" customHeight="1">
      <c r="A173" s="196"/>
      <c r="V173" s="197"/>
    </row>
    <row r="174" spans="1:22" ht="18" customHeight="1">
      <c r="A174" s="196"/>
      <c r="V174" s="197"/>
    </row>
    <row r="175" spans="1:22" ht="18" customHeight="1">
      <c r="A175" s="196"/>
      <c r="V175" s="197"/>
    </row>
    <row r="176" spans="1:22" s="14" customFormat="1" ht="18" customHeight="1">
      <c r="A176" s="206"/>
      <c r="B176" s="207"/>
      <c r="C176" s="207"/>
      <c r="D176" s="207"/>
      <c r="E176" s="207"/>
      <c r="F176" s="207"/>
      <c r="G176" s="207"/>
      <c r="H176" s="207"/>
      <c r="I176" s="207"/>
      <c r="J176" s="207"/>
      <c r="K176" s="207"/>
      <c r="L176" s="207"/>
      <c r="M176" s="207"/>
      <c r="N176" s="207"/>
      <c r="O176" s="207"/>
      <c r="P176" s="207"/>
      <c r="Q176" s="236"/>
      <c r="R176" s="194"/>
      <c r="S176" s="237"/>
      <c r="T176" s="207"/>
      <c r="U176" s="207"/>
      <c r="V176" s="140" t="s">
        <v>563</v>
      </c>
    </row>
    <row r="177" spans="1:23" ht="18" customHeight="1">
      <c r="A177" s="238"/>
      <c r="B177" s="239"/>
      <c r="C177" s="239"/>
      <c r="D177" s="239"/>
      <c r="E177" s="239"/>
      <c r="F177" s="239"/>
      <c r="G177" s="239"/>
      <c r="H177" s="239"/>
      <c r="I177" s="239"/>
      <c r="J177" s="239"/>
      <c r="K177" s="239"/>
      <c r="L177" s="239"/>
      <c r="M177" s="239"/>
      <c r="N177" s="239"/>
      <c r="O177" s="239"/>
      <c r="P177" s="239"/>
      <c r="Q177" s="239"/>
      <c r="R177" s="239"/>
      <c r="S177" s="239"/>
      <c r="T177" s="239"/>
      <c r="U177" s="239"/>
      <c r="V177" s="240"/>
    </row>
    <row r="178" spans="1:23" ht="18" customHeight="1">
      <c r="A178" s="196"/>
      <c r="B178" s="650" t="str">
        <f>B90</f>
        <v>CT1L</v>
      </c>
      <c r="C178" s="651"/>
      <c r="D178" s="660" t="str">
        <f>D90</f>
        <v>Core1</v>
      </c>
      <c r="E178" s="623"/>
      <c r="F178" s="468"/>
      <c r="H178" s="639" t="str">
        <f>H90</f>
        <v>(OC+FMS+BFR)</v>
      </c>
      <c r="I178" s="639"/>
      <c r="J178" s="639"/>
      <c r="K178" s="639"/>
      <c r="L178" s="639"/>
      <c r="M178" s="639"/>
      <c r="P178" s="198"/>
      <c r="S178" s="199" t="s">
        <v>398</v>
      </c>
      <c r="T178" s="658">
        <f>T90</f>
        <v>0</v>
      </c>
      <c r="U178" s="659"/>
      <c r="V178" s="197"/>
    </row>
    <row r="179" spans="1:23" ht="18" customHeight="1">
      <c r="A179" s="469"/>
      <c r="F179" s="468"/>
      <c r="T179" s="658">
        <f>T91</f>
        <v>0</v>
      </c>
      <c r="U179" s="659"/>
      <c r="V179" s="197"/>
    </row>
    <row r="180" spans="1:23" ht="18" customHeight="1">
      <c r="A180" s="196"/>
      <c r="H180" s="661" t="s">
        <v>401</v>
      </c>
      <c r="I180" s="661"/>
      <c r="J180" s="661" t="s">
        <v>402</v>
      </c>
      <c r="K180" s="661"/>
      <c r="L180" s="662" t="s">
        <v>403</v>
      </c>
      <c r="M180" s="662"/>
      <c r="T180" s="658">
        <f>T92</f>
        <v>0</v>
      </c>
      <c r="U180" s="659"/>
      <c r="V180" s="197"/>
    </row>
    <row r="181" spans="1:23" ht="18" customHeight="1">
      <c r="A181" s="196"/>
      <c r="B181" s="47" t="s">
        <v>404</v>
      </c>
      <c r="H181" s="650">
        <f>H93</f>
        <v>800</v>
      </c>
      <c r="I181" s="651"/>
      <c r="J181" s="650">
        <f>J93</f>
        <v>2000</v>
      </c>
      <c r="K181" s="651"/>
      <c r="L181" s="652">
        <f>L93</f>
        <v>1000</v>
      </c>
      <c r="M181" s="653"/>
      <c r="N181" s="203" t="s">
        <v>353</v>
      </c>
      <c r="O181" s="268">
        <f>O93</f>
        <v>1</v>
      </c>
      <c r="P181" s="27" t="s">
        <v>9</v>
      </c>
      <c r="R181" s="267"/>
      <c r="S181" s="267"/>
      <c r="V181" s="197"/>
    </row>
    <row r="182" spans="1:23" ht="18" customHeight="1">
      <c r="A182" s="196"/>
      <c r="B182" s="47" t="s">
        <v>405</v>
      </c>
      <c r="L182" s="650" t="str">
        <f>J94</f>
        <v>PX</v>
      </c>
      <c r="M182" s="651"/>
      <c r="V182" s="197"/>
    </row>
    <row r="183" spans="1:23" ht="18" customHeight="1">
      <c r="A183" s="196"/>
      <c r="B183" s="47" t="s">
        <v>407</v>
      </c>
      <c r="K183" s="120" t="s">
        <v>508</v>
      </c>
      <c r="L183" s="940">
        <v>8</v>
      </c>
      <c r="M183" s="941"/>
      <c r="N183" s="204" t="s">
        <v>344</v>
      </c>
      <c r="V183" s="197"/>
    </row>
    <row r="184" spans="1:23" ht="18" customHeight="1">
      <c r="A184" s="196"/>
      <c r="B184" s="47" t="s">
        <v>409</v>
      </c>
      <c r="K184" s="120" t="s">
        <v>509</v>
      </c>
      <c r="L184" s="940">
        <v>800</v>
      </c>
      <c r="M184" s="941"/>
      <c r="N184" s="14" t="s">
        <v>316</v>
      </c>
      <c r="V184" s="197"/>
      <c r="W184" s="30" t="str">
        <f>G232</f>
        <v>Suitably Dimentioned</v>
      </c>
    </row>
    <row r="185" spans="1:23" ht="18" customHeight="1">
      <c r="A185" s="196"/>
      <c r="B185" s="14" t="s">
        <v>412</v>
      </c>
      <c r="K185" s="120" t="s">
        <v>413</v>
      </c>
      <c r="L185" s="940">
        <v>75</v>
      </c>
      <c r="M185" s="941"/>
      <c r="N185" s="14" t="s">
        <v>414</v>
      </c>
      <c r="V185" s="197"/>
    </row>
    <row r="186" spans="1:23" ht="18" customHeight="1">
      <c r="A186" s="196"/>
      <c r="V186" s="197"/>
    </row>
    <row r="187" spans="1:23" ht="18" customHeight="1">
      <c r="A187" s="205" t="s">
        <v>415</v>
      </c>
      <c r="V187" s="197"/>
    </row>
    <row r="188" spans="1:23" ht="18" customHeight="1">
      <c r="A188" s="196"/>
      <c r="V188" s="197"/>
    </row>
    <row r="189" spans="1:23" ht="18" customHeight="1">
      <c r="A189" s="196"/>
      <c r="B189" s="141" t="s">
        <v>416</v>
      </c>
      <c r="C189" s="285"/>
      <c r="D189" s="146">
        <f>T178</f>
        <v>0</v>
      </c>
      <c r="E189" s="239"/>
      <c r="F189" s="239"/>
      <c r="G189" s="239"/>
      <c r="H189" s="145"/>
      <c r="I189" s="272" t="s">
        <v>138</v>
      </c>
      <c r="J189" s="648">
        <f>J101</f>
        <v>0</v>
      </c>
      <c r="K189" s="649"/>
      <c r="L189" s="3" t="s">
        <v>168</v>
      </c>
      <c r="N189" s="209" t="s">
        <v>521</v>
      </c>
      <c r="V189" s="197"/>
    </row>
    <row r="190" spans="1:23" ht="18" customHeight="1">
      <c r="A190" s="196"/>
      <c r="B190" s="96" t="s">
        <v>416</v>
      </c>
      <c r="C190" s="14"/>
      <c r="D190" s="47">
        <f>T179</f>
        <v>0</v>
      </c>
      <c r="H190" s="28"/>
      <c r="I190" s="101" t="s">
        <v>138</v>
      </c>
      <c r="J190" s="648">
        <f>J102</f>
        <v>0</v>
      </c>
      <c r="K190" s="649"/>
      <c r="L190" s="3" t="s">
        <v>168</v>
      </c>
      <c r="N190" s="120" t="s">
        <v>502</v>
      </c>
      <c r="O190" s="27" t="s">
        <v>138</v>
      </c>
      <c r="P190" s="27" t="s">
        <v>522</v>
      </c>
      <c r="Q190" s="27" t="s">
        <v>326</v>
      </c>
      <c r="R190" s="27" t="s">
        <v>522</v>
      </c>
      <c r="S190" s="27" t="s">
        <v>326</v>
      </c>
      <c r="T190" s="27" t="s">
        <v>431</v>
      </c>
      <c r="V190" s="197"/>
    </row>
    <row r="191" spans="1:23" ht="18" customHeight="1">
      <c r="A191" s="196"/>
      <c r="B191" s="96" t="s">
        <v>416</v>
      </c>
      <c r="C191" s="14"/>
      <c r="D191" s="47">
        <f>T180</f>
        <v>0</v>
      </c>
      <c r="H191" s="28"/>
      <c r="I191" s="101" t="s">
        <v>138</v>
      </c>
      <c r="J191" s="648">
        <f>J103</f>
        <v>0</v>
      </c>
      <c r="K191" s="649"/>
      <c r="L191" s="3" t="s">
        <v>168</v>
      </c>
      <c r="N191" s="27"/>
      <c r="O191" s="27" t="s">
        <v>138</v>
      </c>
      <c r="P191" s="27">
        <f>O181</f>
        <v>1</v>
      </c>
      <c r="Q191" s="27" t="s">
        <v>326</v>
      </c>
      <c r="R191" s="27">
        <f>O181</f>
        <v>1</v>
      </c>
      <c r="S191" s="27" t="s">
        <v>326</v>
      </c>
      <c r="T191" s="27">
        <f>L183</f>
        <v>8</v>
      </c>
      <c r="V191" s="197"/>
    </row>
    <row r="192" spans="1:23" ht="18" customHeight="1">
      <c r="A192" s="196"/>
      <c r="B192" s="465" t="s">
        <v>423</v>
      </c>
      <c r="C192" s="271"/>
      <c r="D192" s="271"/>
      <c r="E192" s="271"/>
      <c r="F192" s="219"/>
      <c r="G192" s="219"/>
      <c r="H192" s="202"/>
      <c r="I192" s="220" t="s">
        <v>138</v>
      </c>
      <c r="J192" s="646">
        <f>J104</f>
        <v>0.23593310000000001</v>
      </c>
      <c r="K192" s="647"/>
      <c r="L192" s="309" t="s">
        <v>168</v>
      </c>
      <c r="O192" s="27" t="s">
        <v>138</v>
      </c>
      <c r="P192" s="637">
        <f>P191*R191*T191</f>
        <v>8</v>
      </c>
      <c r="Q192" s="639"/>
      <c r="R192" s="27" t="s">
        <v>168</v>
      </c>
      <c r="V192" s="197"/>
    </row>
    <row r="193" spans="1:25" ht="18" customHeight="1">
      <c r="A193" s="196"/>
      <c r="B193" s="1" t="s">
        <v>424</v>
      </c>
      <c r="C193" s="2"/>
      <c r="D193" s="2"/>
      <c r="E193" s="2"/>
      <c r="F193" s="208"/>
      <c r="G193" s="208"/>
      <c r="H193" s="236" t="s">
        <v>523</v>
      </c>
      <c r="I193" s="195" t="s">
        <v>138</v>
      </c>
      <c r="J193" s="648">
        <f>SUM(J189:J192)</f>
        <v>0.23593310000000001</v>
      </c>
      <c r="K193" s="649"/>
      <c r="L193" s="3" t="s">
        <v>168</v>
      </c>
      <c r="V193" s="197"/>
    </row>
    <row r="194" spans="1:25" ht="18" customHeight="1">
      <c r="A194" s="196"/>
      <c r="B194" s="47"/>
      <c r="C194" s="47"/>
      <c r="D194" s="47"/>
      <c r="E194" s="47"/>
      <c r="H194" s="27"/>
      <c r="I194" s="28"/>
      <c r="J194" s="211"/>
      <c r="L194" s="47"/>
      <c r="S194" s="27"/>
      <c r="V194" s="197"/>
    </row>
    <row r="195" spans="1:25" ht="18" customHeight="1">
      <c r="A195" s="964" t="s">
        <v>547</v>
      </c>
      <c r="B195" s="965"/>
      <c r="C195" s="965"/>
      <c r="D195" s="965"/>
      <c r="E195" s="965"/>
      <c r="F195" s="965"/>
      <c r="G195" s="965"/>
      <c r="H195" s="965"/>
      <c r="I195" s="965"/>
      <c r="J195" s="965"/>
      <c r="K195" s="965"/>
      <c r="L195" s="965"/>
      <c r="M195" s="965"/>
      <c r="N195" s="965"/>
      <c r="O195" s="965"/>
      <c r="P195" s="965"/>
      <c r="Q195" s="965"/>
      <c r="R195" s="965"/>
      <c r="S195" s="965"/>
      <c r="T195" s="965"/>
      <c r="U195" s="965"/>
      <c r="V195" s="966"/>
    </row>
    <row r="196" spans="1:25" ht="18" customHeight="1">
      <c r="A196" s="967"/>
      <c r="B196" s="965"/>
      <c r="C196" s="965"/>
      <c r="D196" s="965"/>
      <c r="E196" s="965"/>
      <c r="F196" s="965"/>
      <c r="G196" s="965"/>
      <c r="H196" s="965"/>
      <c r="I196" s="965"/>
      <c r="J196" s="965"/>
      <c r="K196" s="965"/>
      <c r="L196" s="965"/>
      <c r="M196" s="965"/>
      <c r="N196" s="965"/>
      <c r="O196" s="965"/>
      <c r="P196" s="965"/>
      <c r="Q196" s="965"/>
      <c r="R196" s="965"/>
      <c r="S196" s="965"/>
      <c r="T196" s="965"/>
      <c r="U196" s="965"/>
      <c r="V196" s="966"/>
    </row>
    <row r="197" spans="1:25" ht="18" customHeight="1">
      <c r="A197" s="196"/>
      <c r="Q197" s="223"/>
      <c r="R197" s="204"/>
      <c r="V197" s="197"/>
    </row>
    <row r="198" spans="1:25" ht="18" customHeight="1">
      <c r="A198" s="196"/>
      <c r="C198" s="14" t="s">
        <v>484</v>
      </c>
      <c r="D198" s="28" t="s">
        <v>138</v>
      </c>
      <c r="E198" s="28" t="s">
        <v>548</v>
      </c>
      <c r="F198" s="120" t="s">
        <v>504</v>
      </c>
      <c r="G198" s="28" t="s">
        <v>358</v>
      </c>
      <c r="H198" s="120" t="s">
        <v>502</v>
      </c>
      <c r="I198" s="28" t="s">
        <v>549</v>
      </c>
      <c r="J198" s="28" t="s">
        <v>506</v>
      </c>
      <c r="K198" s="28" t="s">
        <v>550</v>
      </c>
      <c r="L198" s="28" t="s">
        <v>522</v>
      </c>
      <c r="M198" s="28" t="s">
        <v>326</v>
      </c>
      <c r="N198" s="28">
        <v>1.3</v>
      </c>
      <c r="O198" s="47" t="s">
        <v>361</v>
      </c>
      <c r="V198" s="197"/>
    </row>
    <row r="199" spans="1:25" ht="18" customHeight="1">
      <c r="A199" s="196" t="s">
        <v>551</v>
      </c>
      <c r="C199" s="14"/>
      <c r="D199" s="28"/>
      <c r="E199" s="14"/>
      <c r="F199" s="14"/>
      <c r="G199" s="14"/>
      <c r="H199" s="14"/>
      <c r="I199" s="14"/>
      <c r="J199" s="14"/>
      <c r="K199" s="14"/>
      <c r="L199" s="14"/>
      <c r="M199" s="14"/>
      <c r="N199" s="14"/>
      <c r="O199" s="14"/>
      <c r="V199" s="197"/>
    </row>
    <row r="200" spans="1:25" ht="18" customHeight="1">
      <c r="A200" s="196"/>
      <c r="C200" s="120" t="s">
        <v>504</v>
      </c>
      <c r="D200" s="28" t="s">
        <v>138</v>
      </c>
      <c r="E200" s="28" t="s">
        <v>548</v>
      </c>
      <c r="F200" s="28">
        <v>1.3</v>
      </c>
      <c r="G200" s="28" t="s">
        <v>326</v>
      </c>
      <c r="H200" s="638" t="s">
        <v>484</v>
      </c>
      <c r="I200" s="920"/>
      <c r="J200" s="28" t="s">
        <v>326</v>
      </c>
      <c r="K200" s="28" t="s">
        <v>522</v>
      </c>
      <c r="L200" s="28" t="s">
        <v>552</v>
      </c>
      <c r="M200" s="28" t="s">
        <v>506</v>
      </c>
      <c r="N200" s="47" t="s">
        <v>553</v>
      </c>
      <c r="O200" s="120" t="s">
        <v>502</v>
      </c>
      <c r="V200" s="197"/>
    </row>
    <row r="201" spans="1:25" ht="18" customHeight="1">
      <c r="A201" s="196"/>
      <c r="V201" s="197"/>
    </row>
    <row r="202" spans="1:25" ht="18" customHeight="1">
      <c r="A202" s="180"/>
      <c r="B202" s="5"/>
      <c r="C202" s="47" t="s">
        <v>554</v>
      </c>
      <c r="D202" s="14"/>
      <c r="E202" s="14"/>
      <c r="F202" s="14"/>
      <c r="G202" s="14"/>
      <c r="H202" s="291"/>
      <c r="I202" s="120"/>
      <c r="J202" s="291"/>
      <c r="K202" s="291"/>
      <c r="L202" s="14"/>
      <c r="M202" s="14"/>
      <c r="N202" s="14"/>
      <c r="O202" s="14"/>
      <c r="P202" s="14"/>
      <c r="Q202" s="120" t="s">
        <v>555</v>
      </c>
      <c r="R202" s="102" t="s">
        <v>138</v>
      </c>
      <c r="S202" s="638">
        <f>S114</f>
        <v>17140</v>
      </c>
      <c r="T202" s="638"/>
      <c r="U202" s="47" t="s">
        <v>9</v>
      </c>
      <c r="V202" s="197"/>
    </row>
    <row r="203" spans="1:25" ht="18" customHeight="1">
      <c r="A203" s="180"/>
      <c r="B203" s="5"/>
      <c r="C203" s="47" t="s">
        <v>556</v>
      </c>
      <c r="D203" s="14"/>
      <c r="E203" s="14"/>
      <c r="F203" s="18"/>
      <c r="G203" s="18"/>
      <c r="H203" s="291"/>
      <c r="I203" s="120"/>
      <c r="J203" s="291"/>
      <c r="K203" s="291"/>
      <c r="L203" s="14"/>
      <c r="M203" s="14"/>
      <c r="N203" s="14"/>
      <c r="O203" s="14"/>
      <c r="P203" s="14"/>
      <c r="Q203" s="120" t="s">
        <v>434</v>
      </c>
      <c r="R203" s="102" t="s">
        <v>138</v>
      </c>
      <c r="S203" s="638">
        <f>L181</f>
        <v>1000</v>
      </c>
      <c r="T203" s="638"/>
      <c r="U203" s="14" t="s">
        <v>9</v>
      </c>
      <c r="V203" s="197"/>
    </row>
    <row r="204" spans="1:25" ht="18" customHeight="1">
      <c r="A204" s="180"/>
      <c r="B204" s="5"/>
      <c r="C204" s="47" t="s">
        <v>557</v>
      </c>
      <c r="D204" s="14"/>
      <c r="E204" s="14"/>
      <c r="F204" s="18"/>
      <c r="G204" s="18"/>
      <c r="H204" s="291"/>
      <c r="I204" s="120"/>
      <c r="J204" s="291"/>
      <c r="K204" s="291"/>
      <c r="L204" s="14"/>
      <c r="M204" s="14"/>
      <c r="N204" s="14"/>
      <c r="O204" s="14"/>
      <c r="P204" s="14"/>
      <c r="Q204" s="120" t="s">
        <v>484</v>
      </c>
      <c r="R204" s="102" t="s">
        <v>138</v>
      </c>
      <c r="S204" s="638">
        <f>L184</f>
        <v>800</v>
      </c>
      <c r="T204" s="638"/>
      <c r="U204" s="14" t="s">
        <v>316</v>
      </c>
      <c r="V204" s="197"/>
    </row>
    <row r="205" spans="1:25" ht="18" customHeight="1">
      <c r="A205" s="180"/>
      <c r="B205" s="5"/>
      <c r="C205" s="47" t="s">
        <v>558</v>
      </c>
      <c r="D205" s="14"/>
      <c r="E205" s="14"/>
      <c r="F205" s="18"/>
      <c r="G205" s="18"/>
      <c r="H205" s="291"/>
      <c r="I205" s="120"/>
      <c r="J205" s="291"/>
      <c r="K205" s="291"/>
      <c r="L205" s="14"/>
      <c r="M205" s="14"/>
      <c r="N205" s="14"/>
      <c r="O205" s="14"/>
      <c r="P205" s="14"/>
      <c r="Q205" s="120" t="s">
        <v>502</v>
      </c>
      <c r="R205" s="102" t="s">
        <v>138</v>
      </c>
      <c r="S205" s="641">
        <f>P192</f>
        <v>8</v>
      </c>
      <c r="T205" s="638"/>
      <c r="U205" s="14" t="s">
        <v>168</v>
      </c>
      <c r="V205" s="197"/>
      <c r="W205" s="291"/>
      <c r="X205" s="291"/>
      <c r="Y205" s="291"/>
    </row>
    <row r="206" spans="1:25" ht="18" customHeight="1">
      <c r="A206" s="180"/>
      <c r="B206" s="5"/>
      <c r="C206" s="47" t="s">
        <v>559</v>
      </c>
      <c r="D206" s="14"/>
      <c r="E206" s="14"/>
      <c r="F206" s="18"/>
      <c r="G206" s="18"/>
      <c r="H206" s="291"/>
      <c r="I206" s="120"/>
      <c r="J206" s="291"/>
      <c r="K206" s="291"/>
      <c r="L206" s="14"/>
      <c r="M206" s="14"/>
      <c r="N206" s="14"/>
      <c r="O206" s="14"/>
      <c r="P206" s="14"/>
      <c r="Q206" s="120" t="s">
        <v>523</v>
      </c>
      <c r="R206" s="102" t="s">
        <v>138</v>
      </c>
      <c r="S206" s="641">
        <f>J193</f>
        <v>0.23593310000000001</v>
      </c>
      <c r="T206" s="638"/>
      <c r="U206" s="14" t="s">
        <v>168</v>
      </c>
      <c r="V206" s="197"/>
      <c r="X206" s="291"/>
      <c r="Y206" s="291"/>
    </row>
    <row r="207" spans="1:25" ht="18" customHeight="1">
      <c r="A207" s="180"/>
      <c r="B207" s="5"/>
      <c r="C207" s="47" t="s">
        <v>560</v>
      </c>
      <c r="D207" s="14"/>
      <c r="E207" s="14"/>
      <c r="F207" s="14"/>
      <c r="G207" s="14"/>
      <c r="H207" s="291"/>
      <c r="I207" s="120"/>
      <c r="J207" s="291"/>
      <c r="K207" s="291"/>
      <c r="L207" s="14"/>
      <c r="M207" s="14"/>
      <c r="N207" s="14"/>
      <c r="O207" s="14"/>
      <c r="P207" s="14"/>
      <c r="Q207" s="120" t="s">
        <v>522</v>
      </c>
      <c r="R207" s="102" t="s">
        <v>138</v>
      </c>
      <c r="S207" s="638">
        <f>O181</f>
        <v>1</v>
      </c>
      <c r="T207" s="638"/>
      <c r="U207" s="14" t="s">
        <v>9</v>
      </c>
      <c r="V207" s="197"/>
      <c r="X207" s="291"/>
      <c r="Y207" s="291"/>
    </row>
    <row r="208" spans="1:25" ht="18" customHeight="1">
      <c r="A208" s="180"/>
      <c r="B208" s="5"/>
      <c r="C208" s="47" t="s">
        <v>561</v>
      </c>
      <c r="D208" s="14"/>
      <c r="E208" s="14"/>
      <c r="F208" s="14"/>
      <c r="G208" s="14"/>
      <c r="H208" s="291"/>
      <c r="I208" s="120"/>
      <c r="J208" s="291"/>
      <c r="K208" s="291"/>
      <c r="L208" s="14"/>
      <c r="M208" s="14"/>
      <c r="N208" s="14"/>
      <c r="O208" s="14"/>
      <c r="P208" s="14"/>
      <c r="Q208" s="120" t="s">
        <v>506</v>
      </c>
      <c r="R208" s="102" t="s">
        <v>138</v>
      </c>
      <c r="S208" s="638">
        <v>20</v>
      </c>
      <c r="T208" s="638"/>
      <c r="U208" s="47"/>
      <c r="V208" s="197"/>
    </row>
    <row r="209" spans="1:25" ht="18" customHeight="1">
      <c r="A209" s="311"/>
      <c r="B209" s="291"/>
      <c r="C209" s="47" t="s">
        <v>562</v>
      </c>
      <c r="D209" s="14"/>
      <c r="E209" s="14"/>
      <c r="F209" s="14"/>
      <c r="G209" s="14"/>
      <c r="H209" s="291"/>
      <c r="I209" s="120"/>
      <c r="J209" s="291"/>
      <c r="K209" s="291"/>
      <c r="L209" s="14"/>
      <c r="M209" s="14"/>
      <c r="N209" s="291"/>
      <c r="O209" s="291"/>
      <c r="P209" s="14"/>
      <c r="Q209" s="120" t="s">
        <v>504</v>
      </c>
      <c r="R209" s="14"/>
      <c r="S209" s="291"/>
      <c r="T209" s="291"/>
      <c r="U209" s="291"/>
      <c r="V209" s="312"/>
      <c r="W209" s="291"/>
      <c r="X209" s="291"/>
      <c r="Y209" s="291"/>
    </row>
    <row r="210" spans="1:25" ht="18" customHeight="1">
      <c r="A210" s="196"/>
      <c r="V210" s="197"/>
    </row>
    <row r="211" spans="1:25" ht="18" customHeight="1">
      <c r="A211" s="196"/>
      <c r="C211" s="120" t="s">
        <v>504</v>
      </c>
      <c r="D211" s="28" t="s">
        <v>138</v>
      </c>
      <c r="E211" s="28" t="s">
        <v>548</v>
      </c>
      <c r="F211" s="28">
        <v>1.3</v>
      </c>
      <c r="G211" s="28" t="s">
        <v>326</v>
      </c>
      <c r="H211" s="638" t="s">
        <v>484</v>
      </c>
      <c r="I211" s="920"/>
      <c r="J211" s="28" t="s">
        <v>326</v>
      </c>
      <c r="K211" s="28" t="s">
        <v>522</v>
      </c>
      <c r="L211" s="28" t="s">
        <v>552</v>
      </c>
      <c r="M211" s="28" t="s">
        <v>506</v>
      </c>
      <c r="N211" s="47" t="s">
        <v>553</v>
      </c>
      <c r="O211" s="120" t="s">
        <v>502</v>
      </c>
      <c r="V211" s="197"/>
    </row>
    <row r="212" spans="1:25" ht="18" customHeight="1">
      <c r="A212" s="196"/>
      <c r="C212" s="120" t="s">
        <v>504</v>
      </c>
      <c r="D212" s="28" t="s">
        <v>138</v>
      </c>
      <c r="E212" s="28" t="s">
        <v>548</v>
      </c>
      <c r="F212" s="28">
        <v>1.3</v>
      </c>
      <c r="G212" s="28" t="s">
        <v>326</v>
      </c>
      <c r="H212" s="638">
        <f>S204</f>
        <v>800</v>
      </c>
      <c r="I212" s="920"/>
      <c r="J212" s="28" t="s">
        <v>326</v>
      </c>
      <c r="K212" s="28">
        <f>S207</f>
        <v>1</v>
      </c>
      <c r="L212" s="28" t="s">
        <v>552</v>
      </c>
      <c r="M212" s="28">
        <f>S208</f>
        <v>20</v>
      </c>
      <c r="N212" s="47" t="s">
        <v>553</v>
      </c>
      <c r="O212" s="516">
        <f>S205</f>
        <v>8</v>
      </c>
      <c r="V212" s="197"/>
    </row>
    <row r="213" spans="1:25" ht="18" customHeight="1">
      <c r="A213" s="196"/>
      <c r="D213" s="27" t="s">
        <v>138</v>
      </c>
      <c r="E213" s="639">
        <f>((F212*H212*K212)/M212)-O212</f>
        <v>44</v>
      </c>
      <c r="F213" s="639"/>
      <c r="G213" s="27" t="s">
        <v>168</v>
      </c>
      <c r="V213" s="197"/>
    </row>
    <row r="214" spans="1:25" ht="18" customHeight="1">
      <c r="A214" s="196"/>
      <c r="D214" s="27"/>
      <c r="E214" s="27"/>
      <c r="F214" s="27"/>
      <c r="G214" s="27"/>
      <c r="V214" s="197"/>
    </row>
    <row r="215" spans="1:25" ht="18" customHeight="1">
      <c r="A215" s="196"/>
      <c r="D215" s="27"/>
      <c r="E215" s="27"/>
      <c r="F215" s="27"/>
      <c r="G215" s="27"/>
      <c r="V215" s="197"/>
    </row>
    <row r="216" spans="1:25" ht="18" customHeight="1">
      <c r="A216" s="196"/>
      <c r="D216" s="27"/>
      <c r="E216" s="27"/>
      <c r="F216" s="27"/>
      <c r="G216" s="27"/>
      <c r="V216" s="197"/>
    </row>
    <row r="217" spans="1:25" ht="18" customHeight="1">
      <c r="A217" s="196"/>
      <c r="D217" s="27"/>
      <c r="E217" s="27"/>
      <c r="F217" s="27"/>
      <c r="G217" s="27"/>
      <c r="V217" s="197"/>
    </row>
    <row r="218" spans="1:25" ht="18" customHeight="1">
      <c r="A218" s="196"/>
      <c r="D218" s="27"/>
      <c r="E218" s="27"/>
      <c r="F218" s="27"/>
      <c r="G218" s="27"/>
      <c r="V218" s="197"/>
    </row>
    <row r="219" spans="1:25" ht="18" customHeight="1">
      <c r="A219" s="196"/>
      <c r="V219" s="197"/>
    </row>
    <row r="220" spans="1:25" s="14" customFormat="1" ht="18" customHeight="1">
      <c r="A220" s="206"/>
      <c r="B220" s="207"/>
      <c r="C220" s="207"/>
      <c r="D220" s="207"/>
      <c r="E220" s="207"/>
      <c r="F220" s="207"/>
      <c r="G220" s="207"/>
      <c r="H220" s="207"/>
      <c r="I220" s="207"/>
      <c r="J220" s="207"/>
      <c r="K220" s="207"/>
      <c r="L220" s="207"/>
      <c r="M220" s="207"/>
      <c r="N220" s="207"/>
      <c r="O220" s="207"/>
      <c r="P220" s="207"/>
      <c r="Q220" s="236"/>
      <c r="R220" s="194"/>
      <c r="S220" s="237"/>
      <c r="T220" s="207"/>
      <c r="U220" s="207"/>
      <c r="V220" s="140" t="s">
        <v>563</v>
      </c>
    </row>
    <row r="221" spans="1:25" ht="18" customHeight="1">
      <c r="A221" s="238"/>
      <c r="B221" s="239"/>
      <c r="C221" s="239"/>
      <c r="D221" s="239"/>
      <c r="E221" s="239"/>
      <c r="F221" s="239"/>
      <c r="G221" s="239"/>
      <c r="H221" s="239"/>
      <c r="I221" s="239"/>
      <c r="J221" s="239"/>
      <c r="K221" s="239"/>
      <c r="L221" s="239"/>
      <c r="M221" s="239"/>
      <c r="N221" s="239"/>
      <c r="O221" s="239"/>
      <c r="P221" s="239"/>
      <c r="Q221" s="239"/>
      <c r="R221" s="239"/>
      <c r="S221" s="239"/>
      <c r="T221" s="239"/>
      <c r="U221" s="239"/>
      <c r="V221" s="240"/>
    </row>
    <row r="222" spans="1:25" ht="18" customHeight="1">
      <c r="A222" s="196"/>
      <c r="E222" s="256" t="s">
        <v>123</v>
      </c>
      <c r="F222" s="27" t="s">
        <v>138</v>
      </c>
      <c r="G222" s="638" t="s">
        <v>555</v>
      </c>
      <c r="H222" s="638"/>
      <c r="I222" s="203" t="s">
        <v>353</v>
      </c>
      <c r="J222" s="639" t="s">
        <v>434</v>
      </c>
      <c r="K222" s="639"/>
      <c r="V222" s="197"/>
    </row>
    <row r="223" spans="1:25" ht="18" customHeight="1">
      <c r="A223" s="196"/>
      <c r="F223" s="27" t="s">
        <v>138</v>
      </c>
      <c r="G223" s="639">
        <f>S202</f>
        <v>17140</v>
      </c>
      <c r="H223" s="639"/>
      <c r="I223" s="203" t="s">
        <v>353</v>
      </c>
      <c r="J223" s="639">
        <f>S203</f>
        <v>1000</v>
      </c>
      <c r="K223" s="639"/>
      <c r="V223" s="197"/>
    </row>
    <row r="224" spans="1:25" ht="18" customHeight="1">
      <c r="A224" s="196"/>
      <c r="F224" s="27" t="s">
        <v>138</v>
      </c>
      <c r="G224" s="637">
        <f>G223/J223</f>
        <v>17.14</v>
      </c>
      <c r="H224" s="637"/>
      <c r="I224" s="27"/>
      <c r="J224" s="27"/>
      <c r="K224" s="27"/>
      <c r="V224" s="197"/>
    </row>
    <row r="225" spans="1:22" ht="18" customHeight="1">
      <c r="A225" s="196"/>
      <c r="V225" s="197"/>
    </row>
    <row r="226" spans="1:22" ht="18" customHeight="1">
      <c r="A226" s="196"/>
      <c r="E226" s="256" t="s">
        <v>564</v>
      </c>
      <c r="F226" s="27" t="s">
        <v>138</v>
      </c>
      <c r="G226" s="27" t="s">
        <v>506</v>
      </c>
      <c r="H226" s="27" t="s">
        <v>565</v>
      </c>
      <c r="I226" s="120" t="s">
        <v>502</v>
      </c>
      <c r="J226" s="28" t="s">
        <v>358</v>
      </c>
      <c r="K226" s="120" t="s">
        <v>504</v>
      </c>
      <c r="L226" s="28" t="s">
        <v>550</v>
      </c>
      <c r="M226" s="120" t="s">
        <v>502</v>
      </c>
      <c r="N226" s="28" t="s">
        <v>358</v>
      </c>
      <c r="O226" s="120" t="s">
        <v>523</v>
      </c>
      <c r="P226" s="308" t="s">
        <v>361</v>
      </c>
      <c r="V226" s="197"/>
    </row>
    <row r="227" spans="1:22" ht="18" customHeight="1">
      <c r="A227" s="196"/>
      <c r="F227" s="27" t="s">
        <v>138</v>
      </c>
      <c r="G227" s="254">
        <f>S208</f>
        <v>20</v>
      </c>
      <c r="H227" s="257" t="s">
        <v>565</v>
      </c>
      <c r="I227" s="313">
        <f>S205</f>
        <v>8</v>
      </c>
      <c r="J227" s="257" t="s">
        <v>358</v>
      </c>
      <c r="K227" s="313">
        <f>E213</f>
        <v>44</v>
      </c>
      <c r="L227" s="257" t="s">
        <v>550</v>
      </c>
      <c r="M227" s="313">
        <f>S205</f>
        <v>8</v>
      </c>
      <c r="N227" s="257" t="s">
        <v>358</v>
      </c>
      <c r="O227" s="313">
        <f>S206</f>
        <v>0.23593310000000001</v>
      </c>
      <c r="P227" s="474" t="s">
        <v>361</v>
      </c>
      <c r="V227" s="197"/>
    </row>
    <row r="228" spans="1:22" ht="18" customHeight="1">
      <c r="A228" s="196"/>
      <c r="F228" s="27" t="s">
        <v>138</v>
      </c>
      <c r="G228" s="637">
        <f>G227*((I227+K227)/(M227+O227))</f>
        <v>126.27591644716006</v>
      </c>
      <c r="H228" s="637"/>
      <c r="V228" s="197"/>
    </row>
    <row r="229" spans="1:22" ht="18" customHeight="1">
      <c r="A229" s="196"/>
      <c r="V229" s="197"/>
    </row>
    <row r="230" spans="1:22" ht="18" customHeight="1">
      <c r="A230" s="196"/>
      <c r="E230" s="256" t="s">
        <v>566</v>
      </c>
      <c r="F230" s="27" t="str">
        <f>IF(D231&gt;G231,"&gt;","&lt;")</f>
        <v>&gt;</v>
      </c>
      <c r="G230" s="308" t="s">
        <v>123</v>
      </c>
      <c r="V230" s="197"/>
    </row>
    <row r="231" spans="1:22" ht="18" customHeight="1">
      <c r="A231" s="196"/>
      <c r="D231" s="637">
        <f>G228</f>
        <v>126.27591644716006</v>
      </c>
      <c r="E231" s="637"/>
      <c r="F231" s="27" t="str">
        <f>F230</f>
        <v>&gt;</v>
      </c>
      <c r="G231" s="637">
        <f>G224</f>
        <v>17.14</v>
      </c>
      <c r="H231" s="637"/>
      <c r="V231" s="197"/>
    </row>
    <row r="232" spans="1:22" ht="18" customHeight="1">
      <c r="A232" s="196"/>
      <c r="E232" s="256" t="s">
        <v>489</v>
      </c>
      <c r="G232" s="18" t="str">
        <f>IF(F230="&gt;","Suitably Dimentioned","Under Dimentioned")</f>
        <v>Suitably Dimentioned</v>
      </c>
      <c r="V232" s="197"/>
    </row>
    <row r="233" spans="1:22" ht="18" customHeight="1">
      <c r="A233" s="196"/>
      <c r="V233" s="197"/>
    </row>
    <row r="234" spans="1:22" ht="18" customHeight="1">
      <c r="A234" s="196"/>
      <c r="V234" s="197"/>
    </row>
    <row r="235" spans="1:22" ht="18" customHeight="1">
      <c r="A235" s="196"/>
      <c r="V235" s="197"/>
    </row>
    <row r="236" spans="1:22" ht="18" customHeight="1">
      <c r="A236" s="196"/>
      <c r="V236" s="197"/>
    </row>
    <row r="237" spans="1:22" ht="18" customHeight="1">
      <c r="A237" s="196"/>
      <c r="V237" s="197"/>
    </row>
    <row r="238" spans="1:22" ht="18" customHeight="1">
      <c r="A238" s="196"/>
      <c r="V238" s="197"/>
    </row>
    <row r="239" spans="1:22" ht="18" customHeight="1">
      <c r="A239" s="196"/>
      <c r="V239" s="197"/>
    </row>
    <row r="240" spans="1:22" ht="18" customHeight="1">
      <c r="A240" s="196"/>
      <c r="V240" s="197"/>
    </row>
    <row r="241" spans="1:22" ht="18" customHeight="1">
      <c r="A241" s="196"/>
      <c r="V241" s="197"/>
    </row>
    <row r="242" spans="1:22" ht="18" customHeight="1">
      <c r="A242" s="196"/>
      <c r="V242" s="197"/>
    </row>
    <row r="243" spans="1:22" ht="18" customHeight="1">
      <c r="A243" s="196"/>
      <c r="V243" s="197"/>
    </row>
    <row r="244" spans="1:22" ht="18" customHeight="1">
      <c r="A244" s="196"/>
      <c r="V244" s="197"/>
    </row>
    <row r="245" spans="1:22" ht="18" customHeight="1">
      <c r="A245" s="196"/>
      <c r="V245" s="197"/>
    </row>
    <row r="246" spans="1:22" ht="18" customHeight="1">
      <c r="A246" s="196"/>
      <c r="V246" s="197"/>
    </row>
    <row r="247" spans="1:22" ht="18" customHeight="1">
      <c r="A247" s="196"/>
      <c r="V247" s="197"/>
    </row>
    <row r="248" spans="1:22" ht="18" customHeight="1">
      <c r="A248" s="196"/>
      <c r="V248" s="197"/>
    </row>
    <row r="249" spans="1:22" ht="18" customHeight="1">
      <c r="A249" s="196"/>
      <c r="V249" s="197"/>
    </row>
    <row r="250" spans="1:22" ht="18" customHeight="1">
      <c r="A250" s="196"/>
      <c r="V250" s="197"/>
    </row>
    <row r="251" spans="1:22" ht="18" customHeight="1">
      <c r="A251" s="196"/>
      <c r="V251" s="197"/>
    </row>
    <row r="252" spans="1:22" ht="18" customHeight="1">
      <c r="A252" s="196"/>
      <c r="V252" s="197"/>
    </row>
    <row r="253" spans="1:22" ht="18" customHeight="1">
      <c r="A253" s="196"/>
      <c r="V253" s="197"/>
    </row>
    <row r="254" spans="1:22" ht="18" customHeight="1">
      <c r="A254" s="196"/>
      <c r="V254" s="197"/>
    </row>
    <row r="255" spans="1:22" ht="18" customHeight="1">
      <c r="A255" s="196"/>
      <c r="V255" s="197"/>
    </row>
    <row r="256" spans="1:22" ht="18" customHeight="1">
      <c r="A256" s="196"/>
      <c r="V256" s="197"/>
    </row>
    <row r="257" spans="1:22" ht="18" customHeight="1">
      <c r="A257" s="196"/>
      <c r="V257" s="197"/>
    </row>
    <row r="258" spans="1:22" ht="18" customHeight="1">
      <c r="A258" s="196"/>
      <c r="V258" s="197"/>
    </row>
    <row r="259" spans="1:22" ht="18" customHeight="1">
      <c r="A259" s="196"/>
      <c r="V259" s="197"/>
    </row>
    <row r="260" spans="1:22" ht="18" customHeight="1">
      <c r="A260" s="196"/>
      <c r="V260" s="197"/>
    </row>
    <row r="261" spans="1:22" ht="18" customHeight="1">
      <c r="A261" s="196"/>
      <c r="V261" s="197"/>
    </row>
    <row r="262" spans="1:22" ht="18" customHeight="1">
      <c r="A262" s="196"/>
      <c r="V262" s="197"/>
    </row>
    <row r="263" spans="1:22" ht="18" customHeight="1">
      <c r="A263" s="196"/>
      <c r="V263" s="197"/>
    </row>
    <row r="264" spans="1:22" s="14" customFormat="1" ht="18" customHeight="1">
      <c r="A264" s="206"/>
      <c r="B264" s="207"/>
      <c r="C264" s="207"/>
      <c r="D264" s="207"/>
      <c r="E264" s="207"/>
      <c r="F264" s="207"/>
      <c r="G264" s="207"/>
      <c r="H264" s="207"/>
      <c r="I264" s="207"/>
      <c r="J264" s="207"/>
      <c r="K264" s="207"/>
      <c r="L264" s="207"/>
      <c r="M264" s="207"/>
      <c r="N264" s="207"/>
      <c r="O264" s="207"/>
      <c r="P264" s="207"/>
      <c r="Q264" s="236"/>
      <c r="R264" s="194"/>
      <c r="S264" s="237"/>
      <c r="T264" s="207"/>
      <c r="U264" s="207"/>
      <c r="V264" s="140" t="s">
        <v>563</v>
      </c>
    </row>
    <row r="265" spans="1:22" ht="18" customHeight="1">
      <c r="A265" s="238"/>
      <c r="B265" s="239"/>
      <c r="C265" s="239"/>
      <c r="D265" s="239"/>
      <c r="E265" s="239"/>
      <c r="F265" s="239"/>
      <c r="G265" s="239"/>
      <c r="H265" s="239"/>
      <c r="I265" s="239"/>
      <c r="J265" s="239"/>
      <c r="K265" s="239"/>
      <c r="L265" s="239"/>
      <c r="M265" s="239"/>
      <c r="N265" s="239"/>
      <c r="O265" s="239"/>
      <c r="P265" s="239"/>
      <c r="Q265" s="239"/>
      <c r="R265" s="239"/>
      <c r="S265" s="239"/>
      <c r="T265" s="239"/>
      <c r="U265" s="239"/>
      <c r="V265" s="240"/>
    </row>
    <row r="266" spans="1:22" ht="18" customHeight="1">
      <c r="A266" s="274" t="s">
        <v>543</v>
      </c>
      <c r="B266" s="14"/>
      <c r="C266" s="14"/>
      <c r="D266" s="120"/>
      <c r="E266" s="120"/>
      <c r="F266" s="18"/>
      <c r="G266" s="18"/>
      <c r="H266" s="14"/>
      <c r="I266" s="14"/>
      <c r="J266" s="14"/>
      <c r="K266" s="14"/>
      <c r="L266" s="14"/>
      <c r="M266" s="14"/>
      <c r="N266" s="14"/>
      <c r="O266" s="14"/>
      <c r="P266" s="28"/>
      <c r="Q266" s="120"/>
      <c r="R266" s="47"/>
      <c r="S266" s="218"/>
      <c r="T266" s="271"/>
      <c r="U266" s="14"/>
      <c r="V266" s="97"/>
    </row>
    <row r="267" spans="1:22" ht="18" customHeight="1">
      <c r="A267" s="614" t="s">
        <v>97</v>
      </c>
      <c r="B267" s="620"/>
      <c r="C267" s="1081"/>
      <c r="D267" s="614" t="s">
        <v>98</v>
      </c>
      <c r="E267" s="1084"/>
      <c r="F267" s="1084"/>
      <c r="G267" s="1081"/>
      <c r="H267" s="614" t="s">
        <v>99</v>
      </c>
      <c r="I267" s="615"/>
      <c r="J267" s="614" t="s">
        <v>100</v>
      </c>
      <c r="K267" s="1081"/>
      <c r="L267" s="614" t="s">
        <v>513</v>
      </c>
      <c r="M267" s="620"/>
      <c r="N267" s="615" t="s">
        <v>567</v>
      </c>
      <c r="O267" s="614" t="s">
        <v>568</v>
      </c>
      <c r="P267" s="620"/>
      <c r="Q267" s="1081"/>
      <c r="R267" s="614" t="s">
        <v>569</v>
      </c>
      <c r="S267" s="1086"/>
      <c r="T267" s="1082"/>
      <c r="U267" s="614" t="s">
        <v>516</v>
      </c>
      <c r="V267" s="1069"/>
    </row>
    <row r="268" spans="1:22" ht="18" customHeight="1">
      <c r="A268" s="616"/>
      <c r="B268" s="621"/>
      <c r="C268" s="1082"/>
      <c r="D268" s="1085"/>
      <c r="E268" s="1086"/>
      <c r="F268" s="1086"/>
      <c r="G268" s="1082"/>
      <c r="H268" s="616"/>
      <c r="I268" s="617"/>
      <c r="J268" s="1085"/>
      <c r="K268" s="1082"/>
      <c r="L268" s="616"/>
      <c r="M268" s="621"/>
      <c r="N268" s="617"/>
      <c r="O268" s="616"/>
      <c r="P268" s="621"/>
      <c r="Q268" s="1082"/>
      <c r="R268" s="1085"/>
      <c r="S268" s="1086"/>
      <c r="T268" s="1082"/>
      <c r="U268" s="1070"/>
      <c r="V268" s="1071"/>
    </row>
    <row r="269" spans="1:22" ht="18" customHeight="1">
      <c r="A269" s="618"/>
      <c r="B269" s="622"/>
      <c r="C269" s="1083"/>
      <c r="D269" s="1087"/>
      <c r="E269" s="1088"/>
      <c r="F269" s="1088"/>
      <c r="G269" s="1083"/>
      <c r="H269" s="618"/>
      <c r="I269" s="619"/>
      <c r="J269" s="1087"/>
      <c r="K269" s="1083"/>
      <c r="L269" s="618"/>
      <c r="M269" s="622"/>
      <c r="N269" s="619"/>
      <c r="O269" s="618"/>
      <c r="P269" s="622"/>
      <c r="Q269" s="1083"/>
      <c r="R269" s="1087"/>
      <c r="S269" s="1088"/>
      <c r="T269" s="1083"/>
      <c r="U269" s="1072"/>
      <c r="V269" s="1073"/>
    </row>
    <row r="270" spans="1:22" ht="18" customHeight="1">
      <c r="A270" s="623" t="str">
        <f>B178</f>
        <v>CT1L</v>
      </c>
      <c r="B270" s="1079" t="str">
        <f>B178</f>
        <v>CT1L</v>
      </c>
      <c r="C270" s="624" t="str">
        <f>D178</f>
        <v>Core1</v>
      </c>
      <c r="D270" s="624">
        <f>H181</f>
        <v>800</v>
      </c>
      <c r="E270" s="624">
        <f>J181</f>
        <v>2000</v>
      </c>
      <c r="F270" s="624">
        <f>L181</f>
        <v>1000</v>
      </c>
      <c r="G270" s="624">
        <f>O181</f>
        <v>1</v>
      </c>
      <c r="H270" s="624">
        <f>'[7]CT-VT Burdens'!S19</f>
        <v>20</v>
      </c>
      <c r="I270" s="631">
        <f>'[7]CT-VT Burdens'!S10</f>
        <v>4</v>
      </c>
      <c r="J270" s="612" t="str">
        <f>L182</f>
        <v>PX</v>
      </c>
      <c r="K270" s="612"/>
      <c r="L270" s="624">
        <f>H12</f>
        <v>2.8</v>
      </c>
      <c r="M270" s="624">
        <f>J95</f>
        <v>12</v>
      </c>
      <c r="N270" s="624">
        <f>L183</f>
        <v>8</v>
      </c>
      <c r="O270" s="624">
        <f>H13</f>
        <v>326</v>
      </c>
      <c r="P270" s="624">
        <f>J96</f>
        <v>1200</v>
      </c>
      <c r="Q270" s="624">
        <f>L184</f>
        <v>800</v>
      </c>
      <c r="R270" s="624">
        <f>H14</f>
        <v>40</v>
      </c>
      <c r="S270" s="624">
        <f>J97</f>
        <v>50</v>
      </c>
      <c r="T270" s="624">
        <f>L185</f>
        <v>75</v>
      </c>
      <c r="U270" s="705">
        <f>T178</f>
        <v>0</v>
      </c>
      <c r="V270" s="707"/>
    </row>
    <row r="271" spans="1:22" ht="18" customHeight="1">
      <c r="A271" s="623"/>
      <c r="B271" s="1079"/>
      <c r="C271" s="1076"/>
      <c r="D271" s="1076"/>
      <c r="E271" s="1076"/>
      <c r="F271" s="1076"/>
      <c r="G271" s="1076"/>
      <c r="H271" s="1076"/>
      <c r="I271" s="1076"/>
      <c r="J271" s="1078"/>
      <c r="K271" s="1078"/>
      <c r="L271" s="1076"/>
      <c r="M271" s="1076"/>
      <c r="N271" s="1076"/>
      <c r="O271" s="1076"/>
      <c r="P271" s="1076"/>
      <c r="Q271" s="1076"/>
      <c r="R271" s="1076"/>
      <c r="S271" s="1076"/>
      <c r="T271" s="1076"/>
      <c r="U271" s="705">
        <f>T179</f>
        <v>0</v>
      </c>
      <c r="V271" s="707"/>
    </row>
    <row r="272" spans="1:22" ht="18" customHeight="1">
      <c r="A272" s="623"/>
      <c r="B272" s="1079"/>
      <c r="C272" s="1077"/>
      <c r="D272" s="1077"/>
      <c r="E272" s="1077"/>
      <c r="F272" s="1077"/>
      <c r="G272" s="1077"/>
      <c r="H272" s="1077"/>
      <c r="I272" s="1077"/>
      <c r="J272" s="1078"/>
      <c r="K272" s="1078"/>
      <c r="L272" s="1077"/>
      <c r="M272" s="1077"/>
      <c r="N272" s="1077"/>
      <c r="O272" s="1077"/>
      <c r="P272" s="1077"/>
      <c r="Q272" s="1077"/>
      <c r="R272" s="1077"/>
      <c r="S272" s="1077"/>
      <c r="T272" s="1077"/>
      <c r="U272" s="705">
        <f>T180</f>
        <v>0</v>
      </c>
      <c r="V272" s="70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s="14" customFormat="1" ht="18" customHeight="1">
      <c r="A308" s="206"/>
      <c r="B308" s="207"/>
      <c r="C308" s="207"/>
      <c r="D308" s="207"/>
      <c r="E308" s="207"/>
      <c r="F308" s="207"/>
      <c r="G308" s="207"/>
      <c r="H308" s="207"/>
      <c r="I308" s="207"/>
      <c r="J308" s="207"/>
      <c r="K308" s="207"/>
      <c r="L308" s="207"/>
      <c r="M308" s="207"/>
      <c r="N308" s="207"/>
      <c r="O308" s="207"/>
      <c r="P308" s="207"/>
      <c r="Q308" s="236"/>
      <c r="R308" s="194"/>
      <c r="S308" s="237"/>
      <c r="T308" s="207"/>
      <c r="U308" s="207"/>
      <c r="V308" s="140" t="s">
        <v>563</v>
      </c>
    </row>
  </sheetData>
  <mergeCells count="174">
    <mergeCell ref="H3:N4"/>
    <mergeCell ref="O3:Q3"/>
    <mergeCell ref="R3:V3"/>
    <mergeCell ref="O4:Q4"/>
    <mergeCell ref="R4:V4"/>
    <mergeCell ref="A1:G4"/>
    <mergeCell ref="H1:N1"/>
    <mergeCell ref="O1:Q1"/>
    <mergeCell ref="R1:V1"/>
    <mergeCell ref="H2:N2"/>
    <mergeCell ref="O2:Q2"/>
    <mergeCell ref="R2:V2"/>
    <mergeCell ref="A5:B5"/>
    <mergeCell ref="D5:F5"/>
    <mergeCell ref="H5:N5"/>
    <mergeCell ref="O5:Q5"/>
    <mergeCell ref="R5:V5"/>
    <mergeCell ref="B7:C7"/>
    <mergeCell ref="D7:E7"/>
    <mergeCell ref="H7:M7"/>
    <mergeCell ref="T7:U7"/>
    <mergeCell ref="H11:I11"/>
    <mergeCell ref="H12:I12"/>
    <mergeCell ref="H13:I13"/>
    <mergeCell ref="H14:I14"/>
    <mergeCell ref="J18:K18"/>
    <mergeCell ref="J19:K19"/>
    <mergeCell ref="T8:U8"/>
    <mergeCell ref="H9:I9"/>
    <mergeCell ref="J9:K9"/>
    <mergeCell ref="L9:M9"/>
    <mergeCell ref="T9:U9"/>
    <mergeCell ref="H10:I10"/>
    <mergeCell ref="J10:K10"/>
    <mergeCell ref="L10:M10"/>
    <mergeCell ref="S31:T31"/>
    <mergeCell ref="S32:T32"/>
    <mergeCell ref="S33:T33"/>
    <mergeCell ref="S34:T34"/>
    <mergeCell ref="S35:T35"/>
    <mergeCell ref="S36:T36"/>
    <mergeCell ref="J20:K20"/>
    <mergeCell ref="J21:K21"/>
    <mergeCell ref="P21:Q21"/>
    <mergeCell ref="J22:K22"/>
    <mergeCell ref="A24:V25"/>
    <mergeCell ref="H29:I29"/>
    <mergeCell ref="G47:H47"/>
    <mergeCell ref="J47:K47"/>
    <mergeCell ref="G48:H48"/>
    <mergeCell ref="G52:H52"/>
    <mergeCell ref="D55:E55"/>
    <mergeCell ref="G55:H55"/>
    <mergeCell ref="S37:T37"/>
    <mergeCell ref="H40:I40"/>
    <mergeCell ref="H41:I41"/>
    <mergeCell ref="E42:F42"/>
    <mergeCell ref="G46:H46"/>
    <mergeCell ref="J46:K46"/>
    <mergeCell ref="B90:C90"/>
    <mergeCell ref="D90:E90"/>
    <mergeCell ref="H90:M90"/>
    <mergeCell ref="T90:U90"/>
    <mergeCell ref="T91:U91"/>
    <mergeCell ref="H92:I92"/>
    <mergeCell ref="J92:K92"/>
    <mergeCell ref="L92:M92"/>
    <mergeCell ref="T92:U92"/>
    <mergeCell ref="J97:K97"/>
    <mergeCell ref="J101:K101"/>
    <mergeCell ref="J102:K102"/>
    <mergeCell ref="J103:K103"/>
    <mergeCell ref="J104:K104"/>
    <mergeCell ref="P104:Q104"/>
    <mergeCell ref="H93:I93"/>
    <mergeCell ref="J93:K93"/>
    <mergeCell ref="L93:M93"/>
    <mergeCell ref="J94:K94"/>
    <mergeCell ref="J95:K95"/>
    <mergeCell ref="J96:K96"/>
    <mergeCell ref="S117:T117"/>
    <mergeCell ref="S118:T118"/>
    <mergeCell ref="S119:T119"/>
    <mergeCell ref="S120:T120"/>
    <mergeCell ref="H123:I123"/>
    <mergeCell ref="H124:I124"/>
    <mergeCell ref="J105:K105"/>
    <mergeCell ref="A107:V108"/>
    <mergeCell ref="H112:I112"/>
    <mergeCell ref="S114:T114"/>
    <mergeCell ref="S115:T115"/>
    <mergeCell ref="S116:T116"/>
    <mergeCell ref="G140:H140"/>
    <mergeCell ref="D143:E143"/>
    <mergeCell ref="G143:H143"/>
    <mergeCell ref="B178:C178"/>
    <mergeCell ref="D178:E178"/>
    <mergeCell ref="H178:M178"/>
    <mergeCell ref="E125:F125"/>
    <mergeCell ref="G134:H134"/>
    <mergeCell ref="J134:K134"/>
    <mergeCell ref="G135:H135"/>
    <mergeCell ref="J135:K135"/>
    <mergeCell ref="G136:H136"/>
    <mergeCell ref="H181:I181"/>
    <mergeCell ref="J181:K181"/>
    <mergeCell ref="L181:M181"/>
    <mergeCell ref="L182:M182"/>
    <mergeCell ref="L183:M183"/>
    <mergeCell ref="L184:M184"/>
    <mergeCell ref="T178:U178"/>
    <mergeCell ref="T179:U179"/>
    <mergeCell ref="H180:I180"/>
    <mergeCell ref="J180:K180"/>
    <mergeCell ref="L180:M180"/>
    <mergeCell ref="T180:U180"/>
    <mergeCell ref="J193:K193"/>
    <mergeCell ref="A195:V196"/>
    <mergeCell ref="H200:I200"/>
    <mergeCell ref="S202:T202"/>
    <mergeCell ref="S203:T203"/>
    <mergeCell ref="S204:T204"/>
    <mergeCell ref="L185:M185"/>
    <mergeCell ref="J189:K189"/>
    <mergeCell ref="J190:K190"/>
    <mergeCell ref="J191:K191"/>
    <mergeCell ref="J192:K192"/>
    <mergeCell ref="P192:Q192"/>
    <mergeCell ref="E213:F213"/>
    <mergeCell ref="G222:H222"/>
    <mergeCell ref="J222:K222"/>
    <mergeCell ref="G223:H223"/>
    <mergeCell ref="J223:K223"/>
    <mergeCell ref="G224:H224"/>
    <mergeCell ref="J267:K269"/>
    <mergeCell ref="S205:T205"/>
    <mergeCell ref="S206:T206"/>
    <mergeCell ref="S207:T207"/>
    <mergeCell ref="S208:T208"/>
    <mergeCell ref="H211:I211"/>
    <mergeCell ref="H212:I212"/>
    <mergeCell ref="G270:G272"/>
    <mergeCell ref="H270:H272"/>
    <mergeCell ref="I270:I272"/>
    <mergeCell ref="G228:H228"/>
    <mergeCell ref="D231:E231"/>
    <mergeCell ref="G231:H231"/>
    <mergeCell ref="A267:C269"/>
    <mergeCell ref="D267:G269"/>
    <mergeCell ref="H267:I269"/>
    <mergeCell ref="J270:K272"/>
    <mergeCell ref="L270:L272"/>
    <mergeCell ref="M270:M272"/>
    <mergeCell ref="L267:N269"/>
    <mergeCell ref="O267:Q269"/>
    <mergeCell ref="R267:T269"/>
    <mergeCell ref="U267:V269"/>
    <mergeCell ref="A270:B270"/>
    <mergeCell ref="C270:C272"/>
    <mergeCell ref="D270:D272"/>
    <mergeCell ref="E270:E272"/>
    <mergeCell ref="F270:F272"/>
    <mergeCell ref="T270:T272"/>
    <mergeCell ref="U270:V270"/>
    <mergeCell ref="A271:B271"/>
    <mergeCell ref="U271:V271"/>
    <mergeCell ref="A272:B272"/>
    <mergeCell ref="U272:V272"/>
    <mergeCell ref="N270:N272"/>
    <mergeCell ref="O270:O272"/>
    <mergeCell ref="P270:P272"/>
    <mergeCell ref="Q270:Q272"/>
    <mergeCell ref="R270:R272"/>
    <mergeCell ref="S270:S272"/>
  </mergeCells>
  <conditionalFormatting sqref="G56 G144 G232">
    <cfRule type="cellIs" dxfId="0" priority="1" stopIfTrue="1" operator="equal">
      <formula>"Under Dimentioned"</formula>
    </cfRule>
  </conditionalFormatting>
  <dataValidations disablePrompts="1" count="1">
    <dataValidation type="list" allowBlank="1" showInputMessage="1" showErrorMessage="1" sqref="D178 IZ178 SV178 ACR178 AMN178 AWJ178 BGF178 BQB178 BZX178 CJT178 CTP178 DDL178 DNH178 DXD178 EGZ178 EQV178 FAR178 FKN178 FUJ178 GEF178 GOB178 GXX178 HHT178 HRP178 IBL178 ILH178 IVD178 JEZ178 JOV178 JYR178 KIN178 KSJ178 LCF178 LMB178 LVX178 MFT178 MPP178 MZL178 NJH178 NTD178 OCZ178 OMV178 OWR178 PGN178 PQJ178 QAF178 QKB178 QTX178 RDT178 RNP178 RXL178 SHH178 SRD178 TAZ178 TKV178 TUR178 UEN178 UOJ178 UYF178 VIB178 VRX178 WBT178 WLP178 WVL178 D65714 IZ65714 SV65714 ACR65714 AMN65714 AWJ65714 BGF65714 BQB65714 BZX65714 CJT65714 CTP65714 DDL65714 DNH65714 DXD65714 EGZ65714 EQV65714 FAR65714 FKN65714 FUJ65714 GEF65714 GOB65714 GXX65714 HHT65714 HRP65714 IBL65714 ILH65714 IVD65714 JEZ65714 JOV65714 JYR65714 KIN65714 KSJ65714 LCF65714 LMB65714 LVX65714 MFT65714 MPP65714 MZL65714 NJH65714 NTD65714 OCZ65714 OMV65714 OWR65714 PGN65714 PQJ65714 QAF65714 QKB65714 QTX65714 RDT65714 RNP65714 RXL65714 SHH65714 SRD65714 TAZ65714 TKV65714 TUR65714 UEN65714 UOJ65714 UYF65714 VIB65714 VRX65714 WBT65714 WLP65714 WVL65714 D131250 IZ131250 SV131250 ACR131250 AMN131250 AWJ131250 BGF131250 BQB131250 BZX131250 CJT131250 CTP131250 DDL131250 DNH131250 DXD131250 EGZ131250 EQV131250 FAR131250 FKN131250 FUJ131250 GEF131250 GOB131250 GXX131250 HHT131250 HRP131250 IBL131250 ILH131250 IVD131250 JEZ131250 JOV131250 JYR131250 KIN131250 KSJ131250 LCF131250 LMB131250 LVX131250 MFT131250 MPP131250 MZL131250 NJH131250 NTD131250 OCZ131250 OMV131250 OWR131250 PGN131250 PQJ131250 QAF131250 QKB131250 QTX131250 RDT131250 RNP131250 RXL131250 SHH131250 SRD131250 TAZ131250 TKV131250 TUR131250 UEN131250 UOJ131250 UYF131250 VIB131250 VRX131250 WBT131250 WLP131250 WVL131250 D196786 IZ196786 SV196786 ACR196786 AMN196786 AWJ196786 BGF196786 BQB196786 BZX196786 CJT196786 CTP196786 DDL196786 DNH196786 DXD196786 EGZ196786 EQV196786 FAR196786 FKN196786 FUJ196786 GEF196786 GOB196786 GXX196786 HHT196786 HRP196786 IBL196786 ILH196786 IVD196786 JEZ196786 JOV196786 JYR196786 KIN196786 KSJ196786 LCF196786 LMB196786 LVX196786 MFT196786 MPP196786 MZL196786 NJH196786 NTD196786 OCZ196786 OMV196786 OWR196786 PGN196786 PQJ196786 QAF196786 QKB196786 QTX196786 RDT196786 RNP196786 RXL196786 SHH196786 SRD196786 TAZ196786 TKV196786 TUR196786 UEN196786 UOJ196786 UYF196786 VIB196786 VRX196786 WBT196786 WLP196786 WVL196786 D262322 IZ262322 SV262322 ACR262322 AMN262322 AWJ262322 BGF262322 BQB262322 BZX262322 CJT262322 CTP262322 DDL262322 DNH262322 DXD262322 EGZ262322 EQV262322 FAR262322 FKN262322 FUJ262322 GEF262322 GOB262322 GXX262322 HHT262322 HRP262322 IBL262322 ILH262322 IVD262322 JEZ262322 JOV262322 JYR262322 KIN262322 KSJ262322 LCF262322 LMB262322 LVX262322 MFT262322 MPP262322 MZL262322 NJH262322 NTD262322 OCZ262322 OMV262322 OWR262322 PGN262322 PQJ262322 QAF262322 QKB262322 QTX262322 RDT262322 RNP262322 RXL262322 SHH262322 SRD262322 TAZ262322 TKV262322 TUR262322 UEN262322 UOJ262322 UYF262322 VIB262322 VRX262322 WBT262322 WLP262322 WVL262322 D327858 IZ327858 SV327858 ACR327858 AMN327858 AWJ327858 BGF327858 BQB327858 BZX327858 CJT327858 CTP327858 DDL327858 DNH327858 DXD327858 EGZ327858 EQV327858 FAR327858 FKN327858 FUJ327858 GEF327858 GOB327858 GXX327858 HHT327858 HRP327858 IBL327858 ILH327858 IVD327858 JEZ327858 JOV327858 JYR327858 KIN327858 KSJ327858 LCF327858 LMB327858 LVX327858 MFT327858 MPP327858 MZL327858 NJH327858 NTD327858 OCZ327858 OMV327858 OWR327858 PGN327858 PQJ327858 QAF327858 QKB327858 QTX327858 RDT327858 RNP327858 RXL327858 SHH327858 SRD327858 TAZ327858 TKV327858 TUR327858 UEN327858 UOJ327858 UYF327858 VIB327858 VRX327858 WBT327858 WLP327858 WVL327858 D393394 IZ393394 SV393394 ACR393394 AMN393394 AWJ393394 BGF393394 BQB393394 BZX393394 CJT393394 CTP393394 DDL393394 DNH393394 DXD393394 EGZ393394 EQV393394 FAR393394 FKN393394 FUJ393394 GEF393394 GOB393394 GXX393394 HHT393394 HRP393394 IBL393394 ILH393394 IVD393394 JEZ393394 JOV393394 JYR393394 KIN393394 KSJ393394 LCF393394 LMB393394 LVX393394 MFT393394 MPP393394 MZL393394 NJH393394 NTD393394 OCZ393394 OMV393394 OWR393394 PGN393394 PQJ393394 QAF393394 QKB393394 QTX393394 RDT393394 RNP393394 RXL393394 SHH393394 SRD393394 TAZ393394 TKV393394 TUR393394 UEN393394 UOJ393394 UYF393394 VIB393394 VRX393394 WBT393394 WLP393394 WVL393394 D458930 IZ458930 SV458930 ACR458930 AMN458930 AWJ458930 BGF458930 BQB458930 BZX458930 CJT458930 CTP458930 DDL458930 DNH458930 DXD458930 EGZ458930 EQV458930 FAR458930 FKN458930 FUJ458930 GEF458930 GOB458930 GXX458930 HHT458930 HRP458930 IBL458930 ILH458930 IVD458930 JEZ458930 JOV458930 JYR458930 KIN458930 KSJ458930 LCF458930 LMB458930 LVX458930 MFT458930 MPP458930 MZL458930 NJH458930 NTD458930 OCZ458930 OMV458930 OWR458930 PGN458930 PQJ458930 QAF458930 QKB458930 QTX458930 RDT458930 RNP458930 RXL458930 SHH458930 SRD458930 TAZ458930 TKV458930 TUR458930 UEN458930 UOJ458930 UYF458930 VIB458930 VRX458930 WBT458930 WLP458930 WVL458930 D524466 IZ524466 SV524466 ACR524466 AMN524466 AWJ524466 BGF524466 BQB524466 BZX524466 CJT524466 CTP524466 DDL524466 DNH524466 DXD524466 EGZ524466 EQV524466 FAR524466 FKN524466 FUJ524466 GEF524466 GOB524466 GXX524466 HHT524466 HRP524466 IBL524466 ILH524466 IVD524466 JEZ524466 JOV524466 JYR524466 KIN524466 KSJ524466 LCF524466 LMB524466 LVX524466 MFT524466 MPP524466 MZL524466 NJH524466 NTD524466 OCZ524466 OMV524466 OWR524466 PGN524466 PQJ524466 QAF524466 QKB524466 QTX524466 RDT524466 RNP524466 RXL524466 SHH524466 SRD524466 TAZ524466 TKV524466 TUR524466 UEN524466 UOJ524466 UYF524466 VIB524466 VRX524466 WBT524466 WLP524466 WVL524466 D590002 IZ590002 SV590002 ACR590002 AMN590002 AWJ590002 BGF590002 BQB590002 BZX590002 CJT590002 CTP590002 DDL590002 DNH590002 DXD590002 EGZ590002 EQV590002 FAR590002 FKN590002 FUJ590002 GEF590002 GOB590002 GXX590002 HHT590002 HRP590002 IBL590002 ILH590002 IVD590002 JEZ590002 JOV590002 JYR590002 KIN590002 KSJ590002 LCF590002 LMB590002 LVX590002 MFT590002 MPP590002 MZL590002 NJH590002 NTD590002 OCZ590002 OMV590002 OWR590002 PGN590002 PQJ590002 QAF590002 QKB590002 QTX590002 RDT590002 RNP590002 RXL590002 SHH590002 SRD590002 TAZ590002 TKV590002 TUR590002 UEN590002 UOJ590002 UYF590002 VIB590002 VRX590002 WBT590002 WLP590002 WVL590002 D655538 IZ655538 SV655538 ACR655538 AMN655538 AWJ655538 BGF655538 BQB655538 BZX655538 CJT655538 CTP655538 DDL655538 DNH655538 DXD655538 EGZ655538 EQV655538 FAR655538 FKN655538 FUJ655538 GEF655538 GOB655538 GXX655538 HHT655538 HRP655538 IBL655538 ILH655538 IVD655538 JEZ655538 JOV655538 JYR655538 KIN655538 KSJ655538 LCF655538 LMB655538 LVX655538 MFT655538 MPP655538 MZL655538 NJH655538 NTD655538 OCZ655538 OMV655538 OWR655538 PGN655538 PQJ655538 QAF655538 QKB655538 QTX655538 RDT655538 RNP655538 RXL655538 SHH655538 SRD655538 TAZ655538 TKV655538 TUR655538 UEN655538 UOJ655538 UYF655538 VIB655538 VRX655538 WBT655538 WLP655538 WVL655538 D721074 IZ721074 SV721074 ACR721074 AMN721074 AWJ721074 BGF721074 BQB721074 BZX721074 CJT721074 CTP721074 DDL721074 DNH721074 DXD721074 EGZ721074 EQV721074 FAR721074 FKN721074 FUJ721074 GEF721074 GOB721074 GXX721074 HHT721074 HRP721074 IBL721074 ILH721074 IVD721074 JEZ721074 JOV721074 JYR721074 KIN721074 KSJ721074 LCF721074 LMB721074 LVX721074 MFT721074 MPP721074 MZL721074 NJH721074 NTD721074 OCZ721074 OMV721074 OWR721074 PGN721074 PQJ721074 QAF721074 QKB721074 QTX721074 RDT721074 RNP721074 RXL721074 SHH721074 SRD721074 TAZ721074 TKV721074 TUR721074 UEN721074 UOJ721074 UYF721074 VIB721074 VRX721074 WBT721074 WLP721074 WVL721074 D786610 IZ786610 SV786610 ACR786610 AMN786610 AWJ786610 BGF786610 BQB786610 BZX786610 CJT786610 CTP786610 DDL786610 DNH786610 DXD786610 EGZ786610 EQV786610 FAR786610 FKN786610 FUJ786610 GEF786610 GOB786610 GXX786610 HHT786610 HRP786610 IBL786610 ILH786610 IVD786610 JEZ786610 JOV786610 JYR786610 KIN786610 KSJ786610 LCF786610 LMB786610 LVX786610 MFT786610 MPP786610 MZL786610 NJH786610 NTD786610 OCZ786610 OMV786610 OWR786610 PGN786610 PQJ786610 QAF786610 QKB786610 QTX786610 RDT786610 RNP786610 RXL786610 SHH786610 SRD786610 TAZ786610 TKV786610 TUR786610 UEN786610 UOJ786610 UYF786610 VIB786610 VRX786610 WBT786610 WLP786610 WVL786610 D852146 IZ852146 SV852146 ACR852146 AMN852146 AWJ852146 BGF852146 BQB852146 BZX852146 CJT852146 CTP852146 DDL852146 DNH852146 DXD852146 EGZ852146 EQV852146 FAR852146 FKN852146 FUJ852146 GEF852146 GOB852146 GXX852146 HHT852146 HRP852146 IBL852146 ILH852146 IVD852146 JEZ852146 JOV852146 JYR852146 KIN852146 KSJ852146 LCF852146 LMB852146 LVX852146 MFT852146 MPP852146 MZL852146 NJH852146 NTD852146 OCZ852146 OMV852146 OWR852146 PGN852146 PQJ852146 QAF852146 QKB852146 QTX852146 RDT852146 RNP852146 RXL852146 SHH852146 SRD852146 TAZ852146 TKV852146 TUR852146 UEN852146 UOJ852146 UYF852146 VIB852146 VRX852146 WBT852146 WLP852146 WVL852146 D917682 IZ917682 SV917682 ACR917682 AMN917682 AWJ917682 BGF917682 BQB917682 BZX917682 CJT917682 CTP917682 DDL917682 DNH917682 DXD917682 EGZ917682 EQV917682 FAR917682 FKN917682 FUJ917682 GEF917682 GOB917682 GXX917682 HHT917682 HRP917682 IBL917682 ILH917682 IVD917682 JEZ917682 JOV917682 JYR917682 KIN917682 KSJ917682 LCF917682 LMB917682 LVX917682 MFT917682 MPP917682 MZL917682 NJH917682 NTD917682 OCZ917682 OMV917682 OWR917682 PGN917682 PQJ917682 QAF917682 QKB917682 QTX917682 RDT917682 RNP917682 RXL917682 SHH917682 SRD917682 TAZ917682 TKV917682 TUR917682 UEN917682 UOJ917682 UYF917682 VIB917682 VRX917682 WBT917682 WLP917682 WVL917682 D983218 IZ983218 SV983218 ACR983218 AMN983218 AWJ983218 BGF983218 BQB983218 BZX983218 CJT983218 CTP983218 DDL983218 DNH983218 DXD983218 EGZ983218 EQV983218 FAR983218 FKN983218 FUJ983218 GEF983218 GOB983218 GXX983218 HHT983218 HRP983218 IBL983218 ILH983218 IVD983218 JEZ983218 JOV983218 JYR983218 KIN983218 KSJ983218 LCF983218 LMB983218 LVX983218 MFT983218 MPP983218 MZL983218 NJH983218 NTD983218 OCZ983218 OMV983218 OWR983218 PGN983218 PQJ983218 QAF983218 QKB983218 QTX983218 RDT983218 RNP983218 RXL983218 SHH983218 SRD983218 TAZ983218 TKV983218 TUR983218 UEN983218 UOJ983218 UYF983218 VIB983218 VRX983218 WBT983218 WLP983218 WVL983218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WVL983047 D90 IZ90 SV90 ACR90 AMN90 AWJ90 BGF90 BQB90 BZX90 CJT90 CTP90 DDL90 DNH90 DXD90 EGZ90 EQV90 FAR90 FKN90 FUJ90 GEF90 GOB90 GXX90 HHT90 HRP90 IBL90 ILH90 IVD90 JEZ90 JOV90 JYR90 KIN90 KSJ90 LCF90 LMB90 LVX90 MFT90 MPP90 MZL90 NJH90 NTD90 OCZ90 OMV90 OWR90 PGN90 PQJ90 QAF90 QKB90 QTX90 RDT90 RNP90 RXL90 SHH90 SRD90 TAZ90 TKV90 TUR90 UEN90 UOJ90 UYF90 VIB90 VRX90 WBT90 WLP90 WVL90 D65626 IZ65626 SV65626 ACR65626 AMN65626 AWJ65626 BGF65626 BQB65626 BZX65626 CJT65626 CTP65626 DDL65626 DNH65626 DXD65626 EGZ65626 EQV65626 FAR65626 FKN65626 FUJ65626 GEF65626 GOB65626 GXX65626 HHT65626 HRP65626 IBL65626 ILH65626 IVD65626 JEZ65626 JOV65626 JYR65626 KIN65626 KSJ65626 LCF65626 LMB65626 LVX65626 MFT65626 MPP65626 MZL65626 NJH65626 NTD65626 OCZ65626 OMV65626 OWR65626 PGN65626 PQJ65626 QAF65626 QKB65626 QTX65626 RDT65626 RNP65626 RXL65626 SHH65626 SRD65626 TAZ65626 TKV65626 TUR65626 UEN65626 UOJ65626 UYF65626 VIB65626 VRX65626 WBT65626 WLP65626 WVL65626 D131162 IZ131162 SV131162 ACR131162 AMN131162 AWJ131162 BGF131162 BQB131162 BZX131162 CJT131162 CTP131162 DDL131162 DNH131162 DXD131162 EGZ131162 EQV131162 FAR131162 FKN131162 FUJ131162 GEF131162 GOB131162 GXX131162 HHT131162 HRP131162 IBL131162 ILH131162 IVD131162 JEZ131162 JOV131162 JYR131162 KIN131162 KSJ131162 LCF131162 LMB131162 LVX131162 MFT131162 MPP131162 MZL131162 NJH131162 NTD131162 OCZ131162 OMV131162 OWR131162 PGN131162 PQJ131162 QAF131162 QKB131162 QTX131162 RDT131162 RNP131162 RXL131162 SHH131162 SRD131162 TAZ131162 TKV131162 TUR131162 UEN131162 UOJ131162 UYF131162 VIB131162 VRX131162 WBT131162 WLP131162 WVL131162 D196698 IZ196698 SV196698 ACR196698 AMN196698 AWJ196698 BGF196698 BQB196698 BZX196698 CJT196698 CTP196698 DDL196698 DNH196698 DXD196698 EGZ196698 EQV196698 FAR196698 FKN196698 FUJ196698 GEF196698 GOB196698 GXX196698 HHT196698 HRP196698 IBL196698 ILH196698 IVD196698 JEZ196698 JOV196698 JYR196698 KIN196698 KSJ196698 LCF196698 LMB196698 LVX196698 MFT196698 MPP196698 MZL196698 NJH196698 NTD196698 OCZ196698 OMV196698 OWR196698 PGN196698 PQJ196698 QAF196698 QKB196698 QTX196698 RDT196698 RNP196698 RXL196698 SHH196698 SRD196698 TAZ196698 TKV196698 TUR196698 UEN196698 UOJ196698 UYF196698 VIB196698 VRX196698 WBT196698 WLP196698 WVL196698 D262234 IZ262234 SV262234 ACR262234 AMN262234 AWJ262234 BGF262234 BQB262234 BZX262234 CJT262234 CTP262234 DDL262234 DNH262234 DXD262234 EGZ262234 EQV262234 FAR262234 FKN262234 FUJ262234 GEF262234 GOB262234 GXX262234 HHT262234 HRP262234 IBL262234 ILH262234 IVD262234 JEZ262234 JOV262234 JYR262234 KIN262234 KSJ262234 LCF262234 LMB262234 LVX262234 MFT262234 MPP262234 MZL262234 NJH262234 NTD262234 OCZ262234 OMV262234 OWR262234 PGN262234 PQJ262234 QAF262234 QKB262234 QTX262234 RDT262234 RNP262234 RXL262234 SHH262234 SRD262234 TAZ262234 TKV262234 TUR262234 UEN262234 UOJ262234 UYF262234 VIB262234 VRX262234 WBT262234 WLP262234 WVL262234 D327770 IZ327770 SV327770 ACR327770 AMN327770 AWJ327770 BGF327770 BQB327770 BZX327770 CJT327770 CTP327770 DDL327770 DNH327770 DXD327770 EGZ327770 EQV327770 FAR327770 FKN327770 FUJ327770 GEF327770 GOB327770 GXX327770 HHT327770 HRP327770 IBL327770 ILH327770 IVD327770 JEZ327770 JOV327770 JYR327770 KIN327770 KSJ327770 LCF327770 LMB327770 LVX327770 MFT327770 MPP327770 MZL327770 NJH327770 NTD327770 OCZ327770 OMV327770 OWR327770 PGN327770 PQJ327770 QAF327770 QKB327770 QTX327770 RDT327770 RNP327770 RXL327770 SHH327770 SRD327770 TAZ327770 TKV327770 TUR327770 UEN327770 UOJ327770 UYF327770 VIB327770 VRX327770 WBT327770 WLP327770 WVL327770 D393306 IZ393306 SV393306 ACR393306 AMN393306 AWJ393306 BGF393306 BQB393306 BZX393306 CJT393306 CTP393306 DDL393306 DNH393306 DXD393306 EGZ393306 EQV393306 FAR393306 FKN393306 FUJ393306 GEF393306 GOB393306 GXX393306 HHT393306 HRP393306 IBL393306 ILH393306 IVD393306 JEZ393306 JOV393306 JYR393306 KIN393306 KSJ393306 LCF393306 LMB393306 LVX393306 MFT393306 MPP393306 MZL393306 NJH393306 NTD393306 OCZ393306 OMV393306 OWR393306 PGN393306 PQJ393306 QAF393306 QKB393306 QTX393306 RDT393306 RNP393306 RXL393306 SHH393306 SRD393306 TAZ393306 TKV393306 TUR393306 UEN393306 UOJ393306 UYF393306 VIB393306 VRX393306 WBT393306 WLP393306 WVL393306 D458842 IZ458842 SV458842 ACR458842 AMN458842 AWJ458842 BGF458842 BQB458842 BZX458842 CJT458842 CTP458842 DDL458842 DNH458842 DXD458842 EGZ458842 EQV458842 FAR458842 FKN458842 FUJ458842 GEF458842 GOB458842 GXX458842 HHT458842 HRP458842 IBL458842 ILH458842 IVD458842 JEZ458842 JOV458842 JYR458842 KIN458842 KSJ458842 LCF458842 LMB458842 LVX458842 MFT458842 MPP458842 MZL458842 NJH458842 NTD458842 OCZ458842 OMV458842 OWR458842 PGN458842 PQJ458842 QAF458842 QKB458842 QTX458842 RDT458842 RNP458842 RXL458842 SHH458842 SRD458842 TAZ458842 TKV458842 TUR458842 UEN458842 UOJ458842 UYF458842 VIB458842 VRX458842 WBT458842 WLP458842 WVL458842 D524378 IZ524378 SV524378 ACR524378 AMN524378 AWJ524378 BGF524378 BQB524378 BZX524378 CJT524378 CTP524378 DDL524378 DNH524378 DXD524378 EGZ524378 EQV524378 FAR524378 FKN524378 FUJ524378 GEF524378 GOB524378 GXX524378 HHT524378 HRP524378 IBL524378 ILH524378 IVD524378 JEZ524378 JOV524378 JYR524378 KIN524378 KSJ524378 LCF524378 LMB524378 LVX524378 MFT524378 MPP524378 MZL524378 NJH524378 NTD524378 OCZ524378 OMV524378 OWR524378 PGN524378 PQJ524378 QAF524378 QKB524378 QTX524378 RDT524378 RNP524378 RXL524378 SHH524378 SRD524378 TAZ524378 TKV524378 TUR524378 UEN524378 UOJ524378 UYF524378 VIB524378 VRX524378 WBT524378 WLP524378 WVL524378 D589914 IZ589914 SV589914 ACR589914 AMN589914 AWJ589914 BGF589914 BQB589914 BZX589914 CJT589914 CTP589914 DDL589914 DNH589914 DXD589914 EGZ589914 EQV589914 FAR589914 FKN589914 FUJ589914 GEF589914 GOB589914 GXX589914 HHT589914 HRP589914 IBL589914 ILH589914 IVD589914 JEZ589914 JOV589914 JYR589914 KIN589914 KSJ589914 LCF589914 LMB589914 LVX589914 MFT589914 MPP589914 MZL589914 NJH589914 NTD589914 OCZ589914 OMV589914 OWR589914 PGN589914 PQJ589914 QAF589914 QKB589914 QTX589914 RDT589914 RNP589914 RXL589914 SHH589914 SRD589914 TAZ589914 TKV589914 TUR589914 UEN589914 UOJ589914 UYF589914 VIB589914 VRX589914 WBT589914 WLP589914 WVL589914 D655450 IZ655450 SV655450 ACR655450 AMN655450 AWJ655450 BGF655450 BQB655450 BZX655450 CJT655450 CTP655450 DDL655450 DNH655450 DXD655450 EGZ655450 EQV655450 FAR655450 FKN655450 FUJ655450 GEF655450 GOB655450 GXX655450 HHT655450 HRP655450 IBL655450 ILH655450 IVD655450 JEZ655450 JOV655450 JYR655450 KIN655450 KSJ655450 LCF655450 LMB655450 LVX655450 MFT655450 MPP655450 MZL655450 NJH655450 NTD655450 OCZ655450 OMV655450 OWR655450 PGN655450 PQJ655450 QAF655450 QKB655450 QTX655450 RDT655450 RNP655450 RXL655450 SHH655450 SRD655450 TAZ655450 TKV655450 TUR655450 UEN655450 UOJ655450 UYF655450 VIB655450 VRX655450 WBT655450 WLP655450 WVL655450 D720986 IZ720986 SV720986 ACR720986 AMN720986 AWJ720986 BGF720986 BQB720986 BZX720986 CJT720986 CTP720986 DDL720986 DNH720986 DXD720986 EGZ720986 EQV720986 FAR720986 FKN720986 FUJ720986 GEF720986 GOB720986 GXX720986 HHT720986 HRP720986 IBL720986 ILH720986 IVD720986 JEZ720986 JOV720986 JYR720986 KIN720986 KSJ720986 LCF720986 LMB720986 LVX720986 MFT720986 MPP720986 MZL720986 NJH720986 NTD720986 OCZ720986 OMV720986 OWR720986 PGN720986 PQJ720986 QAF720986 QKB720986 QTX720986 RDT720986 RNP720986 RXL720986 SHH720986 SRD720986 TAZ720986 TKV720986 TUR720986 UEN720986 UOJ720986 UYF720986 VIB720986 VRX720986 WBT720986 WLP720986 WVL720986 D786522 IZ786522 SV786522 ACR786522 AMN786522 AWJ786522 BGF786522 BQB786522 BZX786522 CJT786522 CTP786522 DDL786522 DNH786522 DXD786522 EGZ786522 EQV786522 FAR786522 FKN786522 FUJ786522 GEF786522 GOB786522 GXX786522 HHT786522 HRP786522 IBL786522 ILH786522 IVD786522 JEZ786522 JOV786522 JYR786522 KIN786522 KSJ786522 LCF786522 LMB786522 LVX786522 MFT786522 MPP786522 MZL786522 NJH786522 NTD786522 OCZ786522 OMV786522 OWR786522 PGN786522 PQJ786522 QAF786522 QKB786522 QTX786522 RDT786522 RNP786522 RXL786522 SHH786522 SRD786522 TAZ786522 TKV786522 TUR786522 UEN786522 UOJ786522 UYF786522 VIB786522 VRX786522 WBT786522 WLP786522 WVL786522 D852058 IZ852058 SV852058 ACR852058 AMN852058 AWJ852058 BGF852058 BQB852058 BZX852058 CJT852058 CTP852058 DDL852058 DNH852058 DXD852058 EGZ852058 EQV852058 FAR852058 FKN852058 FUJ852058 GEF852058 GOB852058 GXX852058 HHT852058 HRP852058 IBL852058 ILH852058 IVD852058 JEZ852058 JOV852058 JYR852058 KIN852058 KSJ852058 LCF852058 LMB852058 LVX852058 MFT852058 MPP852058 MZL852058 NJH852058 NTD852058 OCZ852058 OMV852058 OWR852058 PGN852058 PQJ852058 QAF852058 QKB852058 QTX852058 RDT852058 RNP852058 RXL852058 SHH852058 SRD852058 TAZ852058 TKV852058 TUR852058 UEN852058 UOJ852058 UYF852058 VIB852058 VRX852058 WBT852058 WLP852058 WVL852058 D917594 IZ917594 SV917594 ACR917594 AMN917594 AWJ917594 BGF917594 BQB917594 BZX917594 CJT917594 CTP917594 DDL917594 DNH917594 DXD917594 EGZ917594 EQV917594 FAR917594 FKN917594 FUJ917594 GEF917594 GOB917594 GXX917594 HHT917594 HRP917594 IBL917594 ILH917594 IVD917594 JEZ917594 JOV917594 JYR917594 KIN917594 KSJ917594 LCF917594 LMB917594 LVX917594 MFT917594 MPP917594 MZL917594 NJH917594 NTD917594 OCZ917594 OMV917594 OWR917594 PGN917594 PQJ917594 QAF917594 QKB917594 QTX917594 RDT917594 RNP917594 RXL917594 SHH917594 SRD917594 TAZ917594 TKV917594 TUR917594 UEN917594 UOJ917594 UYF917594 VIB917594 VRX917594 WBT917594 WLP917594 WVL917594 D983130 IZ983130 SV983130 ACR983130 AMN983130 AWJ983130 BGF983130 BQB983130 BZX983130 CJT983130 CTP983130 DDL983130 DNH983130 DXD983130 EGZ983130 EQV983130 FAR983130 FKN983130 FUJ983130 GEF983130 GOB983130 GXX983130 HHT983130 HRP983130 IBL983130 ILH983130 IVD983130 JEZ983130 JOV983130 JYR983130 KIN983130 KSJ983130 LCF983130 LMB983130 LVX983130 MFT983130 MPP983130 MZL983130 NJH983130 NTD983130 OCZ983130 OMV983130 OWR983130 PGN983130 PQJ983130 QAF983130 QKB983130 QTX983130 RDT983130 RNP983130 RXL983130 SHH983130 SRD983130 TAZ983130 TKV983130 TUR983130 UEN983130 UOJ983130 UYF983130 VIB983130 VRX983130 WBT983130 WLP983130 WVL983130" xr:uid="{C9B4DBF4-6DF9-4318-A119-82F5C0DC87FD}">
      <formula1>"Core1,Core2,Core3"</formula1>
    </dataValidation>
  </dataValidations>
  <printOptions horizontalCentered="1" verticalCentered="1"/>
  <pageMargins left="0.5" right="0.5" top="0.5" bottom="0.5" header="0" footer="0"/>
  <pageSetup paperSize="9" scale="99" orientation="portrait" r:id="rId1"/>
  <headerFooter alignWithMargins="0">
    <oddFoote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51B2DAC72E9F543AB539325ED848776" ma:contentTypeVersion="7" ma:contentTypeDescription="Create a new document." ma:contentTypeScope="" ma:versionID="ba0b5dd9bdf5e227d0e3b8d1fe652132">
  <xsd:schema xmlns:xsd="http://www.w3.org/2001/XMLSchema" xmlns:xs="http://www.w3.org/2001/XMLSchema" xmlns:p="http://schemas.microsoft.com/office/2006/metadata/properties" xmlns:ns2="0d39cded-41ee-4fae-b09b-4e0915b8dd2e" targetNamespace="http://schemas.microsoft.com/office/2006/metadata/properties" ma:root="true" ma:fieldsID="7832898658fd2b22408b02f1c2ab124b" ns2:_="">
    <xsd:import namespace="0d39cded-41ee-4fae-b09b-4e0915b8dd2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d39cded-41ee-4fae-b09b-4e0915b8dd2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920AB14-A2E3-4766-9DD2-4D1BDDE4D57C}">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BA7E9F0D-E41D-455F-8B30-718DE87A13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d39cded-41ee-4fae-b09b-4e0915b8dd2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A47FAC3-CDD6-443C-8DD1-C7A1148199FD}">
  <ds:schemaRefs>
    <ds:schemaRef ds:uri="http://schemas.microsoft.com/sharepoint/v3/contenttype/forms"/>
  </ds:schemaRefs>
</ds:datastoreItem>
</file>

<file path=docMetadata/LabelInfo.xml><?xml version="1.0" encoding="utf-8"?>
<clbl:labelList xmlns:clbl="http://schemas.microsoft.com/office/2020/mipLabelMetadata">
  <clbl:label id="{7831e6d9-dc6c-4cd1-9ec6-1dc2b4133195}" enabled="0" method="" siteId="{7831e6d9-dc6c-4cd1-9ec6-1dc2b413319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66</vt:i4>
      </vt:variant>
      <vt:variant>
        <vt:lpstr>Named Ranges</vt:lpstr>
      </vt:variant>
      <vt:variant>
        <vt:i4>113</vt:i4>
      </vt:variant>
    </vt:vector>
  </HeadingPairs>
  <TitlesOfParts>
    <vt:vector size="179" baseType="lpstr">
      <vt:lpstr>Title</vt:lpstr>
      <vt:lpstr>INDEX</vt:lpstr>
      <vt:lpstr>Notes Or Assumptions</vt:lpstr>
      <vt:lpstr>CT-VT Data landscape</vt:lpstr>
      <vt:lpstr>CT ADEQUACY</vt:lpstr>
      <vt:lpstr>CT-VT Burdens</vt:lpstr>
      <vt:lpstr>Parameters &amp; Fault Cal. (4)</vt:lpstr>
      <vt:lpstr>BAY1</vt:lpstr>
      <vt:lpstr>BUP BCU</vt:lpstr>
      <vt:lpstr>BUP BCU(1)</vt:lpstr>
      <vt:lpstr>BBP P743(1)</vt:lpstr>
      <vt:lpstr>BBP FU1 - REB500</vt:lpstr>
      <vt:lpstr>IFP1-RED670</vt:lpstr>
      <vt:lpstr>BCU+OC-5P SEL751+7SJ85 (2)</vt:lpstr>
      <vt:lpstr>Tariff Check-0.2FS  (3)</vt:lpstr>
      <vt:lpstr>BAY2</vt:lpstr>
      <vt:lpstr>HVC1 - REF650</vt:lpstr>
      <vt:lpstr>MFAC+MVTP</vt:lpstr>
      <vt:lpstr>BUP BCU(2)</vt:lpstr>
      <vt:lpstr>BBP FU1 - REB500 (2)</vt:lpstr>
      <vt:lpstr>BBP 743(2)</vt:lpstr>
      <vt:lpstr>BAY3</vt:lpstr>
      <vt:lpstr>RED670_2.2C42-X (2)</vt:lpstr>
      <vt:lpstr>RET670_650-PX (HV) (2)</vt:lpstr>
      <vt:lpstr>SEL487E-X</vt:lpstr>
      <vt:lpstr>BCU+OC-5P SEL751+7SJ85</vt:lpstr>
      <vt:lpstr>Tariff Main-0.2FS </vt:lpstr>
      <vt:lpstr>Tariff Check-0.2FS  (2)</vt:lpstr>
      <vt:lpstr>7UT635-X</vt:lpstr>
      <vt:lpstr>OC+BCPU+FMS-X (2)</vt:lpstr>
      <vt:lpstr>Main Tariff Meter </vt:lpstr>
      <vt:lpstr>Check Tariff Meter + Ammeters</vt:lpstr>
      <vt:lpstr>5 (7)</vt:lpstr>
      <vt:lpstr>OC+BCPU+FMS-X (3)</vt:lpstr>
      <vt:lpstr>(Metering + Ammeter) (2)</vt:lpstr>
      <vt:lpstr>5 (8)</vt:lpstr>
      <vt:lpstr>OC+BCPU+FMS-X (4)</vt:lpstr>
      <vt:lpstr>(Metering + Ammeter) (3)</vt:lpstr>
      <vt:lpstr>5 (4)</vt:lpstr>
      <vt:lpstr>IFP2 P545 (3)</vt:lpstr>
      <vt:lpstr>BUP BCU(3)</vt:lpstr>
      <vt:lpstr>GIB - REF650</vt:lpstr>
      <vt:lpstr>BBP FU1 - REB500 (3)</vt:lpstr>
      <vt:lpstr>P74X-X (3)</vt:lpstr>
      <vt:lpstr>COP MAIN</vt:lpstr>
      <vt:lpstr>COP CHECK</vt:lpstr>
      <vt:lpstr>GIB - REF650 (2)</vt:lpstr>
      <vt:lpstr>BAY4</vt:lpstr>
      <vt:lpstr>IFP1-RED670 (2)</vt:lpstr>
      <vt:lpstr>IFP2 P545 (4)</vt:lpstr>
      <vt:lpstr>BUP BCU(4)</vt:lpstr>
      <vt:lpstr>BBP FU1 - REB500 (4)</vt:lpstr>
      <vt:lpstr>P74X-X (4)</vt:lpstr>
      <vt:lpstr>CS1</vt:lpstr>
      <vt:lpstr>CS2</vt:lpstr>
      <vt:lpstr>VT ADEQUACY</vt:lpstr>
      <vt:lpstr>VT BAY1</vt:lpstr>
      <vt:lpstr>HVDC FEEDER</vt:lpstr>
      <vt:lpstr>VT BAY2</vt:lpstr>
      <vt:lpstr>FEEDER</vt:lpstr>
      <vt:lpstr>VT BAY3</vt:lpstr>
      <vt:lpstr>SGT</vt:lpstr>
      <vt:lpstr>Bus VT (2)</vt:lpstr>
      <vt:lpstr>Bus VT (3)</vt:lpstr>
      <vt:lpstr>P54x-X-3</vt:lpstr>
      <vt:lpstr>OC+FMS+BFR-X (BS)</vt:lpstr>
      <vt:lpstr>'(Metering + Ammeter) (2)'!Print_Area</vt:lpstr>
      <vt:lpstr>'(Metering + Ammeter) (3)'!Print_Area</vt:lpstr>
      <vt:lpstr>'5 (4)'!Print_Area</vt:lpstr>
      <vt:lpstr>'5 (7)'!Print_Area</vt:lpstr>
      <vt:lpstr>'5 (8)'!Print_Area</vt:lpstr>
      <vt:lpstr>'7UT635-X'!Print_Area</vt:lpstr>
      <vt:lpstr>'BAY1'!Print_Area</vt:lpstr>
      <vt:lpstr>'BAY2'!Print_Area</vt:lpstr>
      <vt:lpstr>'BAY3'!Print_Area</vt:lpstr>
      <vt:lpstr>'BAY4'!Print_Area</vt:lpstr>
      <vt:lpstr>'BBP 743(2)'!Print_Area</vt:lpstr>
      <vt:lpstr>'BBP FU1 - REB500'!Print_Area</vt:lpstr>
      <vt:lpstr>'BBP FU1 - REB500 (2)'!Print_Area</vt:lpstr>
      <vt:lpstr>'BBP FU1 - REB500 (3)'!Print_Area</vt:lpstr>
      <vt:lpstr>'BBP FU1 - REB500 (4)'!Print_Area</vt:lpstr>
      <vt:lpstr>'BBP P743(1)'!Print_Area</vt:lpstr>
      <vt:lpstr>'BCU+OC-5P SEL751+7SJ85'!Print_Area</vt:lpstr>
      <vt:lpstr>'BCU+OC-5P SEL751+7SJ85 (2)'!Print_Area</vt:lpstr>
      <vt:lpstr>'BUP BCU'!Print_Area</vt:lpstr>
      <vt:lpstr>'BUP BCU(1)'!Print_Area</vt:lpstr>
      <vt:lpstr>'BUP BCU(2)'!Print_Area</vt:lpstr>
      <vt:lpstr>'BUP BCU(3)'!Print_Area</vt:lpstr>
      <vt:lpstr>'BUP BCU(4)'!Print_Area</vt:lpstr>
      <vt:lpstr>'Bus VT (2)'!Print_Area</vt:lpstr>
      <vt:lpstr>'Bus VT (3)'!Print_Area</vt:lpstr>
      <vt:lpstr>'Check Tariff Meter + Ammeters'!Print_Area</vt:lpstr>
      <vt:lpstr>'COP CHECK'!Print_Area</vt:lpstr>
      <vt:lpstr>'COP MAIN'!Print_Area</vt:lpstr>
      <vt:lpstr>'CS1'!Print_Area</vt:lpstr>
      <vt:lpstr>'CS2'!Print_Area</vt:lpstr>
      <vt:lpstr>'CT-VT Burdens'!Print_Area</vt:lpstr>
      <vt:lpstr>'CT-VT Data landscape'!Print_Area</vt:lpstr>
      <vt:lpstr>FEEDER!Print_Area</vt:lpstr>
      <vt:lpstr>'GIB - REF650'!Print_Area</vt:lpstr>
      <vt:lpstr>'GIB - REF650 (2)'!Print_Area</vt:lpstr>
      <vt:lpstr>'HVC1 - REF650'!Print_Area</vt:lpstr>
      <vt:lpstr>'HVDC FEEDER'!Print_Area</vt:lpstr>
      <vt:lpstr>'IFP1-RED670'!Print_Area</vt:lpstr>
      <vt:lpstr>'IFP1-RED670 (2)'!Print_Area</vt:lpstr>
      <vt:lpstr>'IFP2 P545 (3)'!Print_Area</vt:lpstr>
      <vt:lpstr>'IFP2 P545 (4)'!Print_Area</vt:lpstr>
      <vt:lpstr>INDEX!Print_Area</vt:lpstr>
      <vt:lpstr>'Main Tariff Meter '!Print_Area</vt:lpstr>
      <vt:lpstr>'MFAC+MVTP'!Print_Area</vt:lpstr>
      <vt:lpstr>'Notes Or Assumptions'!Print_Area</vt:lpstr>
      <vt:lpstr>'OC+BCPU+FMS-X (2)'!Print_Area</vt:lpstr>
      <vt:lpstr>'OC+BCPU+FMS-X (3)'!Print_Area</vt:lpstr>
      <vt:lpstr>'OC+BCPU+FMS-X (4)'!Print_Area</vt:lpstr>
      <vt:lpstr>'OC+FMS+BFR-X (BS)'!Print_Area</vt:lpstr>
      <vt:lpstr>'P54x-X-3'!Print_Area</vt:lpstr>
      <vt:lpstr>'P74X-X (3)'!Print_Area</vt:lpstr>
      <vt:lpstr>'P74X-X (4)'!Print_Area</vt:lpstr>
      <vt:lpstr>'Parameters &amp; Fault Cal. (4)'!Print_Area</vt:lpstr>
      <vt:lpstr>'RED670_2.2C42-X (2)'!Print_Area</vt:lpstr>
      <vt:lpstr>'RET670_650-PX (HV) (2)'!Print_Area</vt:lpstr>
      <vt:lpstr>'SEL487E-X'!Print_Area</vt:lpstr>
      <vt:lpstr>SGT!Print_Area</vt:lpstr>
      <vt:lpstr>'Tariff Check-0.2FS  (2)'!Print_Area</vt:lpstr>
      <vt:lpstr>'Tariff Check-0.2FS  (3)'!Print_Area</vt:lpstr>
      <vt:lpstr>'Tariff Main-0.2FS '!Print_Area</vt:lpstr>
      <vt:lpstr>Title!Print_Area</vt:lpstr>
      <vt:lpstr>'VT BAY1'!Print_Area</vt:lpstr>
      <vt:lpstr>'VT BAY2'!Print_Area</vt:lpstr>
      <vt:lpstr>'VT BAY3'!Print_Area</vt:lpstr>
      <vt:lpstr>'(Metering + Ammeter) (2)'!Print_Titles</vt:lpstr>
      <vt:lpstr>'(Metering + Ammeter) (3)'!Print_Titles</vt:lpstr>
      <vt:lpstr>'7UT635-X'!Print_Titles</vt:lpstr>
      <vt:lpstr>'BBP 743(2)'!Print_Titles</vt:lpstr>
      <vt:lpstr>'BBP FU1 - REB500'!Print_Titles</vt:lpstr>
      <vt:lpstr>'BBP FU1 - REB500 (2)'!Print_Titles</vt:lpstr>
      <vt:lpstr>'BBP FU1 - REB500 (3)'!Print_Titles</vt:lpstr>
      <vt:lpstr>'BBP FU1 - REB500 (4)'!Print_Titles</vt:lpstr>
      <vt:lpstr>'BBP P743(1)'!Print_Titles</vt:lpstr>
      <vt:lpstr>'BCU+OC-5P SEL751+7SJ85'!Print_Titles</vt:lpstr>
      <vt:lpstr>'BCU+OC-5P SEL751+7SJ85 (2)'!Print_Titles</vt:lpstr>
      <vt:lpstr>'BUP BCU'!Print_Titles</vt:lpstr>
      <vt:lpstr>'BUP BCU(1)'!Print_Titles</vt:lpstr>
      <vt:lpstr>'BUP BCU(2)'!Print_Titles</vt:lpstr>
      <vt:lpstr>'BUP BCU(3)'!Print_Titles</vt:lpstr>
      <vt:lpstr>'BUP BCU(4)'!Print_Titles</vt:lpstr>
      <vt:lpstr>'Bus VT (2)'!Print_Titles</vt:lpstr>
      <vt:lpstr>'Bus VT (3)'!Print_Titles</vt:lpstr>
      <vt:lpstr>'Check Tariff Meter + Ammeters'!Print_Titles</vt:lpstr>
      <vt:lpstr>'COP CHECK'!Print_Titles</vt:lpstr>
      <vt:lpstr>'COP MAIN'!Print_Titles</vt:lpstr>
      <vt:lpstr>'CS1'!Print_Titles</vt:lpstr>
      <vt:lpstr>'CS2'!Print_Titles</vt:lpstr>
      <vt:lpstr>'CT-VT Burdens'!Print_Titles</vt:lpstr>
      <vt:lpstr>'CT-VT Data landscape'!Print_Titles</vt:lpstr>
      <vt:lpstr>FEEDER!Print_Titles</vt:lpstr>
      <vt:lpstr>'GIB - REF650'!Print_Titles</vt:lpstr>
      <vt:lpstr>'GIB - REF650 (2)'!Print_Titles</vt:lpstr>
      <vt:lpstr>'HVC1 - REF650'!Print_Titles</vt:lpstr>
      <vt:lpstr>'HVDC FEEDER'!Print_Titles</vt:lpstr>
      <vt:lpstr>'IFP1-RED670'!Print_Titles</vt:lpstr>
      <vt:lpstr>'IFP1-RED670 (2)'!Print_Titles</vt:lpstr>
      <vt:lpstr>'IFP2 P545 (3)'!Print_Titles</vt:lpstr>
      <vt:lpstr>'IFP2 P545 (4)'!Print_Titles</vt:lpstr>
      <vt:lpstr>'Main Tariff Meter '!Print_Titles</vt:lpstr>
      <vt:lpstr>'MFAC+MVTP'!Print_Titles</vt:lpstr>
      <vt:lpstr>'OC+BCPU+FMS-X (2)'!Print_Titles</vt:lpstr>
      <vt:lpstr>'OC+BCPU+FMS-X (3)'!Print_Titles</vt:lpstr>
      <vt:lpstr>'OC+BCPU+FMS-X (4)'!Print_Titles</vt:lpstr>
      <vt:lpstr>'P54x-X-3'!Print_Titles</vt:lpstr>
      <vt:lpstr>'P74X-X (4)'!Print_Titles</vt:lpstr>
      <vt:lpstr>'Parameters &amp; Fault Cal. (4)'!Print_Titles</vt:lpstr>
      <vt:lpstr>'RED670_2.2C42-X (2)'!Print_Titles</vt:lpstr>
      <vt:lpstr>'RET670_650-PX (HV) (2)'!Print_Titles</vt:lpstr>
      <vt:lpstr>'SEL487E-X'!Print_Titles</vt:lpstr>
      <vt:lpstr>SGT!Print_Titles</vt:lpstr>
      <vt:lpstr>'Tariff Check-0.2FS  (2)'!Print_Titles</vt:lpstr>
      <vt:lpstr>'Tariff Check-0.2FS  (3)'!Print_Titles</vt:lpstr>
      <vt:lpstr>'Tariff Main-0.2FS '!Print_Titles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PraveenKumar C</dc:creator>
  <cp:keywords/>
  <dc:description/>
  <cp:lastModifiedBy>kaarthik sankar</cp:lastModifiedBy>
  <cp:revision/>
  <cp:lastPrinted>2026-04-02T12:31:41Z</cp:lastPrinted>
  <dcterms:created xsi:type="dcterms:W3CDTF">2025-05-18T08:02:38Z</dcterms:created>
  <dcterms:modified xsi:type="dcterms:W3CDTF">2026-07-26T18:03:55Z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0x010100251B2DAC72E9F543AB539325ED848776</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